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Q:\Aleshia\Spring 2024 solutions\"/>
    </mc:Choice>
  </mc:AlternateContent>
  <xr:revisionPtr revIDLastSave="0" documentId="8_{E8769EFA-7591-4F87-83AA-C7E393DB3722}" xr6:coauthVersionLast="47" xr6:coauthVersionMax="47" xr10:uidLastSave="{00000000-0000-0000-0000-000000000000}"/>
  <bookViews>
    <workbookView xWindow="15" yWindow="15" windowWidth="28770" windowHeight="15570" xr2:uid="{0DD6042D-56B4-435F-9137-88BF5387AC3A}"/>
  </bookViews>
  <sheets>
    <sheet name="Q1" sheetId="7" r:id="rId1"/>
    <sheet name="Exhibit 1" sheetId="8" r:id="rId2"/>
    <sheet name="Exhibit 2" sheetId="9" r:id="rId3"/>
    <sheet name="(c)" sheetId="18" r:id="rId4"/>
    <sheet name="Question 2" sheetId="21" r:id="rId5"/>
    <sheet name="Q4" sheetId="6" r:id="rId6"/>
    <sheet name="Solution" sheetId="5" r:id="rId7"/>
    <sheet name="Q5" sheetId="10" r:id="rId8"/>
    <sheet name="Data for Q5" sheetId="11" r:id="rId9"/>
    <sheet name="Answer (c) " sheetId="12" r:id="rId10"/>
    <sheet name="Answer (d)" sheetId="13" r:id="rId11"/>
    <sheet name="Q6" sheetId="19" r:id="rId12"/>
    <sheet name="Solution (2)" sheetId="20" r:id="rId13"/>
    <sheet name="Q7" sheetId="14" r:id="rId14"/>
    <sheet name="Solution (3)" sheetId="15" r:id="rId15"/>
    <sheet name="Q8" sheetId="16" r:id="rId16"/>
    <sheet name="Solution (4)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_CPD013" localSheetId="9">#REF!</definedName>
    <definedName name="___CPD013" localSheetId="10">#REF!</definedName>
    <definedName name="___CPD013" localSheetId="8">#REF!</definedName>
    <definedName name="___CPD013" localSheetId="7">#REF!</definedName>
    <definedName name="___CPD013" localSheetId="13">#REF!</definedName>
    <definedName name="___CPD013" localSheetId="15">#REF!</definedName>
    <definedName name="___CPD013" localSheetId="14">#REF!</definedName>
    <definedName name="___CPD013" localSheetId="16">#REF!</definedName>
    <definedName name="___CPD013">#REF!</definedName>
    <definedName name="___RX1" localSheetId="9">#REF!</definedName>
    <definedName name="___RX1" localSheetId="10">#REF!</definedName>
    <definedName name="___RX1" localSheetId="8">#REF!</definedName>
    <definedName name="___RX1" localSheetId="7">#REF!</definedName>
    <definedName name="___RX1" localSheetId="13">#REF!</definedName>
    <definedName name="___RX1" localSheetId="15">#REF!</definedName>
    <definedName name="___RX1">#REF!</definedName>
    <definedName name="___RX2" localSheetId="9">#REF!</definedName>
    <definedName name="___RX2" localSheetId="10">#REF!</definedName>
    <definedName name="___RX2" localSheetId="8">#REF!</definedName>
    <definedName name="___RX2" localSheetId="7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d">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Hlk101539631" localSheetId="7">'Q5'!$A$15</definedName>
    <definedName name="_Hlk108283120" localSheetId="8">'Data for Q5'!#REF!</definedName>
    <definedName name="_Hlk108283294" localSheetId="8">'Data for Q5'!#REF!</definedName>
    <definedName name="_Hlk108283336" localSheetId="8">'Data for Q5'!#REF!</definedName>
    <definedName name="_Key1" localSheetId="9" hidden="1">#REF!</definedName>
    <definedName name="_Key1" localSheetId="10" hidden="1">#REF!</definedName>
    <definedName name="_Key1" localSheetId="8" hidden="1">#REF!</definedName>
    <definedName name="_Key1" localSheetId="7" hidden="1">#REF!</definedName>
    <definedName name="_Key1" localSheetId="13" hidden="1">#REF!</definedName>
    <definedName name="_Key1" localSheetId="15" hidden="1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 localSheetId="9">#REF!</definedName>
    <definedName name="_RX1" localSheetId="10">#REF!</definedName>
    <definedName name="_RX1" localSheetId="8">#REF!</definedName>
    <definedName name="_RX1" localSheetId="7">#REF!</definedName>
    <definedName name="_RX1" localSheetId="13">#REF!</definedName>
    <definedName name="_RX1" localSheetId="15">#REF!</definedName>
    <definedName name="_RX1" localSheetId="14">#REF!</definedName>
    <definedName name="_RX1" localSheetId="16">#REF!</definedName>
    <definedName name="_RX1">#REF!</definedName>
    <definedName name="_RX2" localSheetId="9">#REF!</definedName>
    <definedName name="_RX2" localSheetId="10">#REF!</definedName>
    <definedName name="_RX2" localSheetId="8">#REF!</definedName>
    <definedName name="_RX2" localSheetId="7">#REF!</definedName>
    <definedName name="_RX2" localSheetId="13">#REF!</definedName>
    <definedName name="_RX2" localSheetId="15">#REF!</definedName>
    <definedName name="_RX2" localSheetId="14">#REF!</definedName>
    <definedName name="_RX2" localSheetId="16">#REF!</definedName>
    <definedName name="_RX2">#REF!</definedName>
    <definedName name="_RX3" localSheetId="9">#REF!</definedName>
    <definedName name="_RX3" localSheetId="10">#REF!</definedName>
    <definedName name="_RX3" localSheetId="8">#REF!</definedName>
    <definedName name="_RX3" localSheetId="7">#REF!</definedName>
    <definedName name="_RX3" localSheetId="13">#REF!</definedName>
    <definedName name="_RX3" localSheetId="15">#REF!</definedName>
    <definedName name="_RX3" localSheetId="14">#REF!</definedName>
    <definedName name="_RX3" localSheetId="16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 localSheetId="9">#REF!</definedName>
    <definedName name="acctlistn" localSheetId="10">#REF!</definedName>
    <definedName name="acctlistn" localSheetId="8">#REF!</definedName>
    <definedName name="acctlistn" localSheetId="7">#REF!</definedName>
    <definedName name="acctlistn" localSheetId="13">#REF!</definedName>
    <definedName name="acctlistn" localSheetId="15">#REF!</definedName>
    <definedName name="acctlistn" localSheetId="14">#REF!</definedName>
    <definedName name="acctlistn" localSheetId="16">#REF!</definedName>
    <definedName name="acctlistn">#REF!</definedName>
    <definedName name="acctlistx" localSheetId="9">#REF!</definedName>
    <definedName name="acctlistx" localSheetId="10">#REF!</definedName>
    <definedName name="acctlistx" localSheetId="8">#REF!</definedName>
    <definedName name="acctlistx" localSheetId="7">#REF!</definedName>
    <definedName name="acctlistx" localSheetId="13">#REF!</definedName>
    <definedName name="acctlistx" localSheetId="15">#REF!</definedName>
    <definedName name="acctlistx" localSheetId="14">#REF!</definedName>
    <definedName name="acctlistx" localSheetId="16">#REF!</definedName>
    <definedName name="acctlistx">#REF!</definedName>
    <definedName name="Actual_Calendar_Figures">#N/A</definedName>
    <definedName name="Actual_Fiscal_Figures">#N/A</definedName>
    <definedName name="Actual_Member_Months_ASO" localSheetId="9">#REF!</definedName>
    <definedName name="Actual_Member_Months_ASO" localSheetId="10">#REF!</definedName>
    <definedName name="Actual_Member_Months_ASO" localSheetId="8">#REF!</definedName>
    <definedName name="Actual_Member_Months_ASO" localSheetId="7">#REF!</definedName>
    <definedName name="Actual_Member_Months_ASO" localSheetId="13">#REF!</definedName>
    <definedName name="Actual_Member_Months_ASO" localSheetId="15">#REF!</definedName>
    <definedName name="Actual_Member_Months_ASO" localSheetId="14">#REF!</definedName>
    <definedName name="Actual_Member_Months_ASO" localSheetId="16">#REF!</definedName>
    <definedName name="Actual_Member_Months_ASO">#REF!</definedName>
    <definedName name="Actual_Member_Months_Risk" localSheetId="13">#REF!</definedName>
    <definedName name="Actual_Member_Months_Risk" localSheetId="15">#REF!</definedName>
    <definedName name="Actual_Member_Months_Risk" localSheetId="14">#REF!</definedName>
    <definedName name="Actual_Member_Months_Risk" localSheetId="16">#REF!</definedName>
    <definedName name="Actual_Member_Months_Risk">#REF!</definedName>
    <definedName name="ActuarialAssumptionSAS" localSheetId="13">#REF!</definedName>
    <definedName name="ActuarialAssumptionSAS" localSheetId="15">#REF!</definedName>
    <definedName name="ActuarialAssumptionSAS" localSheetId="14">#REF!</definedName>
    <definedName name="ActuarialAssumptionSAS" localSheetId="16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 localSheetId="9">#REF!</definedName>
    <definedName name="AGESEX" localSheetId="10">#REF!</definedName>
    <definedName name="AGESEX" localSheetId="8">#REF!</definedName>
    <definedName name="AGESEX" localSheetId="7">#REF!</definedName>
    <definedName name="AGESEX" localSheetId="13">#REF!</definedName>
    <definedName name="AGESEX" localSheetId="15">#REF!</definedName>
    <definedName name="AGESEX" localSheetId="14">#REF!</definedName>
    <definedName name="AGESEX" localSheetId="16">#REF!</definedName>
    <definedName name="AGESEX">#REF!</definedName>
    <definedName name="AGSXFLAG">[13]Demog!$I$5</definedName>
    <definedName name="ALEX">'[14]HRIS Replacement'!$A$62:$N$135</definedName>
    <definedName name="All_Other" localSheetId="9">#REF!</definedName>
    <definedName name="All_Other" localSheetId="10">#REF!</definedName>
    <definedName name="All_Other" localSheetId="8">#REF!</definedName>
    <definedName name="All_Other" localSheetId="7">#REF!</definedName>
    <definedName name="All_Other" localSheetId="13">#REF!</definedName>
    <definedName name="All_Other" localSheetId="15">#REF!</definedName>
    <definedName name="All_Other" localSheetId="14">#REF!</definedName>
    <definedName name="All_Other" localSheetId="16">#REF!</definedName>
    <definedName name="All_Other">#REF!</definedName>
    <definedName name="ALL_premmatrix" localSheetId="9">#REF!</definedName>
    <definedName name="ALL_premmatrix" localSheetId="10">#REF!</definedName>
    <definedName name="ALL_premmatrix" localSheetId="8">#REF!</definedName>
    <definedName name="ALL_premmatrix" localSheetId="7">#REF!</definedName>
    <definedName name="ALL_premmatrix" localSheetId="13">#REF!</definedName>
    <definedName name="ALL_premmatrix" localSheetId="15">#REF!</definedName>
    <definedName name="ALL_premmatrix" localSheetId="14">#REF!</definedName>
    <definedName name="ALL_premmatrix" localSheetId="16">#REF!</definedName>
    <definedName name="ALL_premmatrix">#REF!</definedName>
    <definedName name="All_Procedure_Codes" localSheetId="9">#REF!</definedName>
    <definedName name="All_Procedure_Codes" localSheetId="10">#REF!</definedName>
    <definedName name="All_Procedure_Codes" localSheetId="8">#REF!</definedName>
    <definedName name="All_Procedure_Codes" localSheetId="7">#REF!</definedName>
    <definedName name="All_Procedure_Codes" localSheetId="13">#REF!</definedName>
    <definedName name="All_Procedure_Codes" localSheetId="15">#REF!</definedName>
    <definedName name="All_Procedure_Codes" localSheetId="14">#REF!</definedName>
    <definedName name="All_Procedure_Codes" localSheetId="16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9">Paid [17]Lag!$B$591:$H$600</definedName>
    <definedName name="aPLagPrint_Buttons" localSheetId="10">Paid [17]Lag!$B$591:$H$600</definedName>
    <definedName name="aPLagPrint_Buttons" localSheetId="8">Paid [17]Lag!$B$591:$H$600</definedName>
    <definedName name="aPLagPrint_Buttons" localSheetId="7">Paid [17]Lag!$B$591:$H$600</definedName>
    <definedName name="aPLagPrint_Buttons" localSheetId="13">Paid [17]Lag!$B$591:$H$600</definedName>
    <definedName name="aPLagPrint_Buttons" localSheetId="15">Paid [17]Lag!$B$591:$H$600</definedName>
    <definedName name="aPLagPrint_Buttons" localSheetId="14">Paid [17]Lag!$B$591:$H$600</definedName>
    <definedName name="aPLagPrint_Buttons" localSheetId="16">Paid [17]Lag!$B$591:$H$600</definedName>
    <definedName name="aPLagPrint_Buttons">Paid [17]Lag!$B$591:$H$600</definedName>
    <definedName name="aRLagPrint_Buttons" localSheetId="9">Receipt [17]Lag!$A$535:$C$541</definedName>
    <definedName name="aRLagPrint_Buttons" localSheetId="10">Receipt [17]Lag!$A$535:$C$541</definedName>
    <definedName name="aRLagPrint_Buttons" localSheetId="8">Receipt [17]Lag!$A$535:$C$541</definedName>
    <definedName name="aRLagPrint_Buttons" localSheetId="7">Receipt [17]Lag!$A$535:$C$541</definedName>
    <definedName name="aRLagPrint_Buttons" localSheetId="13">Receipt [17]Lag!$A$535:$C$541</definedName>
    <definedName name="aRLagPrint_Buttons" localSheetId="15">Receipt [17]Lag!$A$535:$C$541</definedName>
    <definedName name="aRLagPrint_Buttons" localSheetId="14">Receipt [17]Lag!$A$535:$C$541</definedName>
    <definedName name="aRLagPrint_Buttons" localSheetId="16">Receipt [17]Lag!$A$535:$C$541</definedName>
    <definedName name="aRLagPrint_Buttons">Receipt [17]Lag!$A$535:$C$541</definedName>
    <definedName name="asd" localSheetId="9" hidden="1">[18]trends!#REF!</definedName>
    <definedName name="asd" localSheetId="10" hidden="1">[18]trends!#REF!</definedName>
    <definedName name="asd" localSheetId="8" hidden="1">[18]trends!#REF!</definedName>
    <definedName name="asd" localSheetId="7" hidden="1">[18]trends!#REF!</definedName>
    <definedName name="asd" localSheetId="13" hidden="1">[18]trends!#REF!</definedName>
    <definedName name="asd" localSheetId="15" hidden="1">[18]trends!#REF!</definedName>
    <definedName name="asd" localSheetId="14" hidden="1">[18]trends!#REF!</definedName>
    <definedName name="asd" localSheetId="16" hidden="1">[18]trends!#REF!</definedName>
    <definedName name="asd" hidden="1">[18]trends!#REF!</definedName>
    <definedName name="asda" localSheetId="9" hidden="1">[18]trends!#REF!</definedName>
    <definedName name="asda" localSheetId="10" hidden="1">[18]trends!#REF!</definedName>
    <definedName name="asda" localSheetId="8" hidden="1">[18]trends!#REF!</definedName>
    <definedName name="asda" localSheetId="7" hidden="1">[18]trends!#REF!</definedName>
    <definedName name="asda" localSheetId="13" hidden="1">[18]trends!#REF!</definedName>
    <definedName name="asda" localSheetId="15" hidden="1">[18]trends!#REF!</definedName>
    <definedName name="asda" localSheetId="14" hidden="1">[18]trends!#REF!</definedName>
    <definedName name="asda" localSheetId="16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 localSheetId="9">#REF!</definedName>
    <definedName name="asdgf" localSheetId="10">#REF!</definedName>
    <definedName name="asdgf" localSheetId="8">#REF!</definedName>
    <definedName name="asdgf" localSheetId="7">#REF!</definedName>
    <definedName name="asdgf" localSheetId="13">#REF!</definedName>
    <definedName name="asdgf" localSheetId="15">#REF!</definedName>
    <definedName name="asdgf" localSheetId="14">#REF!</definedName>
    <definedName name="asdgf" localSheetId="16">#REF!</definedName>
    <definedName name="asdgf">#REF!</definedName>
    <definedName name="ASO" localSheetId="9">#REF!</definedName>
    <definedName name="ASO" localSheetId="10">#REF!</definedName>
    <definedName name="ASO" localSheetId="8">#REF!</definedName>
    <definedName name="ASO" localSheetId="7">#REF!</definedName>
    <definedName name="ASO" localSheetId="13">#REF!</definedName>
    <definedName name="ASO" localSheetId="15">#REF!</definedName>
    <definedName name="ASO" localSheetId="14">#REF!</definedName>
    <definedName name="ASO" localSheetId="16">#REF!</definedName>
    <definedName name="ASO">#REF!</definedName>
    <definedName name="AssociationAdj">[20]Inputs!$L$4:$M$5</definedName>
    <definedName name="Assumed_LR">[21]Table!$B$4</definedName>
    <definedName name="ATRIUS_ALL" localSheetId="9">#REF!</definedName>
    <definedName name="ATRIUS_ALL" localSheetId="10">#REF!</definedName>
    <definedName name="ATRIUS_ALL" localSheetId="8">#REF!</definedName>
    <definedName name="ATRIUS_ALL" localSheetId="7">#REF!</definedName>
    <definedName name="ATRIUS_ALL" localSheetId="13">#REF!</definedName>
    <definedName name="ATRIUS_ALL" localSheetId="15">#REF!</definedName>
    <definedName name="ATRIUS_ALL" localSheetId="14">#REF!</definedName>
    <definedName name="ATRIUS_ALL" localSheetId="16">#REF!</definedName>
    <definedName name="ATRIUS_ALL">#REF!</definedName>
    <definedName name="AtriusMembers">'[20]MO Prem Data'!$I:$I</definedName>
    <definedName name="autoExcelStatus" localSheetId="9">#REF!</definedName>
    <definedName name="autoExcelStatus" localSheetId="10">#REF!</definedName>
    <definedName name="autoExcelStatus" localSheetId="8">#REF!</definedName>
    <definedName name="autoExcelStatus" localSheetId="7">#REF!</definedName>
    <definedName name="autoExcelStatus" localSheetId="13">#REF!</definedName>
    <definedName name="autoExcelStatus" localSheetId="15">#REF!</definedName>
    <definedName name="autoExcelStatus" localSheetId="14">#REF!</definedName>
    <definedName name="autoExcelStatus" localSheetId="16">#REF!</definedName>
    <definedName name="autoExcelStatus">#REF!</definedName>
    <definedName name="AverageFees">[13]Reimb2!$AO$7</definedName>
    <definedName name="avg_copay" localSheetId="9">#REF!</definedName>
    <definedName name="avg_copay" localSheetId="10">#REF!</definedName>
    <definedName name="avg_copay" localSheetId="8">#REF!</definedName>
    <definedName name="avg_copay" localSheetId="7">#REF!</definedName>
    <definedName name="avg_copay" localSheetId="13">#REF!</definedName>
    <definedName name="avg_copay" localSheetId="15">#REF!</definedName>
    <definedName name="avg_copay" localSheetId="14">#REF!</definedName>
    <definedName name="avg_copay" localSheetId="16">#REF!</definedName>
    <definedName name="avg_copay">#REF!</definedName>
    <definedName name="avg_copay1" localSheetId="9">#REF!</definedName>
    <definedName name="avg_copay1" localSheetId="10">#REF!</definedName>
    <definedName name="avg_copay1" localSheetId="8">#REF!</definedName>
    <definedName name="avg_copay1" localSheetId="7">#REF!</definedName>
    <definedName name="avg_copay1" localSheetId="13">#REF!</definedName>
    <definedName name="avg_copay1" localSheetId="15">#REF!</definedName>
    <definedName name="avg_copay1" localSheetId="14">#REF!</definedName>
    <definedName name="avg_copay1" localSheetId="16">#REF!</definedName>
    <definedName name="avg_copay1">#REF!</definedName>
    <definedName name="avg_copay2" localSheetId="9">#REF!</definedName>
    <definedName name="avg_copay2" localSheetId="10">#REF!</definedName>
    <definedName name="avg_copay2" localSheetId="8">#REF!</definedName>
    <definedName name="avg_copay2" localSheetId="7">#REF!</definedName>
    <definedName name="avg_copay2" localSheetId="13">#REF!</definedName>
    <definedName name="avg_copay2" localSheetId="15">#REF!</definedName>
    <definedName name="avg_copay2" localSheetId="14">#REF!</definedName>
    <definedName name="avg_copay2" localSheetId="16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 localSheetId="9">#REF!</definedName>
    <definedName name="BaseYear" localSheetId="10">#REF!</definedName>
    <definedName name="BaseYear" localSheetId="8">#REF!</definedName>
    <definedName name="BaseYear" localSheetId="7">#REF!</definedName>
    <definedName name="BaseYear" localSheetId="13">#REF!</definedName>
    <definedName name="BaseYear" localSheetId="15">#REF!</definedName>
    <definedName name="BaseYear" localSheetId="14">#REF!</definedName>
    <definedName name="BaseYear" localSheetId="16">#REF!</definedName>
    <definedName name="BaseYear">#REF!</definedName>
    <definedName name="BenDropDownList" localSheetId="9">#REF!</definedName>
    <definedName name="BenDropDownList" localSheetId="10">#REF!</definedName>
    <definedName name="BenDropDownList" localSheetId="8">#REF!</definedName>
    <definedName name="BenDropDownList" localSheetId="7">#REF!</definedName>
    <definedName name="BenDropDownList" localSheetId="13">#REF!</definedName>
    <definedName name="BenDropDownList" localSheetId="15">#REF!</definedName>
    <definedName name="BenDropDownList" localSheetId="14">#REF!</definedName>
    <definedName name="BenDropDownList" localSheetId="16">#REF!</definedName>
    <definedName name="BenDropDownList">#REF!</definedName>
    <definedName name="BestBuyOOP" localSheetId="9">#REF!</definedName>
    <definedName name="BestBuyOOP" localSheetId="10">#REF!</definedName>
    <definedName name="BestBuyOOP" localSheetId="8">#REF!</definedName>
    <definedName name="BestBuyOOP" localSheetId="7">#REF!</definedName>
    <definedName name="BestBuyOOP" localSheetId="13">#REF!</definedName>
    <definedName name="BestBuyOOP" localSheetId="15">#REF!</definedName>
    <definedName name="BestBuyOOP" localSheetId="14">#REF!</definedName>
    <definedName name="BestBuyOOP" localSheetId="16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 localSheetId="9">#REF!</definedName>
    <definedName name="BOC_RX_MATCH" localSheetId="10">#REF!</definedName>
    <definedName name="BOC_RX_MATCH" localSheetId="8">#REF!</definedName>
    <definedName name="BOC_RX_MATCH" localSheetId="7">#REF!</definedName>
    <definedName name="BOC_RX_MATCH" localSheetId="13">#REF!</definedName>
    <definedName name="BOC_RX_MATCH" localSheetId="15">#REF!</definedName>
    <definedName name="BOC_RX_MATCH" localSheetId="14">#REF!</definedName>
    <definedName name="BOC_RX_MATCH" localSheetId="16">#REF!</definedName>
    <definedName name="BOC_RX_MATCH">#REF!</definedName>
    <definedName name="BOCFACTORS" localSheetId="9">#REF!</definedName>
    <definedName name="BOCFACTORS" localSheetId="10">#REF!</definedName>
    <definedName name="BOCFACTORS" localSheetId="8">#REF!</definedName>
    <definedName name="BOCFACTORS" localSheetId="7">#REF!</definedName>
    <definedName name="BOCFACTORS" localSheetId="13">#REF!</definedName>
    <definedName name="BOCFACTORS" localSheetId="15">#REF!</definedName>
    <definedName name="BOCFACTORS" localSheetId="14">#REF!</definedName>
    <definedName name="BOCFACTORS" localSheetId="16">#REF!</definedName>
    <definedName name="BOCFACTORS">#REF!</definedName>
    <definedName name="BOCList" localSheetId="9">#REF!</definedName>
    <definedName name="BOCList" localSheetId="10">#REF!</definedName>
    <definedName name="BOCList" localSheetId="8">#REF!</definedName>
    <definedName name="BOCList" localSheetId="7">#REF!</definedName>
    <definedName name="BOCList" localSheetId="13">#REF!</definedName>
    <definedName name="BOCList" localSheetId="15">#REF!</definedName>
    <definedName name="BOCList" localSheetId="14">#REF!</definedName>
    <definedName name="BOCList" localSheetId="16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 localSheetId="9">#REF!</definedName>
    <definedName name="BTLClaimsPMPM" localSheetId="10">#REF!</definedName>
    <definedName name="BTLClaimsPMPM" localSheetId="8">#REF!</definedName>
    <definedName name="BTLClaimsPMPM" localSheetId="7">#REF!</definedName>
    <definedName name="BTLClaimsPMPM" localSheetId="13">#REF!</definedName>
    <definedName name="BTLClaimsPMPM" localSheetId="15">#REF!</definedName>
    <definedName name="BTLClaimsPMPM" localSheetId="14">#REF!</definedName>
    <definedName name="BTLClaimsPMPM" localSheetId="16">#REF!</definedName>
    <definedName name="BTLClaimsPMPM">#REF!</definedName>
    <definedName name="Budget_Member_Months_ASO" localSheetId="9">#REF!</definedName>
    <definedName name="Budget_Member_Months_ASO" localSheetId="10">#REF!</definedName>
    <definedName name="Budget_Member_Months_ASO" localSheetId="8">#REF!</definedName>
    <definedName name="Budget_Member_Months_ASO" localSheetId="7">#REF!</definedName>
    <definedName name="Budget_Member_Months_ASO" localSheetId="13">#REF!</definedName>
    <definedName name="Budget_Member_Months_ASO" localSheetId="15">#REF!</definedName>
    <definedName name="Budget_Member_Months_ASO" localSheetId="14">#REF!</definedName>
    <definedName name="Budget_Member_Months_ASO" localSheetId="16">#REF!</definedName>
    <definedName name="Budget_Member_Months_ASO">#REF!</definedName>
    <definedName name="Budget_Member_Months_Risk" localSheetId="9">#REF!</definedName>
    <definedName name="Budget_Member_Months_Risk" localSheetId="10">#REF!</definedName>
    <definedName name="Budget_Member_Months_Risk" localSheetId="8">#REF!</definedName>
    <definedName name="Budget_Member_Months_Risk" localSheetId="7">#REF!</definedName>
    <definedName name="Budget_Member_Months_Risk" localSheetId="13">#REF!</definedName>
    <definedName name="Budget_Member_Months_Risk" localSheetId="15">#REF!</definedName>
    <definedName name="Budget_Member_Months_Risk" localSheetId="14">#REF!</definedName>
    <definedName name="Budget_Member_Months_Risk" localSheetId="16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 localSheetId="9">#REF!</definedName>
    <definedName name="BuzzWeb_Benefit_Policy_Type" localSheetId="10">#REF!</definedName>
    <definedName name="BuzzWeb_Benefit_Policy_Type" localSheetId="8">#REF!</definedName>
    <definedName name="BuzzWeb_Benefit_Policy_Type" localSheetId="7">#REF!</definedName>
    <definedName name="BuzzWeb_Benefit_Policy_Type" localSheetId="13">#REF!</definedName>
    <definedName name="BuzzWeb_Benefit_Policy_Type" localSheetId="15">#REF!</definedName>
    <definedName name="BuzzWeb_Benefit_Policy_Type" localSheetId="14">#REF!</definedName>
    <definedName name="BuzzWeb_Benefit_Policy_Type" localSheetId="16">#REF!</definedName>
    <definedName name="BuzzWeb_Benefit_Policy_Type">#REF!</definedName>
    <definedName name="BuzzWeb_BOC_ID" localSheetId="9">#REF!</definedName>
    <definedName name="BuzzWeb_BOC_ID" localSheetId="10">#REF!</definedName>
    <definedName name="BuzzWeb_BOC_ID" localSheetId="8">#REF!</definedName>
    <definedName name="BuzzWeb_BOC_ID" localSheetId="7">#REF!</definedName>
    <definedName name="BuzzWeb_BOC_ID" localSheetId="13">#REF!</definedName>
    <definedName name="BuzzWeb_BOC_ID" localSheetId="15">#REF!</definedName>
    <definedName name="BuzzWeb_BOC_ID" localSheetId="14">#REF!</definedName>
    <definedName name="BuzzWeb_BOC_ID" localSheetId="16">#REF!</definedName>
    <definedName name="BuzzWeb_BOC_ID">#REF!</definedName>
    <definedName name="BuzzWeb_BOC_ID_FMHP" localSheetId="9">#REF!</definedName>
    <definedName name="BuzzWeb_BOC_ID_FMHP" localSheetId="10">#REF!</definedName>
    <definedName name="BuzzWeb_BOC_ID_FMHP" localSheetId="8">#REF!</definedName>
    <definedName name="BuzzWeb_BOC_ID_FMHP" localSheetId="7">#REF!</definedName>
    <definedName name="BuzzWeb_BOC_ID_FMHP" localSheetId="13">#REF!</definedName>
    <definedName name="BuzzWeb_BOC_ID_FMHP" localSheetId="15">#REF!</definedName>
    <definedName name="BuzzWeb_BOC_ID_FMHP" localSheetId="14">#REF!</definedName>
    <definedName name="BuzzWeb_BOC_ID_FMHP" localSheetId="16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 localSheetId="9">#REF!</definedName>
    <definedName name="BuzzWeb_Configuration" localSheetId="10">#REF!</definedName>
    <definedName name="BuzzWeb_Configuration" localSheetId="8">#REF!</definedName>
    <definedName name="BuzzWeb_Configuration" localSheetId="7">#REF!</definedName>
    <definedName name="BuzzWeb_Configuration" localSheetId="13">#REF!</definedName>
    <definedName name="BuzzWeb_Configuration" localSheetId="15">#REF!</definedName>
    <definedName name="BuzzWeb_Configuration" localSheetId="14">#REF!</definedName>
    <definedName name="BuzzWeb_Configuration" localSheetId="16">#REF!</definedName>
    <definedName name="BuzzWeb_Configuration">#REF!</definedName>
    <definedName name="BuzzWeb_Four_Tier_Rx_Brochure_Filename" localSheetId="9">#REF!</definedName>
    <definedName name="BuzzWeb_Four_Tier_Rx_Brochure_Filename" localSheetId="10">#REF!</definedName>
    <definedName name="BuzzWeb_Four_Tier_Rx_Brochure_Filename" localSheetId="8">#REF!</definedName>
    <definedName name="BuzzWeb_Four_Tier_Rx_Brochure_Filename" localSheetId="7">#REF!</definedName>
    <definedName name="BuzzWeb_Four_Tier_Rx_Brochure_Filename" localSheetId="13">#REF!</definedName>
    <definedName name="BuzzWeb_Four_Tier_Rx_Brochure_Filename" localSheetId="15">#REF!</definedName>
    <definedName name="BuzzWeb_Four_Tier_Rx_Brochure_Filename" localSheetId="14">#REF!</definedName>
    <definedName name="BuzzWeb_Four_Tier_Rx_Brochure_Filename" localSheetId="16">#REF!</definedName>
    <definedName name="BuzzWeb_Four_Tier_Rx_Brochure_Filename">#REF!</definedName>
    <definedName name="BuzzWeb_Four_Tier_Rx_Brochure_Title" localSheetId="9">#REF!</definedName>
    <definedName name="BuzzWeb_Four_Tier_Rx_Brochure_Title" localSheetId="10">#REF!</definedName>
    <definedName name="BuzzWeb_Four_Tier_Rx_Brochure_Title" localSheetId="8">#REF!</definedName>
    <definedName name="BuzzWeb_Four_Tier_Rx_Brochure_Title" localSheetId="7">#REF!</definedName>
    <definedName name="BuzzWeb_Four_Tier_Rx_Brochure_Title" localSheetId="13">#REF!</definedName>
    <definedName name="BuzzWeb_Four_Tier_Rx_Brochure_Title" localSheetId="15">#REF!</definedName>
    <definedName name="BuzzWeb_Four_Tier_Rx_Brochure_Title" localSheetId="14">#REF!</definedName>
    <definedName name="BuzzWeb_Four_Tier_Rx_Brochure_Title" localSheetId="16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 localSheetId="9">#REF!</definedName>
    <definedName name="catlistn" localSheetId="10">#REF!</definedName>
    <definedName name="catlistn" localSheetId="8">#REF!</definedName>
    <definedName name="catlistn" localSheetId="7">#REF!</definedName>
    <definedName name="catlistn" localSheetId="13">#REF!</definedName>
    <definedName name="catlistn" localSheetId="15">#REF!</definedName>
    <definedName name="catlistn" localSheetId="14">#REF!</definedName>
    <definedName name="catlistn" localSheetId="16">#REF!</definedName>
    <definedName name="catlistn">#REF!</definedName>
    <definedName name="catlistx" localSheetId="9">#REF!</definedName>
    <definedName name="catlistx" localSheetId="10">#REF!</definedName>
    <definedName name="catlistx" localSheetId="8">#REF!</definedName>
    <definedName name="catlistx" localSheetId="7">#REF!</definedName>
    <definedName name="catlistx" localSheetId="13">#REF!</definedName>
    <definedName name="catlistx" localSheetId="15">#REF!</definedName>
    <definedName name="catlistx" localSheetId="14">#REF!</definedName>
    <definedName name="catlistx" localSheetId="16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 localSheetId="9">#REF!</definedName>
    <definedName name="CCC" localSheetId="10">#REF!</definedName>
    <definedName name="CCC" localSheetId="8">#REF!</definedName>
    <definedName name="CCC" localSheetId="7">#REF!</definedName>
    <definedName name="CCC" localSheetId="13">#REF!</definedName>
    <definedName name="CCC" localSheetId="15">#REF!</definedName>
    <definedName name="CCC" localSheetId="14">#REF!</definedName>
    <definedName name="CCC" localSheetId="16">#REF!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 localSheetId="9">#REF!</definedName>
    <definedName name="CHECKSTUFF" localSheetId="10">#REF!</definedName>
    <definedName name="CHECKSTUFF" localSheetId="8">#REF!</definedName>
    <definedName name="CHECKSTUFF" localSheetId="7">#REF!</definedName>
    <definedName name="CHECKSTUFF" localSheetId="13">#REF!</definedName>
    <definedName name="CHECKSTUFF" localSheetId="15">#REF!</definedName>
    <definedName name="CHECKSTUFF" localSheetId="14">#REF!</definedName>
    <definedName name="CHECKSTUFF" localSheetId="16">#REF!</definedName>
    <definedName name="CHECKSTUFF">#REF!</definedName>
    <definedName name="ChiroGate">'[13]Input Flags'!$D$8</definedName>
    <definedName name="Choice_Chiro" localSheetId="9">#REF!</definedName>
    <definedName name="Choice_Chiro" localSheetId="10">#REF!</definedName>
    <definedName name="Choice_Chiro" localSheetId="8">#REF!</definedName>
    <definedName name="Choice_Chiro" localSheetId="7">#REF!</definedName>
    <definedName name="Choice_Chiro" localSheetId="13">#REF!</definedName>
    <definedName name="Choice_Chiro" localSheetId="15">#REF!</definedName>
    <definedName name="Choice_Chiro" localSheetId="14">#REF!</definedName>
    <definedName name="Choice_Chiro" localSheetId="16">#REF!</definedName>
    <definedName name="Choice_Chiro">#REF!</definedName>
    <definedName name="Choice_DME" localSheetId="9">#REF!</definedName>
    <definedName name="Choice_DME" localSheetId="10">#REF!</definedName>
    <definedName name="Choice_DME" localSheetId="8">#REF!</definedName>
    <definedName name="Choice_DME" localSheetId="7">#REF!</definedName>
    <definedName name="Choice_DME" localSheetId="13">#REF!</definedName>
    <definedName name="Choice_DME" localSheetId="15">#REF!</definedName>
    <definedName name="Choice_DME" localSheetId="14">#REF!</definedName>
    <definedName name="Choice_DME" localSheetId="16">#REF!</definedName>
    <definedName name="Choice_DME">#REF!</definedName>
    <definedName name="Choice_IPRehab" localSheetId="9">#REF!</definedName>
    <definedName name="Choice_IPRehab" localSheetId="10">#REF!</definedName>
    <definedName name="Choice_IPRehab" localSheetId="8">#REF!</definedName>
    <definedName name="Choice_IPRehab" localSheetId="7">#REF!</definedName>
    <definedName name="Choice_IPRehab" localSheetId="13">#REF!</definedName>
    <definedName name="Choice_IPRehab" localSheetId="15">#REF!</definedName>
    <definedName name="Choice_IPRehab" localSheetId="14">#REF!</definedName>
    <definedName name="Choice_IPRehab" localSheetId="16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 localSheetId="9">#REF!</definedName>
    <definedName name="CLAIMSDATA" localSheetId="10">#REF!</definedName>
    <definedName name="CLAIMSDATA" localSheetId="8">#REF!</definedName>
    <definedName name="CLAIMSDATA" localSheetId="7">#REF!</definedName>
    <definedName name="CLAIMSDATA" localSheetId="13">#REF!</definedName>
    <definedName name="CLAIMSDATA" localSheetId="15">#REF!</definedName>
    <definedName name="CLAIMSDATA" localSheetId="14">#REF!</definedName>
    <definedName name="CLAIMSDATA" localSheetId="16">#REF!</definedName>
    <definedName name="CLAIMSDATA">#REF!</definedName>
    <definedName name="classes" localSheetId="9">#REF!</definedName>
    <definedName name="classes" localSheetId="10">#REF!</definedName>
    <definedName name="classes" localSheetId="8">#REF!</definedName>
    <definedName name="classes" localSheetId="7">#REF!</definedName>
    <definedName name="classes" localSheetId="13">#REF!</definedName>
    <definedName name="classes" localSheetId="15">#REF!</definedName>
    <definedName name="classes" localSheetId="14">#REF!</definedName>
    <definedName name="classes" localSheetId="16">#REF!</definedName>
    <definedName name="classes">#REF!</definedName>
    <definedName name="classesn" localSheetId="9">#REF!</definedName>
    <definedName name="classesn" localSheetId="10">#REF!</definedName>
    <definedName name="classesn" localSheetId="8">#REF!</definedName>
    <definedName name="classesn" localSheetId="7">#REF!</definedName>
    <definedName name="classesn" localSheetId="13">#REF!</definedName>
    <definedName name="classesn" localSheetId="15">#REF!</definedName>
    <definedName name="classesn" localSheetId="14">#REF!</definedName>
    <definedName name="classesn" localSheetId="16">#REF!</definedName>
    <definedName name="classesn">#REF!</definedName>
    <definedName name="Clm_summary2">#REF!</definedName>
    <definedName name="CM">[32]Data!$C$4</definedName>
    <definedName name="CODES2" localSheetId="9">#REF!</definedName>
    <definedName name="CODES2" localSheetId="10">#REF!</definedName>
    <definedName name="CODES2" localSheetId="8">#REF!</definedName>
    <definedName name="CODES2" localSheetId="7">#REF!</definedName>
    <definedName name="CODES2" localSheetId="13">#REF!</definedName>
    <definedName name="CODES2" localSheetId="15">#REF!</definedName>
    <definedName name="CODES2" localSheetId="14">#REF!</definedName>
    <definedName name="CODES2" localSheetId="16">#REF!</definedName>
    <definedName name="CODES2">#REF!</definedName>
    <definedName name="comm_Names" localSheetId="9">#REF!</definedName>
    <definedName name="comm_Names" localSheetId="10">#REF!</definedName>
    <definedName name="comm_Names" localSheetId="8">#REF!</definedName>
    <definedName name="comm_Names" localSheetId="7">#REF!</definedName>
    <definedName name="comm_Names" localSheetId="13">#REF!</definedName>
    <definedName name="comm_Names" localSheetId="15">#REF!</definedName>
    <definedName name="comm_Names" localSheetId="14">#REF!</definedName>
    <definedName name="comm_Names" localSheetId="16">#REF!</definedName>
    <definedName name="comm_Names">#REF!</definedName>
    <definedName name="comm_OP_Download" localSheetId="9">#REF!</definedName>
    <definedName name="comm_OP_Download" localSheetId="10">#REF!</definedName>
    <definedName name="comm_OP_Download" localSheetId="8">#REF!</definedName>
    <definedName name="comm_OP_Download" localSheetId="7">#REF!</definedName>
    <definedName name="comm_OP_Download" localSheetId="13">#REF!</definedName>
    <definedName name="comm_OP_Download" localSheetId="15">#REF!</definedName>
    <definedName name="comm_OP_Download" localSheetId="14">#REF!</definedName>
    <definedName name="comm_OP_Download" localSheetId="16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 localSheetId="9">#REF!</definedName>
    <definedName name="costlookup" localSheetId="10">#REF!</definedName>
    <definedName name="costlookup" localSheetId="8">#REF!</definedName>
    <definedName name="costlookup" localSheetId="7">#REF!</definedName>
    <definedName name="costlookup" localSheetId="13">#REF!</definedName>
    <definedName name="costlookup" localSheetId="15">#REF!</definedName>
    <definedName name="costlookup" localSheetId="14">#REF!</definedName>
    <definedName name="costlookup" localSheetId="16">#REF!</definedName>
    <definedName name="costlookup">#REF!</definedName>
    <definedName name="CostMix">[15]MIX_OUTPUT!$R:$R</definedName>
    <definedName name="countfilter3" localSheetId="9">#REF!</definedName>
    <definedName name="countfilter3" localSheetId="10">#REF!</definedName>
    <definedName name="countfilter3" localSheetId="8">#REF!</definedName>
    <definedName name="countfilter3" localSheetId="7">#REF!</definedName>
    <definedName name="countfilter3" localSheetId="13">#REF!</definedName>
    <definedName name="countfilter3" localSheetId="15">#REF!</definedName>
    <definedName name="countfilter3" localSheetId="14">#REF!</definedName>
    <definedName name="countfilter3" localSheetId="16">#REF!</definedName>
    <definedName name="countfilter3">#REF!</definedName>
    <definedName name="CPD_DETAIL_OON" localSheetId="13">[34]CPDs!#REF!</definedName>
    <definedName name="CPD_DETAIL_OON" localSheetId="15">[34]CPDs!#REF!</definedName>
    <definedName name="CPD_DETAIL_OON" localSheetId="14">[34]CPDs!#REF!</definedName>
    <definedName name="CPD_DETAIL_OON" localSheetId="16">[34]CPDs!#REF!</definedName>
    <definedName name="CPD_DETAIL_OON">[34]CPDs!#REF!</definedName>
    <definedName name="CPDList">[13]Controls!$D$211:$D$233</definedName>
    <definedName name="CT_SG_YTD201510_CENSUS2" localSheetId="9">#REF!</definedName>
    <definedName name="CT_SG_YTD201510_CENSUS2" localSheetId="10">#REF!</definedName>
    <definedName name="CT_SG_YTD201510_CENSUS2" localSheetId="8">#REF!</definedName>
    <definedName name="CT_SG_YTD201510_CENSUS2" localSheetId="7">#REF!</definedName>
    <definedName name="CT_SG_YTD201510_CENSUS2" localSheetId="13">#REF!</definedName>
    <definedName name="CT_SG_YTD201510_CENSUS2" localSheetId="15">#REF!</definedName>
    <definedName name="CT_SG_YTD201510_CENSUS2" localSheetId="14">#REF!</definedName>
    <definedName name="CT_SG_YTD201510_CENSUS2" localSheetId="16">#REF!</definedName>
    <definedName name="CT_SG_YTD201510_CENSUS2">#REF!</definedName>
    <definedName name="CTPMPMVar" localSheetId="9">#REF!</definedName>
    <definedName name="CTPMPMVar" localSheetId="10">#REF!</definedName>
    <definedName name="CTPMPMVar" localSheetId="8">#REF!</definedName>
    <definedName name="CTPMPMVar" localSheetId="7">#REF!</definedName>
    <definedName name="CTPMPMVar" localSheetId="13">#REF!</definedName>
    <definedName name="CTPMPMVar" localSheetId="15">#REF!</definedName>
    <definedName name="CTPMPMVar" localSheetId="14">#REF!</definedName>
    <definedName name="CTPMPMVar" localSheetId="16">#REF!</definedName>
    <definedName name="CTPMPMVar">#REF!</definedName>
    <definedName name="CTPMPMVarBE" localSheetId="9">#REF!</definedName>
    <definedName name="CTPMPMVarBE" localSheetId="10">#REF!</definedName>
    <definedName name="CTPMPMVarBE" localSheetId="8">#REF!</definedName>
    <definedName name="CTPMPMVarBE" localSheetId="7">#REF!</definedName>
    <definedName name="CTPMPMVarBE" localSheetId="13">#REF!</definedName>
    <definedName name="CTPMPMVarBE" localSheetId="15">#REF!</definedName>
    <definedName name="CTPMPMVarBE" localSheetId="14">#REF!</definedName>
    <definedName name="CTPMPMVarBE" localSheetId="16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 localSheetId="9">#REF!</definedName>
    <definedName name="currentrecord" localSheetId="10">#REF!</definedName>
    <definedName name="currentrecord" localSheetId="8">#REF!</definedName>
    <definedName name="currentrecord" localSheetId="7">#REF!</definedName>
    <definedName name="currentrecord" localSheetId="13">#REF!</definedName>
    <definedName name="currentrecord" localSheetId="15">#REF!</definedName>
    <definedName name="currentrecord" localSheetId="14">#REF!</definedName>
    <definedName name="currentrecord" localSheetId="16">#REF!</definedName>
    <definedName name="currentrecord">#REF!</definedName>
    <definedName name="d">[36]BOC!$B$2:$F$37</definedName>
    <definedName name="D_dent_size" localSheetId="9">#REF!</definedName>
    <definedName name="D_dent_size" localSheetId="10">#REF!</definedName>
    <definedName name="D_dent_size" localSheetId="8">#REF!</definedName>
    <definedName name="D_dent_size" localSheetId="7">#REF!</definedName>
    <definedName name="D_dent_size" localSheetId="13">#REF!</definedName>
    <definedName name="D_dent_size" localSheetId="15">#REF!</definedName>
    <definedName name="D_dent_size" localSheetId="14">#REF!</definedName>
    <definedName name="D_dent_size" localSheetId="16">#REF!</definedName>
    <definedName name="D_dent_size">#REF!</definedName>
    <definedName name="D_MedSupp" localSheetId="9">#REF!</definedName>
    <definedName name="D_MedSupp" localSheetId="10">#REF!</definedName>
    <definedName name="D_MedSupp" localSheetId="8">#REF!</definedName>
    <definedName name="D_MedSupp" localSheetId="7">#REF!</definedName>
    <definedName name="D_MedSupp" localSheetId="13">#REF!</definedName>
    <definedName name="D_MedSupp" localSheetId="15">#REF!</definedName>
    <definedName name="D_MedSupp" localSheetId="14">#REF!</definedName>
    <definedName name="D_MedSupp" localSheetId="16">#REF!</definedName>
    <definedName name="D_MedSupp">#REF!</definedName>
    <definedName name="data" localSheetId="9">#REF!</definedName>
    <definedName name="data" localSheetId="10">#REF!</definedName>
    <definedName name="data" localSheetId="8">#REF!</definedName>
    <definedName name="data" localSheetId="7">#REF!</definedName>
    <definedName name="data" localSheetId="13">#REF!</definedName>
    <definedName name="data" localSheetId="15">#REF!</definedName>
    <definedName name="data" localSheetId="14">#REF!</definedName>
    <definedName name="data" localSheetId="16">#REF!</definedName>
    <definedName name="data">#REF!</definedName>
    <definedName name="_xlnm.Database">#REF!</definedName>
    <definedName name="dd">'[37]RateModel Input'!$F$14</definedName>
    <definedName name="ddd" localSheetId="9" hidden="1">#REF!</definedName>
    <definedName name="ddd" localSheetId="10" hidden="1">#REF!</definedName>
    <definedName name="ddd" localSheetId="8" hidden="1">#REF!</definedName>
    <definedName name="ddd" localSheetId="7" hidden="1">#REF!</definedName>
    <definedName name="ddd" localSheetId="13" hidden="1">#REF!</definedName>
    <definedName name="ddd" localSheetId="15" hidden="1">#REF!</definedName>
    <definedName name="ddd" localSheetId="14" hidden="1">#REF!</definedName>
    <definedName name="ddd" localSheetId="16" hidden="1">#REF!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 localSheetId="9">#REF!</definedName>
    <definedName name="DedAggr" localSheetId="10">#REF!</definedName>
    <definedName name="DedAggr" localSheetId="8">#REF!</definedName>
    <definedName name="DedAggr" localSheetId="7">#REF!</definedName>
    <definedName name="DedAggr" localSheetId="13">#REF!</definedName>
    <definedName name="DedAggr" localSheetId="15">#REF!</definedName>
    <definedName name="DedAggr" localSheetId="14">#REF!</definedName>
    <definedName name="DedAggr" localSheetId="16">#REF!</definedName>
    <definedName name="DedAggr">#REF!</definedName>
    <definedName name="DedApplyRx" localSheetId="9">#REF!</definedName>
    <definedName name="DedApplyRx" localSheetId="10">#REF!</definedName>
    <definedName name="DedApplyRx" localSheetId="8">#REF!</definedName>
    <definedName name="DedApplyRx" localSheetId="7">#REF!</definedName>
    <definedName name="DedApplyRx" localSheetId="13">#REF!</definedName>
    <definedName name="DedApplyRx" localSheetId="15">#REF!</definedName>
    <definedName name="DedApplyRx" localSheetId="14">#REF!</definedName>
    <definedName name="DedApplyRx" localSheetId="16">#REF!</definedName>
    <definedName name="DedApplyRx">#REF!</definedName>
    <definedName name="DedTypes" localSheetId="9">#REF!</definedName>
    <definedName name="DedTypes" localSheetId="10">#REF!</definedName>
    <definedName name="DedTypes" localSheetId="8">#REF!</definedName>
    <definedName name="DedTypes" localSheetId="7">#REF!</definedName>
    <definedName name="DedTypes" localSheetId="13">#REF!</definedName>
    <definedName name="DedTypes" localSheetId="15">#REF!</definedName>
    <definedName name="DedTypes" localSheetId="14">#REF!</definedName>
    <definedName name="DedTypes" localSheetId="16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 localSheetId="9">#REF!</definedName>
    <definedName name="DeloittePMPM" localSheetId="10">#REF!</definedName>
    <definedName name="DeloittePMPM" localSheetId="8">#REF!</definedName>
    <definedName name="DeloittePMPM" localSheetId="7">#REF!</definedName>
    <definedName name="DeloittePMPM" localSheetId="13">#REF!</definedName>
    <definedName name="DeloittePMPM" localSheetId="15">#REF!</definedName>
    <definedName name="DeloittePMPM" localSheetId="14">#REF!</definedName>
    <definedName name="DeloittePMPM" localSheetId="16">#REF!</definedName>
    <definedName name="DeloittePMPM">#REF!</definedName>
    <definedName name="DeloittePMPMBE" localSheetId="13">#REF!</definedName>
    <definedName name="DeloittePMPMBE" localSheetId="15">#REF!</definedName>
    <definedName name="DeloittePMPMBE" localSheetId="14">#REF!</definedName>
    <definedName name="DeloittePMPMBE" localSheetId="16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 localSheetId="9">#REF!</definedName>
    <definedName name="deptlistn" localSheetId="10">#REF!</definedName>
    <definedName name="deptlistn" localSheetId="8">#REF!</definedName>
    <definedName name="deptlistn" localSheetId="7">#REF!</definedName>
    <definedName name="deptlistn" localSheetId="13">#REF!</definedName>
    <definedName name="deptlistn" localSheetId="15">#REF!</definedName>
    <definedName name="deptlistn" localSheetId="14">#REF!</definedName>
    <definedName name="deptlistn" localSheetId="16">#REF!</definedName>
    <definedName name="deptlistn">#REF!</definedName>
    <definedName name="descriptions" localSheetId="9">#REF!</definedName>
    <definedName name="descriptions" localSheetId="10">#REF!</definedName>
    <definedName name="descriptions" localSheetId="8">#REF!</definedName>
    <definedName name="descriptions" localSheetId="7">#REF!</definedName>
    <definedName name="descriptions" localSheetId="13">#REF!</definedName>
    <definedName name="descriptions" localSheetId="15">#REF!</definedName>
    <definedName name="descriptions" localSheetId="14">#REF!</definedName>
    <definedName name="descriptions" localSheetId="16">#REF!</definedName>
    <definedName name="descriptions">#REF!</definedName>
    <definedName name="driver" localSheetId="9">#REF!</definedName>
    <definedName name="driver" localSheetId="10">#REF!</definedName>
    <definedName name="driver" localSheetId="8">#REF!</definedName>
    <definedName name="driver" localSheetId="7">#REF!</definedName>
    <definedName name="driver" localSheetId="13">#REF!</definedName>
    <definedName name="driver" localSheetId="15">#REF!</definedName>
    <definedName name="driver" localSheetId="14">#REF!</definedName>
    <definedName name="driver" localSheetId="16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 localSheetId="9">OFFSET([42]OriginalData!$D$6,[42]OriginalData!$A$62-1,[42]OriginalData!$A$62-1,#REF!,#REF!)</definedName>
    <definedName name="dyna_rnge_orig_data_4" localSheetId="10">OFFSET([42]OriginalData!$D$6,[42]OriginalData!$A$62-1,[42]OriginalData!$A$62-1,#REF!,#REF!)</definedName>
    <definedName name="dyna_rnge_orig_data_4" localSheetId="8">OFFSET([42]OriginalData!$D$6,[42]OriginalData!$A$62-1,[42]OriginalData!$A$62-1,#REF!,#REF!)</definedName>
    <definedName name="dyna_rnge_orig_data_4" localSheetId="7">OFFSET([42]OriginalData!$D$6,[42]OriginalData!$A$62-1,[42]OriginalData!$A$62-1,#REF!,#REF!)</definedName>
    <definedName name="dyna_rnge_orig_data_4" localSheetId="13">OFFSET([42]OriginalData!$D$6,[42]OriginalData!$A$62-1,[42]OriginalData!$A$62-1,#REF!,#REF!)</definedName>
    <definedName name="dyna_rnge_orig_data_4" localSheetId="15">OFFSET([42]OriginalData!$D$6,[42]OriginalData!$A$62-1,[42]OriginalData!$A$62-1,#REF!,#REF!)</definedName>
    <definedName name="dyna_rnge_orig_data_4" localSheetId="14">OFFSET([42]OriginalData!$D$6,[42]OriginalData!$A$62-1,[42]OriginalData!$A$62-1,#REF!,#REF!)</definedName>
    <definedName name="dyna_rnge_orig_data_4" localSheetId="16">OFFSET([42]OriginalData!$D$6,[42]OriginalData!$A$62-1,[42]OriginalData!$A$62-1,#REF!,#REF!)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 localSheetId="9">OFFSET(#REF!,0,0,1,1)</definedName>
    <definedName name="dyna_rnge_work_data4" localSheetId="10">OFFSET(#REF!,0,0,1,1)</definedName>
    <definedName name="dyna_rnge_work_data4" localSheetId="8">OFFSET(#REF!,0,0,1,1)</definedName>
    <definedName name="dyna_rnge_work_data4" localSheetId="7">OFFSET(#REF!,0,0,1,1)</definedName>
    <definedName name="dyna_rnge_work_data4" localSheetId="13">OFFSET(#REF!,0,0,1,1)</definedName>
    <definedName name="dyna_rnge_work_data4" localSheetId="15">OFFSET(#REF!,0,0,1,1)</definedName>
    <definedName name="dyna_rnge_work_data4" localSheetId="14">OFFSET(#REF!,0,0,1,1)</definedName>
    <definedName name="dyna_rnge_work_data4" localSheetId="16">OFFSET(#REF!,0,0,1,1)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 localSheetId="9">OFFSET(#REF!,0,0,[42]OriginalData!$G$1-1,1)</definedName>
    <definedName name="dyna_rnge_work_data6_13" localSheetId="10">OFFSET(#REF!,0,0,[42]OriginalData!$G$1-1,1)</definedName>
    <definedName name="dyna_rnge_work_data6_13" localSheetId="8">OFFSET(#REF!,0,0,[42]OriginalData!$G$1-1,1)</definedName>
    <definedName name="dyna_rnge_work_data6_13" localSheetId="7">OFFSET(#REF!,0,0,[42]OriginalData!$G$1-1,1)</definedName>
    <definedName name="dyna_rnge_work_data6_13" localSheetId="13">OFFSET(#REF!,0,0,[42]OriginalData!$G$1-1,1)</definedName>
    <definedName name="dyna_rnge_work_data6_13" localSheetId="15">OFFSET(#REF!,0,0,[42]OriginalData!$G$1-1,1)</definedName>
    <definedName name="dyna_rnge_work_data6_13" localSheetId="14">OFFSET(#REF!,0,0,[42]OriginalData!$G$1-1,1)</definedName>
    <definedName name="dyna_rnge_work_data6_13" localSheetId="16">OFFSET(#REF!,0,0,[42]OriginalData!$G$1-1,1)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 localSheetId="9">#REF!</definedName>
    <definedName name="esummary" localSheetId="10">#REF!</definedName>
    <definedName name="esummary" localSheetId="8">#REF!</definedName>
    <definedName name="esummary" localSheetId="7">#REF!</definedName>
    <definedName name="esummary" localSheetId="13">#REF!</definedName>
    <definedName name="esummary" localSheetId="15">#REF!</definedName>
    <definedName name="esummary" localSheetId="14">#REF!</definedName>
    <definedName name="esummary" localSheetId="16">#REF!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 localSheetId="9">#REF!</definedName>
    <definedName name="EXCLUDETAB" localSheetId="10">#REF!</definedName>
    <definedName name="EXCLUDETAB" localSheetId="8">#REF!</definedName>
    <definedName name="EXCLUDETAB" localSheetId="7">#REF!</definedName>
    <definedName name="EXCLUDETAB" localSheetId="13">#REF!</definedName>
    <definedName name="EXCLUDETAB" localSheetId="15">#REF!</definedName>
    <definedName name="EXCLUDETAB" localSheetId="14">#REF!</definedName>
    <definedName name="EXCLUDETAB" localSheetId="16">#REF!</definedName>
    <definedName name="EXCLUDETAB">#REF!</definedName>
    <definedName name="Exess_2_rate">[21]Table!$A$9:$B$18</definedName>
    <definedName name="expcat">'[11]2018 Expense Categories'!#REF!</definedName>
    <definedName name="EXPORT_2003" localSheetId="9">#REF!</definedName>
    <definedName name="EXPORT_2003" localSheetId="10">#REF!</definedName>
    <definedName name="EXPORT_2003" localSheetId="8">#REF!</definedName>
    <definedName name="EXPORT_2003" localSheetId="7">#REF!</definedName>
    <definedName name="EXPORT_2003" localSheetId="13">#REF!</definedName>
    <definedName name="EXPORT_2003" localSheetId="15">#REF!</definedName>
    <definedName name="EXPORT_2003" localSheetId="14">#REF!</definedName>
    <definedName name="EXPORT_2003" localSheetId="16">#REF!</definedName>
    <definedName name="EXPORT_2003">#REF!</definedName>
    <definedName name="f">[36]BOC!$E$2:$F$13</definedName>
    <definedName name="F_AGE" localSheetId="9">#REF!</definedName>
    <definedName name="F_AGE" localSheetId="10">#REF!</definedName>
    <definedName name="F_AGE" localSheetId="8">#REF!</definedName>
    <definedName name="F_AGE" localSheetId="7">#REF!</definedName>
    <definedName name="F_AGE" localSheetId="13">#REF!</definedName>
    <definedName name="F_AGE" localSheetId="15">#REF!</definedName>
    <definedName name="F_AGE" localSheetId="14">#REF!</definedName>
    <definedName name="F_AGE" localSheetId="16">#REF!</definedName>
    <definedName name="F_AGE">#REF!</definedName>
    <definedName name="F_AGESEX" localSheetId="9">#REF!</definedName>
    <definedName name="F_AGESEX" localSheetId="10">#REF!</definedName>
    <definedName name="F_AGESEX" localSheetId="8">#REF!</definedName>
    <definedName name="F_AGESEX" localSheetId="7">#REF!</definedName>
    <definedName name="F_AGESEX" localSheetId="13">#REF!</definedName>
    <definedName name="F_AGESEX" localSheetId="15">#REF!</definedName>
    <definedName name="F_AGESEX" localSheetId="14">#REF!</definedName>
    <definedName name="F_AGESEX" localSheetId="16">#REF!</definedName>
    <definedName name="F_AGESEX">#REF!</definedName>
    <definedName name="F_AREA" localSheetId="9">#REF!</definedName>
    <definedName name="F_AREA" localSheetId="10">#REF!</definedName>
    <definedName name="F_AREA" localSheetId="8">#REF!</definedName>
    <definedName name="F_AREA" localSheetId="7">#REF!</definedName>
    <definedName name="F_AREA" localSheetId="13">#REF!</definedName>
    <definedName name="F_AREA" localSheetId="15">#REF!</definedName>
    <definedName name="F_AREA" localSheetId="14">#REF!</definedName>
    <definedName name="F_AREA" localSheetId="16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 localSheetId="9">#REF!</definedName>
    <definedName name="fh" localSheetId="10">#REF!</definedName>
    <definedName name="fh" localSheetId="8">#REF!</definedName>
    <definedName name="fh" localSheetId="7">#REF!</definedName>
    <definedName name="fh" localSheetId="13">#REF!</definedName>
    <definedName name="fh" localSheetId="15">#REF!</definedName>
    <definedName name="fh" localSheetId="14">#REF!</definedName>
    <definedName name="fh" localSheetId="16">#REF!</definedName>
    <definedName name="fh">#REF!</definedName>
    <definedName name="FilterCriteria" localSheetId="9">#REF!</definedName>
    <definedName name="FilterCriteria" localSheetId="10">#REF!</definedName>
    <definedName name="FilterCriteria" localSheetId="8">#REF!</definedName>
    <definedName name="FilterCriteria" localSheetId="7">#REF!</definedName>
    <definedName name="FilterCriteria" localSheetId="13">#REF!</definedName>
    <definedName name="FilterCriteria" localSheetId="15">#REF!</definedName>
    <definedName name="FilterCriteria" localSheetId="14">#REF!</definedName>
    <definedName name="FilterCriteria" localSheetId="16">#REF!</definedName>
    <definedName name="FilterCriteria">#REF!</definedName>
    <definedName name="FilterCriteria2" localSheetId="9">#REF!</definedName>
    <definedName name="FilterCriteria2" localSheetId="10">#REF!</definedName>
    <definedName name="FilterCriteria2" localSheetId="8">#REF!</definedName>
    <definedName name="FilterCriteria2" localSheetId="7">#REF!</definedName>
    <definedName name="FilterCriteria2" localSheetId="13">#REF!</definedName>
    <definedName name="FilterCriteria2" localSheetId="15">#REF!</definedName>
    <definedName name="FilterCriteria2" localSheetId="14">#REF!</definedName>
    <definedName name="FilterCriteria2" localSheetId="16">#REF!</definedName>
    <definedName name="FilterCriteria2">#REF!</definedName>
    <definedName name="FilterInfoRange" localSheetId="9">'[45]Q6 by Q11 weighted'!#REF!</definedName>
    <definedName name="FilterInfoRange" localSheetId="10">'[45]Q6 by Q11 weighted'!#REF!</definedName>
    <definedName name="FilterInfoRange" localSheetId="8">'[45]Q6 by Q11 weighted'!#REF!</definedName>
    <definedName name="FilterInfoRange" localSheetId="7">'[45]Q6 by Q11 weighted'!#REF!</definedName>
    <definedName name="FilterInfoRange" localSheetId="13">'[45]Q6 by Q11 weighted'!#REF!</definedName>
    <definedName name="FilterInfoRange" localSheetId="15">'[45]Q6 by Q11 weighted'!#REF!</definedName>
    <definedName name="FilterInfoRange" localSheetId="14">'[45]Q6 by Q11 weighted'!#REF!</definedName>
    <definedName name="FilterInfoRange" localSheetId="16">'[45]Q6 by Q11 weighted'!#REF!</definedName>
    <definedName name="FilterInfoRange">'[45]Q6 by Q11 weighted'!#REF!</definedName>
    <definedName name="FilterList1" localSheetId="9">#REF!</definedName>
    <definedName name="FilterList1" localSheetId="10">#REF!</definedName>
    <definedName name="FilterList1" localSheetId="8">#REF!</definedName>
    <definedName name="FilterList1" localSheetId="7">#REF!</definedName>
    <definedName name="FilterList1" localSheetId="13">#REF!</definedName>
    <definedName name="FilterList1" localSheetId="15">#REF!</definedName>
    <definedName name="FilterList1" localSheetId="14">#REF!</definedName>
    <definedName name="FilterList1" localSheetId="16">#REF!</definedName>
    <definedName name="FilterList1">#REF!</definedName>
    <definedName name="FilterList1_OON" localSheetId="9">#REF!</definedName>
    <definedName name="FilterList1_OON" localSheetId="10">#REF!</definedName>
    <definedName name="FilterList1_OON" localSheetId="8">#REF!</definedName>
    <definedName name="FilterList1_OON" localSheetId="7">#REF!</definedName>
    <definedName name="FilterList1_OON" localSheetId="13">#REF!</definedName>
    <definedName name="FilterList1_OON" localSheetId="15">#REF!</definedName>
    <definedName name="FilterList1_OON" localSheetId="14">#REF!</definedName>
    <definedName name="FilterList1_OON" localSheetId="16">#REF!</definedName>
    <definedName name="FilterList1_OON">#REF!</definedName>
    <definedName name="FilterList1B" localSheetId="9">#REF!</definedName>
    <definedName name="FilterList1B" localSheetId="10">#REF!</definedName>
    <definedName name="FilterList1B" localSheetId="8">#REF!</definedName>
    <definedName name="FilterList1B" localSheetId="7">#REF!</definedName>
    <definedName name="FilterList1B" localSheetId="13">#REF!</definedName>
    <definedName name="FilterList1B" localSheetId="15">#REF!</definedName>
    <definedName name="FilterList1B" localSheetId="14">#REF!</definedName>
    <definedName name="FilterList1B" localSheetId="16">#REF!</definedName>
    <definedName name="FilterList1B">#REF!</definedName>
    <definedName name="FilterList1B_OON">#REF!</definedName>
    <definedName name="FilterList2">[33]Summary!#REF!</definedName>
    <definedName name="filterlist3" localSheetId="9">#REF!</definedName>
    <definedName name="filterlist3" localSheetId="10">#REF!</definedName>
    <definedName name="filterlist3" localSheetId="8">#REF!</definedName>
    <definedName name="filterlist3" localSheetId="7">#REF!</definedName>
    <definedName name="filterlist3" localSheetId="13">#REF!</definedName>
    <definedName name="filterlist3" localSheetId="15">#REF!</definedName>
    <definedName name="filterlist3" localSheetId="14">#REF!</definedName>
    <definedName name="filterlist3" localSheetId="16">#REF!</definedName>
    <definedName name="filterlist3">#REF!</definedName>
    <definedName name="Final" localSheetId="9">#REF!</definedName>
    <definedName name="Final" localSheetId="10">#REF!</definedName>
    <definedName name="Final" localSheetId="8">#REF!</definedName>
    <definedName name="Final" localSheetId="7">#REF!</definedName>
    <definedName name="Final" localSheetId="13">#REF!</definedName>
    <definedName name="Final" localSheetId="15">#REF!</definedName>
    <definedName name="Final" localSheetId="14">#REF!</definedName>
    <definedName name="Final" localSheetId="16">#REF!</definedName>
    <definedName name="Final">#REF!</definedName>
    <definedName name="FINAL_MARKET_BASKET" localSheetId="9">#REF!</definedName>
    <definedName name="FINAL_MARKET_BASKET" localSheetId="10">#REF!</definedName>
    <definedName name="FINAL_MARKET_BASKET" localSheetId="8">#REF!</definedName>
    <definedName name="FINAL_MARKET_BASKET" localSheetId="7">#REF!</definedName>
    <definedName name="FINAL_MARKET_BASKET" localSheetId="13">#REF!</definedName>
    <definedName name="FINAL_MARKET_BASKET" localSheetId="15">#REF!</definedName>
    <definedName name="FINAL_MARKET_BASKET" localSheetId="14">#REF!</definedName>
    <definedName name="FINAL_MARKET_BASKET" localSheetId="16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9">for UCL Summary '[46]201505'!$A$1:$F$613</definedName>
    <definedName name="for_UCL_Summary_201505" localSheetId="10">for UCL Summary '[46]201505'!$A$1:$F$613</definedName>
    <definedName name="for_UCL_Summary_201505" localSheetId="8">for UCL Summary '[46]201505'!$A$1:$F$613</definedName>
    <definedName name="for_UCL_Summary_201505" localSheetId="7">for UCL Summary '[46]201505'!$A$1:$F$613</definedName>
    <definedName name="for_UCL_Summary_201505" localSheetId="13">for UCL Summary '[46]201505'!$A$1:$F$613</definedName>
    <definedName name="for_UCL_Summary_201505" localSheetId="15">for UCL Summary '[46]201505'!$A$1:$F$613</definedName>
    <definedName name="for_UCL_Summary_201505" localSheetId="14">for UCL Summary '[46]201505'!$A$1:$F$613</definedName>
    <definedName name="for_UCL_Summary_201505" localSheetId="16">for UCL [0]!Summary '[46]201505'!$A$1:$F$613</definedName>
    <definedName name="for_UCL_Summary_201505">for UCL Summary '[46]201505'!$A$1:$F$613</definedName>
    <definedName name="FORDOWNLOAD" localSheetId="9">#REF!</definedName>
    <definedName name="FORDOWNLOAD" localSheetId="10">#REF!</definedName>
    <definedName name="FORDOWNLOAD" localSheetId="8">#REF!</definedName>
    <definedName name="FORDOWNLOAD" localSheetId="7">#REF!</definedName>
    <definedName name="FORDOWNLOAD" localSheetId="13">#REF!</definedName>
    <definedName name="FORDOWNLOAD" localSheetId="15">#REF!</definedName>
    <definedName name="FORDOWNLOAD" localSheetId="14">#REF!</definedName>
    <definedName name="FORDOWNLOAD" localSheetId="16">#REF!</definedName>
    <definedName name="FORDOWNLOAD">#REF!</definedName>
    <definedName name="ForeAdjustments">[12]Adjustments!$BH:$BH</definedName>
    <definedName name="ForeBTLClaims">'[12]BTL Detail DataTable'!$DK:$DK</definedName>
    <definedName name="Forecast_renewal" localSheetId="9">#REF!</definedName>
    <definedName name="Forecast_renewal" localSheetId="10">#REF!</definedName>
    <definedName name="Forecast_renewal" localSheetId="8">#REF!</definedName>
    <definedName name="Forecast_renewal" localSheetId="7">#REF!</definedName>
    <definedName name="Forecast_renewal" localSheetId="13">#REF!</definedName>
    <definedName name="Forecast_renewal" localSheetId="15">#REF!</definedName>
    <definedName name="Forecast_renewal" localSheetId="14">#REF!</definedName>
    <definedName name="Forecast_renewal" localSheetId="16">#REF!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 localSheetId="9">#REF!</definedName>
    <definedName name="FROM_SAS" localSheetId="10">#REF!</definedName>
    <definedName name="FROM_SAS" localSheetId="8">#REF!</definedName>
    <definedName name="FROM_SAS" localSheetId="7">#REF!</definedName>
    <definedName name="FROM_SAS" localSheetId="13">#REF!</definedName>
    <definedName name="FROM_SAS" localSheetId="15">#REF!</definedName>
    <definedName name="FROM_SAS" localSheetId="14">#REF!</definedName>
    <definedName name="FROM_SAS" localSheetId="16">#REF!</definedName>
    <definedName name="FROM_SAS">#REF!</definedName>
    <definedName name="FSENdwnld" localSheetId="9">#REF!</definedName>
    <definedName name="FSENdwnld" localSheetId="10">#REF!</definedName>
    <definedName name="FSENdwnld" localSheetId="8">#REF!</definedName>
    <definedName name="FSENdwnld" localSheetId="7">#REF!</definedName>
    <definedName name="FSENdwnld" localSheetId="13">#REF!</definedName>
    <definedName name="FSENdwnld" localSheetId="15">#REF!</definedName>
    <definedName name="FSENdwnld" localSheetId="14">#REF!</definedName>
    <definedName name="FSENdwnld" localSheetId="16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 localSheetId="9">#REF!</definedName>
    <definedName name="gcitotc" localSheetId="10">#REF!</definedName>
    <definedName name="gcitotc" localSheetId="8">#REF!</definedName>
    <definedName name="gcitotc" localSheetId="7">#REF!</definedName>
    <definedName name="gcitotc" localSheetId="13">#REF!</definedName>
    <definedName name="gcitotc" localSheetId="15">#REF!</definedName>
    <definedName name="gcitotc" localSheetId="14">#REF!</definedName>
    <definedName name="gcitotc" localSheetId="16">#REF!</definedName>
    <definedName name="gcitotc">#REF!</definedName>
    <definedName name="gcitotc3" localSheetId="9">#REF!</definedName>
    <definedName name="gcitotc3" localSheetId="10">#REF!</definedName>
    <definedName name="gcitotc3" localSheetId="8">#REF!</definedName>
    <definedName name="gcitotc3" localSheetId="7">#REF!</definedName>
    <definedName name="gcitotc3" localSheetId="13">#REF!</definedName>
    <definedName name="gcitotc3" localSheetId="15">#REF!</definedName>
    <definedName name="gcitotc3" localSheetId="14">#REF!</definedName>
    <definedName name="gcitotc3" localSheetId="16">#REF!</definedName>
    <definedName name="gcitotc3">#REF!</definedName>
    <definedName name="gcototc" localSheetId="9">#REF!</definedName>
    <definedName name="gcototc" localSheetId="10">#REF!</definedName>
    <definedName name="gcototc" localSheetId="8">#REF!</definedName>
    <definedName name="gcototc" localSheetId="7">#REF!</definedName>
    <definedName name="gcototc" localSheetId="13">#REF!</definedName>
    <definedName name="gcototc" localSheetId="15">#REF!</definedName>
    <definedName name="gcototc" localSheetId="14">#REF!</definedName>
    <definedName name="gcototc" localSheetId="16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 localSheetId="9">#REF!</definedName>
    <definedName name="GRPSUMMONTH" localSheetId="10">#REF!</definedName>
    <definedName name="GRPSUMMONTH" localSheetId="8">#REF!</definedName>
    <definedName name="GRPSUMMONTH" localSheetId="7">#REF!</definedName>
    <definedName name="GRPSUMMONTH" localSheetId="13">#REF!</definedName>
    <definedName name="GRPSUMMONTH" localSheetId="15">#REF!</definedName>
    <definedName name="GRPSUMMONTH" localSheetId="14">#REF!</definedName>
    <definedName name="GRPSUMMONTH" localSheetId="16">#REF!</definedName>
    <definedName name="GRPSUMMONTH">#REF!</definedName>
    <definedName name="GRPSUMYTD" localSheetId="9">#REF!</definedName>
    <definedName name="GRPSUMYTD" localSheetId="10">#REF!</definedName>
    <definedName name="GRPSUMYTD" localSheetId="8">#REF!</definedName>
    <definedName name="GRPSUMYTD" localSheetId="7">#REF!</definedName>
    <definedName name="GRPSUMYTD" localSheetId="13">#REF!</definedName>
    <definedName name="GRPSUMYTD" localSheetId="15">#REF!</definedName>
    <definedName name="GRPSUMYTD" localSheetId="14">#REF!</definedName>
    <definedName name="GRPSUMYTD" localSheetId="16">#REF!</definedName>
    <definedName name="GRPSUMYTD">#REF!</definedName>
    <definedName name="gsitotc" localSheetId="9">#REF!</definedName>
    <definedName name="gsitotc" localSheetId="10">#REF!</definedName>
    <definedName name="gsitotc" localSheetId="8">#REF!</definedName>
    <definedName name="gsitotc" localSheetId="7">#REF!</definedName>
    <definedName name="gsitotc" localSheetId="13">#REF!</definedName>
    <definedName name="gsitotc" localSheetId="15">#REF!</definedName>
    <definedName name="gsitotc" localSheetId="14">#REF!</definedName>
    <definedName name="gsitotc" localSheetId="16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 localSheetId="9">Paid [17]Lag!$A$3:$AN$57</definedName>
    <definedName name="H_Audit" localSheetId="10">Paid [17]Lag!$A$3:$AN$57</definedName>
    <definedName name="H_Audit" localSheetId="8">Paid [17]Lag!$A$3:$AN$57</definedName>
    <definedName name="H_Audit" localSheetId="7">Paid [17]Lag!$A$3:$AN$57</definedName>
    <definedName name="H_Audit" localSheetId="13">Paid [17]Lag!$A$3:$AN$57</definedName>
    <definedName name="H_Audit" localSheetId="15">Paid [17]Lag!$A$3:$AN$57</definedName>
    <definedName name="H_Audit" localSheetId="14">Paid [17]Lag!$A$3:$AN$57</definedName>
    <definedName name="H_Audit" localSheetId="16">Paid [17]Lag!$A$3:$AN$57</definedName>
    <definedName name="H_Audit">Paid [17]Lag!$A$3:$AN$57</definedName>
    <definedName name="H_Cum_PL" localSheetId="9">Paid [17]Lag!$A$68:$U$132</definedName>
    <definedName name="H_Cum_PL" localSheetId="10">Paid [17]Lag!$A$68:$U$132</definedName>
    <definedName name="H_Cum_PL" localSheetId="8">Paid [17]Lag!$A$68:$U$132</definedName>
    <definedName name="H_Cum_PL" localSheetId="7">Paid [17]Lag!$A$68:$U$132</definedName>
    <definedName name="H_Cum_PL" localSheetId="13">Paid [17]Lag!$A$68:$U$132</definedName>
    <definedName name="H_Cum_PL" localSheetId="15">Paid [17]Lag!$A$68:$U$132</definedName>
    <definedName name="H_Cum_PL" localSheetId="14">Paid [17]Lag!$A$68:$U$132</definedName>
    <definedName name="H_Cum_PL" localSheetId="16">Paid [17]Lag!$A$68:$U$132</definedName>
    <definedName name="H_Cum_PL">Paid [17]Lag!$A$68:$U$132</definedName>
    <definedName name="H_Cum_RL" localSheetId="9">Receipt [17]Lag!$A$53:$O$127</definedName>
    <definedName name="H_Cum_RL" localSheetId="10">Receipt [17]Lag!$A$53:$O$127</definedName>
    <definedName name="H_Cum_RL" localSheetId="8">Receipt [17]Lag!$A$53:$O$127</definedName>
    <definedName name="H_Cum_RL" localSheetId="7">Receipt [17]Lag!$A$53:$O$127</definedName>
    <definedName name="H_Cum_RL" localSheetId="13">Receipt [17]Lag!$A$53:$O$127</definedName>
    <definedName name="H_Cum_RL" localSheetId="15">Receipt [17]Lag!$A$53:$O$127</definedName>
    <definedName name="H_Cum_RL" localSheetId="14">Receipt [17]Lag!$A$53:$O$127</definedName>
    <definedName name="H_Cum_RL" localSheetId="16">Receipt [17]Lag!$A$53:$O$127</definedName>
    <definedName name="H_Cum_RL">Receipt [17]Lag!$A$53:$O$127</definedName>
    <definedName name="H_DIFF" localSheetId="9">CURR MO - PREV [51]MO!$A$1048528:$AI$1048574</definedName>
    <definedName name="H_DIFF" localSheetId="10">CURR MO - PREV [51]MO!$A$1048528:$AI$1048574</definedName>
    <definedName name="H_DIFF" localSheetId="8">CURR MO - PREV [51]MO!$A$1048528:$AI$1048574</definedName>
    <definedName name="H_DIFF" localSheetId="7">CURR MO - PREV [51]MO!$A$1048528:$AI$1048574</definedName>
    <definedName name="H_DIFF" localSheetId="13">CURR MO - PREV [51]MO!$A$1048528:$AI$1048574</definedName>
    <definedName name="H_DIFF" localSheetId="15">CURR MO - PREV [51]MO!$A$1048528:$AI$1048574</definedName>
    <definedName name="H_DIFF" localSheetId="14">CURR MO - PREV [51]MO!$A$1048528:$AI$1048574</definedName>
    <definedName name="H_DIFF" localSheetId="16">CURR MO - PREV [51]MO!$A$1048528:$AI$1048574</definedName>
    <definedName name="H_DIFF">CURR MO - PREV [51]MO!$A$1048528:$AI$1048574</definedName>
    <definedName name="H_Factor_PL" localSheetId="9">Paid [17]Lag!$A$134:$U$204</definedName>
    <definedName name="H_Factor_PL" localSheetId="10">Paid [17]Lag!$A$134:$U$204</definedName>
    <definedName name="H_Factor_PL" localSheetId="8">Paid [17]Lag!$A$134:$U$204</definedName>
    <definedName name="H_Factor_PL" localSheetId="7">Paid [17]Lag!$A$134:$U$204</definedName>
    <definedName name="H_Factor_PL" localSheetId="13">Paid [17]Lag!$A$134:$U$204</definedName>
    <definedName name="H_Factor_PL" localSheetId="15">Paid [17]Lag!$A$134:$U$204</definedName>
    <definedName name="H_Factor_PL" localSheetId="14">Paid [17]Lag!$A$134:$U$204</definedName>
    <definedName name="H_Factor_PL" localSheetId="16">Paid [17]Lag!$A$134:$U$204</definedName>
    <definedName name="H_Factor_PL">Paid [17]Lag!$A$134:$U$204</definedName>
    <definedName name="H_Factor_RL" localSheetId="9">Receipt [17]Lag!$A$129:$S$188</definedName>
    <definedName name="H_Factor_RL" localSheetId="10">Receipt [17]Lag!$A$129:$S$188</definedName>
    <definedName name="H_Factor_RL" localSheetId="8">Receipt [17]Lag!$A$129:$S$188</definedName>
    <definedName name="H_Factor_RL" localSheetId="7">Receipt [17]Lag!$A$129:$S$188</definedName>
    <definedName name="H_Factor_RL" localSheetId="13">Receipt [17]Lag!$A$129:$S$188</definedName>
    <definedName name="H_Factor_RL" localSheetId="15">Receipt [17]Lag!$A$129:$S$188</definedName>
    <definedName name="H_Factor_RL" localSheetId="14">Receipt [17]Lag!$A$129:$S$188</definedName>
    <definedName name="H_Factor_RL" localSheetId="16">Receipt [17]Lag!$A$129:$S$188</definedName>
    <definedName name="H_Factor_RL">Receipt [17]Lag!$A$129:$S$188</definedName>
    <definedName name="H_Incremental_PL" localSheetId="9">Paid [17]Lag!$A$3:$U$65</definedName>
    <definedName name="H_Incremental_PL" localSheetId="10">Paid [17]Lag!$A$3:$U$65</definedName>
    <definedName name="H_Incremental_PL" localSheetId="8">Paid [17]Lag!$A$3:$U$65</definedName>
    <definedName name="H_Incremental_PL" localSheetId="7">Paid [17]Lag!$A$3:$U$65</definedName>
    <definedName name="H_Incremental_PL" localSheetId="13">Paid [17]Lag!$A$3:$U$65</definedName>
    <definedName name="H_Incremental_PL" localSheetId="15">Paid [17]Lag!$A$3:$U$65</definedName>
    <definedName name="H_Incremental_PL" localSheetId="14">Paid [17]Lag!$A$3:$U$65</definedName>
    <definedName name="H_Incremental_PL" localSheetId="16">Paid [17]Lag!$A$3:$U$65</definedName>
    <definedName name="H_Incremental_PL">Paid [17]Lag!$A$3:$U$65</definedName>
    <definedName name="H_Incremental_RL" localSheetId="9">Receipt [17]Lag!$A$3:$S$50</definedName>
    <definedName name="H_Incremental_RL" localSheetId="10">Receipt [17]Lag!$A$3:$S$50</definedName>
    <definedName name="H_Incremental_RL" localSheetId="8">Receipt [17]Lag!$A$3:$S$50</definedName>
    <definedName name="H_Incremental_RL" localSheetId="7">Receipt [17]Lag!$A$3:$S$50</definedName>
    <definedName name="H_Incremental_RL" localSheetId="13">Receipt [17]Lag!$A$3:$S$50</definedName>
    <definedName name="H_Incremental_RL" localSheetId="15">Receipt [17]Lag!$A$3:$S$50</definedName>
    <definedName name="H_Incremental_RL" localSheetId="14">Receipt [17]Lag!$A$3:$S$50</definedName>
    <definedName name="H_Incremental_RL" localSheetId="16">Receipt [17]Lag!$A$3:$S$50</definedName>
    <definedName name="H_Incremental_RL">Receipt [17]Lag!$A$3:$S$50</definedName>
    <definedName name="H_Projection_PL" localSheetId="9">Paid [17]Lag!$A$216:$R$287</definedName>
    <definedName name="H_Projection_PL" localSheetId="10">Paid [17]Lag!$A$216:$R$287</definedName>
    <definedName name="H_Projection_PL" localSheetId="8">Paid [17]Lag!$A$216:$R$287</definedName>
    <definedName name="H_Projection_PL" localSheetId="7">Paid [17]Lag!$A$216:$R$287</definedName>
    <definedName name="H_Projection_PL" localSheetId="13">Paid [17]Lag!$A$216:$R$287</definedName>
    <definedName name="H_Projection_PL" localSheetId="15">Paid [17]Lag!$A$216:$R$287</definedName>
    <definedName name="H_Projection_PL" localSheetId="14">Paid [17]Lag!$A$216:$R$287</definedName>
    <definedName name="H_Projection_PL" localSheetId="16">Paid [17]Lag!$A$216:$R$287</definedName>
    <definedName name="H_Projection_PL">Paid [17]Lag!$A$216:$R$287</definedName>
    <definedName name="H_Projection_RL" localSheetId="9">Receipt [17]Lag!$A$200:$R$262</definedName>
    <definedName name="H_Projection_RL" localSheetId="10">Receipt [17]Lag!$A$200:$R$262</definedName>
    <definedName name="H_Projection_RL" localSheetId="8">Receipt [17]Lag!$A$200:$R$262</definedName>
    <definedName name="H_Projection_RL" localSheetId="7">Receipt [17]Lag!$A$200:$R$262</definedName>
    <definedName name="H_Projection_RL" localSheetId="13">Receipt [17]Lag!$A$200:$R$262</definedName>
    <definedName name="H_Projection_RL" localSheetId="15">Receipt [17]Lag!$A$200:$R$262</definedName>
    <definedName name="H_Projection_RL" localSheetId="14">Receipt [17]Lag!$A$200:$R$262</definedName>
    <definedName name="H_Projection_RL" localSheetId="16">Receipt [17]Lag!$A$200:$R$262</definedName>
    <definedName name="H_Projection_RL">Receipt [17]Lag!$A$200:$R$262</definedName>
    <definedName name="hcitotc" localSheetId="9">#REF!</definedName>
    <definedName name="hcitotc" localSheetId="10">#REF!</definedName>
    <definedName name="hcitotc" localSheetId="8">#REF!</definedName>
    <definedName name="hcitotc" localSheetId="7">#REF!</definedName>
    <definedName name="hcitotc" localSheetId="13">#REF!</definedName>
    <definedName name="hcitotc" localSheetId="15">#REF!</definedName>
    <definedName name="hcitotc" localSheetId="14">#REF!</definedName>
    <definedName name="hcitotc" localSheetId="16">#REF!</definedName>
    <definedName name="hcitotc">#REF!</definedName>
    <definedName name="hcitotc3" localSheetId="9">#REF!</definedName>
    <definedName name="hcitotc3" localSheetId="10">#REF!</definedName>
    <definedName name="hcitotc3" localSheetId="8">#REF!</definedName>
    <definedName name="hcitotc3" localSheetId="7">#REF!</definedName>
    <definedName name="hcitotc3" localSheetId="13">#REF!</definedName>
    <definedName name="hcitotc3" localSheetId="15">#REF!</definedName>
    <definedName name="hcitotc3" localSheetId="14">#REF!</definedName>
    <definedName name="hcitotc3" localSheetId="16">#REF!</definedName>
    <definedName name="hcitotc3">#REF!</definedName>
    <definedName name="hcototc" localSheetId="13">#REF!</definedName>
    <definedName name="hcototc" localSheetId="15">#REF!</definedName>
    <definedName name="hcototc" localSheetId="14">#REF!</definedName>
    <definedName name="hcototc" localSheetId="16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 localSheetId="9">#REF!</definedName>
    <definedName name="hebtotc" localSheetId="10">#REF!</definedName>
    <definedName name="hebtotc" localSheetId="8">#REF!</definedName>
    <definedName name="hebtotc" localSheetId="7">#REF!</definedName>
    <definedName name="hebtotc" localSheetId="13">#REF!</definedName>
    <definedName name="hebtotc" localSheetId="15">#REF!</definedName>
    <definedName name="hebtotc" localSheetId="14">#REF!</definedName>
    <definedName name="hebtotc" localSheetId="16">#REF!</definedName>
    <definedName name="hebtotc">#REF!</definedName>
    <definedName name="hebtotc3" localSheetId="9">#REF!</definedName>
    <definedName name="hebtotc3" localSheetId="10">#REF!</definedName>
    <definedName name="hebtotc3" localSheetId="8">#REF!</definedName>
    <definedName name="hebtotc3" localSheetId="7">#REF!</definedName>
    <definedName name="hebtotc3" localSheetId="13">#REF!</definedName>
    <definedName name="hebtotc3" localSheetId="15">#REF!</definedName>
    <definedName name="hebtotc3" localSheetId="14">#REF!</definedName>
    <definedName name="hebtotc3" localSheetId="16">#REF!</definedName>
    <definedName name="hebtotc3">#REF!</definedName>
    <definedName name="HIPCopayPerAdmit">[52]Controls!$C$5</definedName>
    <definedName name="Hosp_MaxCopay" localSheetId="9">#REF!</definedName>
    <definedName name="Hosp_MaxCopay" localSheetId="10">#REF!</definedName>
    <definedName name="Hosp_MaxCopay" localSheetId="8">#REF!</definedName>
    <definedName name="Hosp_MaxCopay" localSheetId="7">#REF!</definedName>
    <definedName name="Hosp_MaxCopay" localSheetId="13">#REF!</definedName>
    <definedName name="Hosp_MaxCopay" localSheetId="15">#REF!</definedName>
    <definedName name="Hosp_MaxCopay" localSheetId="14">#REF!</definedName>
    <definedName name="Hosp_MaxCopay" localSheetId="16">#REF!</definedName>
    <definedName name="Hosp_MaxCopay">#REF!</definedName>
    <definedName name="HospOP_MaxCopay" localSheetId="9">#REF!</definedName>
    <definedName name="HospOP_MaxCopay" localSheetId="10">#REF!</definedName>
    <definedName name="HospOP_MaxCopay" localSheetId="8">#REF!</definedName>
    <definedName name="HospOP_MaxCopay" localSheetId="7">#REF!</definedName>
    <definedName name="HospOP_MaxCopay" localSheetId="13">#REF!</definedName>
    <definedName name="HospOP_MaxCopay" localSheetId="15">#REF!</definedName>
    <definedName name="HospOP_MaxCopay" localSheetId="14">#REF!</definedName>
    <definedName name="HospOP_MaxCopay" localSheetId="16">#REF!</definedName>
    <definedName name="HospOP_MaxCopay">#REF!</definedName>
    <definedName name="hsitotc" localSheetId="9">#REF!</definedName>
    <definedName name="hsitotc" localSheetId="10">#REF!</definedName>
    <definedName name="hsitotc" localSheetId="8">#REF!</definedName>
    <definedName name="hsitotc" localSheetId="7">#REF!</definedName>
    <definedName name="hsitotc" localSheetId="13">#REF!</definedName>
    <definedName name="hsitotc" localSheetId="15">#REF!</definedName>
    <definedName name="hsitotc" localSheetId="14">#REF!</definedName>
    <definedName name="hsitotc" localSheetId="16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 localSheetId="9">#REF!</definedName>
    <definedName name="input01" localSheetId="10">#REF!</definedName>
    <definedName name="input01" localSheetId="8">#REF!</definedName>
    <definedName name="input01" localSheetId="7">#REF!</definedName>
    <definedName name="input01" localSheetId="13">#REF!</definedName>
    <definedName name="input01" localSheetId="15">#REF!</definedName>
    <definedName name="input01" localSheetId="14">#REF!</definedName>
    <definedName name="input01" localSheetId="16">#REF!</definedName>
    <definedName name="input01">#REF!</definedName>
    <definedName name="input02" localSheetId="9">#REF!</definedName>
    <definedName name="input02" localSheetId="10">#REF!</definedName>
    <definedName name="input02" localSheetId="8">#REF!</definedName>
    <definedName name="input02" localSheetId="7">#REF!</definedName>
    <definedName name="input02" localSheetId="13">#REF!</definedName>
    <definedName name="input02" localSheetId="15">#REF!</definedName>
    <definedName name="input02" localSheetId="14">#REF!</definedName>
    <definedName name="input02" localSheetId="16">#REF!</definedName>
    <definedName name="input02">#REF!</definedName>
    <definedName name="input03" localSheetId="9">#REF!</definedName>
    <definedName name="input03" localSheetId="10">#REF!</definedName>
    <definedName name="input03" localSheetId="8">#REF!</definedName>
    <definedName name="input03" localSheetId="7">#REF!</definedName>
    <definedName name="input03" localSheetId="13">#REF!</definedName>
    <definedName name="input03" localSheetId="15">#REF!</definedName>
    <definedName name="input03" localSheetId="14">#REF!</definedName>
    <definedName name="input03" localSheetId="16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 localSheetId="9">#REF!</definedName>
    <definedName name="insured" localSheetId="10">#REF!</definedName>
    <definedName name="insured" localSheetId="8">#REF!</definedName>
    <definedName name="insured" localSheetId="7">#REF!</definedName>
    <definedName name="insured" localSheetId="13">#REF!</definedName>
    <definedName name="insured" localSheetId="15">#REF!</definedName>
    <definedName name="insured" localSheetId="14">#REF!</definedName>
    <definedName name="insured" localSheetId="16">#REF!</definedName>
    <definedName name="insured">#REF!</definedName>
    <definedName name="IntermediateYear" localSheetId="9">#REF!</definedName>
    <definedName name="IntermediateYear" localSheetId="10">#REF!</definedName>
    <definedName name="IntermediateYear" localSheetId="8">#REF!</definedName>
    <definedName name="IntermediateYear" localSheetId="7">#REF!</definedName>
    <definedName name="IntermediateYear" localSheetId="13">#REF!</definedName>
    <definedName name="IntermediateYear" localSheetId="15">#REF!</definedName>
    <definedName name="IntermediateYear" localSheetId="14">#REF!</definedName>
    <definedName name="IntermediateYear" localSheetId="16">#REF!</definedName>
    <definedName name="IntermediateYear">#REF!</definedName>
    <definedName name="interp_chrg" localSheetId="9">#REF!</definedName>
    <definedName name="interp_chrg" localSheetId="10">#REF!</definedName>
    <definedName name="interp_chrg" localSheetId="8">#REF!</definedName>
    <definedName name="interp_chrg" localSheetId="7">#REF!</definedName>
    <definedName name="interp_chrg" localSheetId="13">#REF!</definedName>
    <definedName name="interp_chrg" localSheetId="15">#REF!</definedName>
    <definedName name="interp_chrg" localSheetId="14">#REF!</definedName>
    <definedName name="interp_chrg" localSheetId="16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 localSheetId="9">#REF!</definedName>
    <definedName name="IP_FINAL" localSheetId="10">#REF!</definedName>
    <definedName name="IP_FINAL" localSheetId="8">#REF!</definedName>
    <definedName name="IP_FINAL" localSheetId="7">#REF!</definedName>
    <definedName name="IP_FINAL" localSheetId="13">#REF!</definedName>
    <definedName name="IP_FINAL" localSheetId="15">#REF!</definedName>
    <definedName name="IP_FINAL" localSheetId="14">#REF!</definedName>
    <definedName name="IP_FINAL" localSheetId="16">#REF!</definedName>
    <definedName name="IP_FINAL">#REF!</definedName>
    <definedName name="IP_SUMM" localSheetId="13">[54]IP_SUMM!#REF!</definedName>
    <definedName name="IP_SUMM" localSheetId="15">[54]IP_SUMM!#REF!</definedName>
    <definedName name="IP_SUMM" localSheetId="14">[54]IP_SUMM!#REF!</definedName>
    <definedName name="IP_SUMM" localSheetId="16">[54]IP_SUMM!#REF!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 localSheetId="9">#REF!</definedName>
    <definedName name="lagdump" localSheetId="10">#REF!</definedName>
    <definedName name="lagdump" localSheetId="8">#REF!</definedName>
    <definedName name="lagdump" localSheetId="7">#REF!</definedName>
    <definedName name="lagdump" localSheetId="13">#REF!</definedName>
    <definedName name="lagdump" localSheetId="15">#REF!</definedName>
    <definedName name="lagdump" localSheetId="14">#REF!</definedName>
    <definedName name="lagdump" localSheetId="16">#REF!</definedName>
    <definedName name="lagdump">#REF!</definedName>
    <definedName name="last" localSheetId="13">[58]Detail!#REF!</definedName>
    <definedName name="last" localSheetId="15">[58]Detail!#REF!</definedName>
    <definedName name="last" localSheetId="14">[58]Detail!#REF!</definedName>
    <definedName name="last" localSheetId="16">[58]Detail!#REF!</definedName>
    <definedName name="last">[58]Detail!#REF!</definedName>
    <definedName name="lcu" localSheetId="9">#REF!</definedName>
    <definedName name="lcu" localSheetId="10">#REF!</definedName>
    <definedName name="lcu" localSheetId="8">#REF!</definedName>
    <definedName name="lcu" localSheetId="7">#REF!</definedName>
    <definedName name="lcu" localSheetId="13">#REF!</definedName>
    <definedName name="lcu" localSheetId="15">#REF!</definedName>
    <definedName name="lcu" localSheetId="14">#REF!</definedName>
    <definedName name="lcu" localSheetId="16">#REF!</definedName>
    <definedName name="lcu">#REF!</definedName>
    <definedName name="LCU_Rates_and_Terms_2007" localSheetId="9">#REF!</definedName>
    <definedName name="LCU_Rates_and_Terms_2007" localSheetId="10">#REF!</definedName>
    <definedName name="LCU_Rates_and_Terms_2007" localSheetId="8">#REF!</definedName>
    <definedName name="LCU_Rates_and_Terms_2007" localSheetId="7">#REF!</definedName>
    <definedName name="LCU_Rates_and_Terms_2007" localSheetId="13">#REF!</definedName>
    <definedName name="LCU_Rates_and_Terms_2007" localSheetId="15">#REF!</definedName>
    <definedName name="LCU_Rates_and_Terms_2007" localSheetId="14">#REF!</definedName>
    <definedName name="LCU_Rates_and_Terms_2007" localSheetId="16">#REF!</definedName>
    <definedName name="LCU_Rates_and_Terms_2007">#REF!</definedName>
    <definedName name="LegalEntityList">[20]Inputs!$D$38:$D$41</definedName>
    <definedName name="LensesChildrenOnly">[13]Controls!$C$12</definedName>
    <definedName name="LIBBLDG" localSheetId="9">#REF!</definedName>
    <definedName name="LIBBLDG" localSheetId="10">#REF!</definedName>
    <definedName name="LIBBLDG" localSheetId="8">#REF!</definedName>
    <definedName name="LIBBLDG" localSheetId="7">#REF!</definedName>
    <definedName name="LIBBLDG" localSheetId="13">#REF!</definedName>
    <definedName name="LIBBLDG" localSheetId="15">#REF!</definedName>
    <definedName name="LIBBLDG" localSheetId="14">#REF!</definedName>
    <definedName name="LIBBLDG" localSheetId="16">#REF!</definedName>
    <definedName name="LIBBLDG">#REF!</definedName>
    <definedName name="LIBRARY" localSheetId="9">#REF!</definedName>
    <definedName name="LIBRARY" localSheetId="10">#REF!</definedName>
    <definedName name="LIBRARY" localSheetId="8">#REF!</definedName>
    <definedName name="LIBRARY" localSheetId="7">#REF!</definedName>
    <definedName name="LIBRARY" localSheetId="13">#REF!</definedName>
    <definedName name="LIBRARY" localSheetId="15">#REF!</definedName>
    <definedName name="LIBRARY" localSheetId="14">#REF!</definedName>
    <definedName name="LIBRARY" localSheetId="16">#REF!</definedName>
    <definedName name="LIBRARY">#REF!</definedName>
    <definedName name="list" localSheetId="9">#REF!</definedName>
    <definedName name="list" localSheetId="10">#REF!</definedName>
    <definedName name="list" localSheetId="8">#REF!</definedName>
    <definedName name="list" localSheetId="7">#REF!</definedName>
    <definedName name="list" localSheetId="13">#REF!</definedName>
    <definedName name="list" localSheetId="15">#REF!</definedName>
    <definedName name="list" localSheetId="14">#REF!</definedName>
    <definedName name="list" localSheetId="16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[59]BOC!$E$2:$F$13</definedName>
    <definedName name="M_Audit" localSheetId="9">Paid [17]Lag!$A$302:$AN$356</definedName>
    <definedName name="M_Audit" localSheetId="10">Paid [17]Lag!$A$302:$AN$356</definedName>
    <definedName name="M_Audit" localSheetId="8">Paid [17]Lag!$A$302:$AN$356</definedName>
    <definedName name="M_Audit" localSheetId="7">Paid [17]Lag!$A$302:$AN$356</definedName>
    <definedName name="M_Audit" localSheetId="13">Paid [17]Lag!$A$302:$AN$356</definedName>
    <definedName name="M_Audit" localSheetId="15">Paid [17]Lag!$A$302:$AN$356</definedName>
    <definedName name="M_Audit" localSheetId="14">Paid [17]Lag!$A$302:$AN$356</definedName>
    <definedName name="M_Audit" localSheetId="16">Paid [17]Lag!$A$302:$AN$356</definedName>
    <definedName name="M_Audit">Paid [17]Lag!$A$302:$AN$356</definedName>
    <definedName name="M_DIFF" localSheetId="9">CURR MO - PREV [51]MO!$A$58:$AI$112</definedName>
    <definedName name="M_DIFF" localSheetId="10">CURR MO - PREV [51]MO!$A$58:$AI$112</definedName>
    <definedName name="M_DIFF" localSheetId="8">CURR MO - PREV [51]MO!$A$58:$AI$112</definedName>
    <definedName name="M_DIFF" localSheetId="7">CURR MO - PREV [51]MO!$A$58:$AI$112</definedName>
    <definedName name="M_DIFF" localSheetId="13">CURR MO - PREV [51]MO!$A$58:$AI$112</definedName>
    <definedName name="M_DIFF" localSheetId="15">CURR MO - PREV [51]MO!$A$58:$AI$112</definedName>
    <definedName name="M_DIFF" localSheetId="14">CURR MO - PREV [51]MO!$A$58:$AI$112</definedName>
    <definedName name="M_DIFF" localSheetId="16">CURR MO - PREV [51]MO!$A$58:$AI$112</definedName>
    <definedName name="M_DIFF">CURR MO - PREV [51]MO!$A$58:$AI$112</definedName>
    <definedName name="M1A" localSheetId="9">#REF!</definedName>
    <definedName name="M1A" localSheetId="10">#REF!</definedName>
    <definedName name="M1A" localSheetId="8">#REF!</definedName>
    <definedName name="M1A" localSheetId="7">#REF!</definedName>
    <definedName name="M1A" localSheetId="13">#REF!</definedName>
    <definedName name="M1A" localSheetId="15">#REF!</definedName>
    <definedName name="M1A" localSheetId="14">#REF!</definedName>
    <definedName name="M1A" localSheetId="16">#REF!</definedName>
    <definedName name="M1A">#REF!</definedName>
    <definedName name="MA_EPO_CH" localSheetId="9">#REF!</definedName>
    <definedName name="MA_EPO_CH" localSheetId="10">#REF!</definedName>
    <definedName name="MA_EPO_CH" localSheetId="8">#REF!</definedName>
    <definedName name="MA_EPO_CH" localSheetId="7">#REF!</definedName>
    <definedName name="MA_EPO_CH" localSheetId="13">#REF!</definedName>
    <definedName name="MA_EPO_CH" localSheetId="15">#REF!</definedName>
    <definedName name="MA_EPO_CH" localSheetId="14">#REF!</definedName>
    <definedName name="MA_EPO_CH" localSheetId="16">#REF!</definedName>
    <definedName name="MA_EPO_CH">#REF!</definedName>
    <definedName name="MA_HMO_BB" localSheetId="13">#REF!</definedName>
    <definedName name="MA_HMO_BB" localSheetId="15">#REF!</definedName>
    <definedName name="MA_HMO_BB" localSheetId="14">#REF!</definedName>
    <definedName name="MA_HMO_BB" localSheetId="16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 localSheetId="9">#REF!</definedName>
    <definedName name="MAPMPMVar" localSheetId="10">#REF!</definedName>
    <definedName name="MAPMPMVar" localSheetId="8">#REF!</definedName>
    <definedName name="MAPMPMVar" localSheetId="7">#REF!</definedName>
    <definedName name="MAPMPMVar" localSheetId="13">#REF!</definedName>
    <definedName name="MAPMPMVar" localSheetId="15">#REF!</definedName>
    <definedName name="MAPMPMVar" localSheetId="14">#REF!</definedName>
    <definedName name="MAPMPMVar" localSheetId="16">#REF!</definedName>
    <definedName name="MAPMPMVar">#REF!</definedName>
    <definedName name="MAPMPMVarBE" localSheetId="9">#REF!</definedName>
    <definedName name="MAPMPMVarBE" localSheetId="10">#REF!</definedName>
    <definedName name="MAPMPMVarBE" localSheetId="8">#REF!</definedName>
    <definedName name="MAPMPMVarBE" localSheetId="7">#REF!</definedName>
    <definedName name="MAPMPMVarBE" localSheetId="13">#REF!</definedName>
    <definedName name="MAPMPMVarBE" localSheetId="15">#REF!</definedName>
    <definedName name="MAPMPMVarBE" localSheetId="14">#REF!</definedName>
    <definedName name="MAPMPMVarBE" localSheetId="16">#REF!</definedName>
    <definedName name="MAPMPMVarBE">#REF!</definedName>
    <definedName name="Master_List__COMM_Final_" localSheetId="9">#REF!</definedName>
    <definedName name="Master_List__COMM_Final_" localSheetId="10">#REF!</definedName>
    <definedName name="Master_List__COMM_Final_" localSheetId="8">#REF!</definedName>
    <definedName name="Master_List__COMM_Final_" localSheetId="7">#REF!</definedName>
    <definedName name="Master_List__COMM_Final_" localSheetId="13">#REF!</definedName>
    <definedName name="Master_List__COMM_Final_" localSheetId="15">#REF!</definedName>
    <definedName name="Master_List__COMM_Final_" localSheetId="14">#REF!</definedName>
    <definedName name="Master_List__COMM_Final_" localSheetId="16">#REF!</definedName>
    <definedName name="Master_List__COMM_Final_">#REF!</definedName>
    <definedName name="MatchCell">#REF!</definedName>
    <definedName name="MaternityIncrease">'[13]Input Flags'!$D$10</definedName>
    <definedName name="MB" localSheetId="9">#REF!</definedName>
    <definedName name="MB" localSheetId="10">#REF!</definedName>
    <definedName name="MB" localSheetId="8">#REF!</definedName>
    <definedName name="MB" localSheetId="7">#REF!</definedName>
    <definedName name="MB" localSheetId="13">#REF!</definedName>
    <definedName name="MB" localSheetId="15">#REF!</definedName>
    <definedName name="MB" localSheetId="14">#REF!</definedName>
    <definedName name="MB" localSheetId="16">#REF!</definedName>
    <definedName name="MB">#REF!</definedName>
    <definedName name="MCO_06" localSheetId="9">#REF!</definedName>
    <definedName name="MCO_06" localSheetId="10">#REF!</definedName>
    <definedName name="MCO_06" localSheetId="8">#REF!</definedName>
    <definedName name="MCO_06" localSheetId="7">#REF!</definedName>
    <definedName name="MCO_06" localSheetId="13">#REF!</definedName>
    <definedName name="MCO_06" localSheetId="15">#REF!</definedName>
    <definedName name="MCO_06" localSheetId="14">#REF!</definedName>
    <definedName name="MCO_06" localSheetId="16">#REF!</definedName>
    <definedName name="MCO_06">#REF!</definedName>
    <definedName name="MCO_07" localSheetId="9">#REF!</definedName>
    <definedName name="MCO_07" localSheetId="10">#REF!</definedName>
    <definedName name="MCO_07" localSheetId="8">#REF!</definedName>
    <definedName name="MCO_07" localSheetId="7">#REF!</definedName>
    <definedName name="MCO_07" localSheetId="13">#REF!</definedName>
    <definedName name="MCO_07" localSheetId="15">#REF!</definedName>
    <definedName name="MCO_07" localSheetId="14">#REF!</definedName>
    <definedName name="MCO_07" localSheetId="16">#REF!</definedName>
    <definedName name="MCO_07">#REF!</definedName>
    <definedName name="MCO_08">#REF!</definedName>
    <definedName name="MCO_09">#REF!</definedName>
    <definedName name="MD_Cum_PL" localSheetId="9">Paid [17]Lag!$A$366:$U$430</definedName>
    <definedName name="MD_Cum_PL" localSheetId="10">Paid [17]Lag!$A$366:$U$430</definedName>
    <definedName name="MD_Cum_PL" localSheetId="8">Paid [17]Lag!$A$366:$U$430</definedName>
    <definedName name="MD_Cum_PL" localSheetId="7">Paid [17]Lag!$A$366:$U$430</definedName>
    <definedName name="MD_Cum_PL" localSheetId="13">Paid [17]Lag!$A$366:$U$430</definedName>
    <definedName name="MD_Cum_PL" localSheetId="15">Paid [17]Lag!$A$366:$U$430</definedName>
    <definedName name="MD_Cum_PL" localSheetId="14">Paid [17]Lag!$A$366:$U$430</definedName>
    <definedName name="MD_Cum_PL" localSheetId="16">Paid [17]Lag!$A$366:$U$430</definedName>
    <definedName name="MD_Cum_PL">Paid [17]Lag!$A$366:$U$430</definedName>
    <definedName name="MD_Cum_RL" localSheetId="9">Receipt [17]Lag!$A$324:$O$394</definedName>
    <definedName name="MD_Cum_RL" localSheetId="10">Receipt [17]Lag!$A$324:$O$394</definedName>
    <definedName name="MD_Cum_RL" localSheetId="8">Receipt [17]Lag!$A$324:$O$394</definedName>
    <definedName name="MD_Cum_RL" localSheetId="7">Receipt [17]Lag!$A$324:$O$394</definedName>
    <definedName name="MD_Cum_RL" localSheetId="13">Receipt [17]Lag!$A$324:$O$394</definedName>
    <definedName name="MD_Cum_RL" localSheetId="15">Receipt [17]Lag!$A$324:$O$394</definedName>
    <definedName name="MD_Cum_RL" localSheetId="14">Receipt [17]Lag!$A$324:$O$394</definedName>
    <definedName name="MD_Cum_RL" localSheetId="16">Receipt [17]Lag!$A$324:$O$394</definedName>
    <definedName name="MD_Cum_RL">Receipt [17]Lag!$A$324:$O$394</definedName>
    <definedName name="MD_Factor_PL" localSheetId="9">Paid [17]Lag!$A$434:$U$504</definedName>
    <definedName name="MD_Factor_PL" localSheetId="10">Paid [17]Lag!$A$434:$U$504</definedName>
    <definedName name="MD_Factor_PL" localSheetId="8">Paid [17]Lag!$A$434:$U$504</definedName>
    <definedName name="MD_Factor_PL" localSheetId="7">Paid [17]Lag!$A$434:$U$504</definedName>
    <definedName name="MD_Factor_PL" localSheetId="13">Paid [17]Lag!$A$434:$U$504</definedName>
    <definedName name="MD_Factor_PL" localSheetId="15">Paid [17]Lag!$A$434:$U$504</definedName>
    <definedName name="MD_Factor_PL" localSheetId="14">Paid [17]Lag!$A$434:$U$504</definedName>
    <definedName name="MD_Factor_PL" localSheetId="16">Paid [17]Lag!$A$434:$U$504</definedName>
    <definedName name="MD_Factor_PL">Paid [17]Lag!$A$434:$U$504</definedName>
    <definedName name="MD_Factor_RL" localSheetId="9">Receipt [17]Lag!$A$399:$S$458</definedName>
    <definedName name="MD_Factor_RL" localSheetId="10">Receipt [17]Lag!$A$399:$S$458</definedName>
    <definedName name="MD_Factor_RL" localSheetId="8">Receipt [17]Lag!$A$399:$S$458</definedName>
    <definedName name="MD_Factor_RL" localSheetId="7">Receipt [17]Lag!$A$399:$S$458</definedName>
    <definedName name="MD_Factor_RL" localSheetId="13">Receipt [17]Lag!$A$399:$S$458</definedName>
    <definedName name="MD_Factor_RL" localSheetId="15">Receipt [17]Lag!$A$399:$S$458</definedName>
    <definedName name="MD_Factor_RL" localSheetId="14">Receipt [17]Lag!$A$399:$S$458</definedName>
    <definedName name="MD_Factor_RL" localSheetId="16">Receipt [17]Lag!$A$399:$S$458</definedName>
    <definedName name="MD_Factor_RL">Receipt [17]Lag!$A$399:$S$458</definedName>
    <definedName name="MD_Incr_PL" localSheetId="9">Paid [17]Lag!$A$302:$U$362</definedName>
    <definedName name="MD_Incr_PL" localSheetId="10">Paid [17]Lag!$A$302:$U$362</definedName>
    <definedName name="MD_Incr_PL" localSheetId="8">Paid [17]Lag!$A$302:$U$362</definedName>
    <definedName name="MD_Incr_PL" localSheetId="7">Paid [17]Lag!$A$302:$U$362</definedName>
    <definedName name="MD_Incr_PL" localSheetId="13">Paid [17]Lag!$A$302:$U$362</definedName>
    <definedName name="MD_Incr_PL" localSheetId="15">Paid [17]Lag!$A$302:$U$362</definedName>
    <definedName name="MD_Incr_PL" localSheetId="14">Paid [17]Lag!$A$302:$U$362</definedName>
    <definedName name="MD_Incr_PL" localSheetId="16">Paid [17]Lag!$A$302:$U$362</definedName>
    <definedName name="MD_Incr_PL">Paid [17]Lag!$A$302:$U$362</definedName>
    <definedName name="MD_Incremental_RL" localSheetId="9">#REF!</definedName>
    <definedName name="MD_Incremental_RL" localSheetId="10">#REF!</definedName>
    <definedName name="MD_Incremental_RL" localSheetId="8">#REF!</definedName>
    <definedName name="MD_Incremental_RL" localSheetId="7">#REF!</definedName>
    <definedName name="MD_Incremental_RL" localSheetId="13">#REF!</definedName>
    <definedName name="MD_Incremental_RL" localSheetId="15">#REF!</definedName>
    <definedName name="MD_Incremental_RL" localSheetId="14">#REF!</definedName>
    <definedName name="MD_Incremental_RL" localSheetId="16">#REF!</definedName>
    <definedName name="MD_Incremental_RL">#REF!</definedName>
    <definedName name="MD_Projection_PL" localSheetId="9">Paid [17]Lag!$A$516:$R$587</definedName>
    <definedName name="MD_Projection_PL" localSheetId="10">Paid [17]Lag!$A$516:$R$587</definedName>
    <definedName name="MD_Projection_PL" localSheetId="8">Paid [17]Lag!$A$516:$R$587</definedName>
    <definedName name="MD_Projection_PL" localSheetId="7">Paid [17]Lag!$A$516:$R$587</definedName>
    <definedName name="MD_Projection_PL" localSheetId="13">Paid [17]Lag!$A$516:$R$587</definedName>
    <definedName name="MD_Projection_PL" localSheetId="15">Paid [17]Lag!$A$516:$R$587</definedName>
    <definedName name="MD_Projection_PL" localSheetId="14">Paid [17]Lag!$A$516:$R$587</definedName>
    <definedName name="MD_Projection_PL" localSheetId="16">Paid [17]Lag!$A$516:$R$587</definedName>
    <definedName name="MD_Projection_PL">Paid [17]Lag!$A$516:$R$587</definedName>
    <definedName name="MD_Projection_RL" localSheetId="9">Receipt [17]Lag!$A$470:$R$532</definedName>
    <definedName name="MD_Projection_RL" localSheetId="10">Receipt [17]Lag!$A$470:$R$532</definedName>
    <definedName name="MD_Projection_RL" localSheetId="8">Receipt [17]Lag!$A$470:$R$532</definedName>
    <definedName name="MD_Projection_RL" localSheetId="7">Receipt [17]Lag!$A$470:$R$532</definedName>
    <definedName name="MD_Projection_RL" localSheetId="13">Receipt [17]Lag!$A$470:$R$532</definedName>
    <definedName name="MD_Projection_RL" localSheetId="15">Receipt [17]Lag!$A$470:$R$532</definedName>
    <definedName name="MD_Projection_RL" localSheetId="14">Receipt [17]Lag!$A$470:$R$532</definedName>
    <definedName name="MD_Projection_RL" localSheetId="16">Receipt [17]Lag!$A$470:$R$532</definedName>
    <definedName name="MD_Projection_RL">Receipt [17]Lag!$A$470:$R$532</definedName>
    <definedName name="MDFLAG">[60]Sheet1!$A$2:$C$92</definedName>
    <definedName name="ME">[21]Table!$B$2</definedName>
    <definedName name="ME_HMO_BB" localSheetId="9">#REF!</definedName>
    <definedName name="ME_HMO_BB" localSheetId="10">#REF!</definedName>
    <definedName name="ME_HMO_BB" localSheetId="8">#REF!</definedName>
    <definedName name="ME_HMO_BB" localSheetId="7">#REF!</definedName>
    <definedName name="ME_HMO_BB" localSheetId="13">#REF!</definedName>
    <definedName name="ME_HMO_BB" localSheetId="15">#REF!</definedName>
    <definedName name="ME_HMO_BB" localSheetId="14">#REF!</definedName>
    <definedName name="ME_HMO_BB" localSheetId="16">#REF!</definedName>
    <definedName name="ME_HMO_BB">#REF!</definedName>
    <definedName name="ME_HMO_FD" localSheetId="9">#REF!</definedName>
    <definedName name="ME_HMO_FD" localSheetId="10">#REF!</definedName>
    <definedName name="ME_HMO_FD" localSheetId="8">#REF!</definedName>
    <definedName name="ME_HMO_FD" localSheetId="7">#REF!</definedName>
    <definedName name="ME_HMO_FD" localSheetId="13">#REF!</definedName>
    <definedName name="ME_HMO_FD" localSheetId="15">#REF!</definedName>
    <definedName name="ME_HMO_FD" localSheetId="14">#REF!</definedName>
    <definedName name="ME_HMO_FD" localSheetId="16">#REF!</definedName>
    <definedName name="ME_HMO_FD">#REF!</definedName>
    <definedName name="ME_HMO_OTHER" localSheetId="9">#REF!</definedName>
    <definedName name="ME_HMO_OTHER" localSheetId="10">#REF!</definedName>
    <definedName name="ME_HMO_OTHER" localSheetId="8">#REF!</definedName>
    <definedName name="ME_HMO_OTHER" localSheetId="7">#REF!</definedName>
    <definedName name="ME_HMO_OTHER" localSheetId="13">#REF!</definedName>
    <definedName name="ME_HMO_OTHER" localSheetId="15">#REF!</definedName>
    <definedName name="ME_HMO_OTHER" localSheetId="14">#REF!</definedName>
    <definedName name="ME_HMO_OTHER" localSheetId="16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 localSheetId="9">#REF!</definedName>
    <definedName name="Membership_with_Broker_Data" localSheetId="10">#REF!</definedName>
    <definedName name="Membership_with_Broker_Data" localSheetId="8">#REF!</definedName>
    <definedName name="Membership_with_Broker_Data" localSheetId="7">#REF!</definedName>
    <definedName name="Membership_with_Broker_Data" localSheetId="13">#REF!</definedName>
    <definedName name="Membership_with_Broker_Data" localSheetId="15">#REF!</definedName>
    <definedName name="Membership_with_Broker_Data" localSheetId="14">#REF!</definedName>
    <definedName name="Membership_with_Broker_Data" localSheetId="16">#REF!</definedName>
    <definedName name="Membership_with_Broker_Data">#REF!</definedName>
    <definedName name="MEmdcommytd" localSheetId="9">#REF!</definedName>
    <definedName name="MEmdcommytd" localSheetId="10">#REF!</definedName>
    <definedName name="MEmdcommytd" localSheetId="8">#REF!</definedName>
    <definedName name="MEmdcommytd" localSheetId="7">#REF!</definedName>
    <definedName name="MEmdcommytd" localSheetId="13">#REF!</definedName>
    <definedName name="MEmdcommytd" localSheetId="15">#REF!</definedName>
    <definedName name="MEmdcommytd" localSheetId="14">#REF!</definedName>
    <definedName name="MEmdcommytd" localSheetId="16">#REF!</definedName>
    <definedName name="MEmdcommytd">#REF!</definedName>
    <definedName name="MEPMPMVar" localSheetId="9">#REF!</definedName>
    <definedName name="MEPMPMVar" localSheetId="10">#REF!</definedName>
    <definedName name="MEPMPMVar" localSheetId="8">#REF!</definedName>
    <definedName name="MEPMPMVar" localSheetId="7">#REF!</definedName>
    <definedName name="MEPMPMVar" localSheetId="13">#REF!</definedName>
    <definedName name="MEPMPMVar" localSheetId="15">#REF!</definedName>
    <definedName name="MEPMPMVar" localSheetId="14">#REF!</definedName>
    <definedName name="MEPMPMVar" localSheetId="16">#REF!</definedName>
    <definedName name="MEPMPMVar">#REF!</definedName>
    <definedName name="MEPMPMVarBE">#REF!</definedName>
    <definedName name="Method">#REF!</definedName>
    <definedName name="Methods" localSheetId="9">[61]Calc!$G$16:$G$19</definedName>
    <definedName name="Methods" localSheetId="10">[61]Calc!$G$16:$G$19</definedName>
    <definedName name="Methods" localSheetId="8">[61]Calc!$G$16:$G$19</definedName>
    <definedName name="Methods" localSheetId="7">[61]Calc!$G$16:$G$19</definedName>
    <definedName name="Methods">[62]Calc!$G$16:$G$19</definedName>
    <definedName name="MI2017_1" localSheetId="9">#REF!</definedName>
    <definedName name="MI2017_1" localSheetId="10">#REF!</definedName>
    <definedName name="MI2017_1" localSheetId="8">#REF!</definedName>
    <definedName name="MI2017_1" localSheetId="7">#REF!</definedName>
    <definedName name="MI2017_1" localSheetId="13">#REF!</definedName>
    <definedName name="MI2017_1" localSheetId="15">#REF!</definedName>
    <definedName name="MI2017_1" localSheetId="14">#REF!</definedName>
    <definedName name="MI2017_1" localSheetId="16">#REF!</definedName>
    <definedName name="MI2017_1">#REF!</definedName>
    <definedName name="MI2017_2" localSheetId="9">#REF!</definedName>
    <definedName name="MI2017_2" localSheetId="10">#REF!</definedName>
    <definedName name="MI2017_2" localSheetId="8">#REF!</definedName>
    <definedName name="MI2017_2" localSheetId="7">#REF!</definedName>
    <definedName name="MI2017_2" localSheetId="13">#REF!</definedName>
    <definedName name="MI2017_2" localSheetId="15">#REF!</definedName>
    <definedName name="MI2017_2" localSheetId="14">#REF!</definedName>
    <definedName name="MI2017_2" localSheetId="16">#REF!</definedName>
    <definedName name="MI2017_2">#REF!</definedName>
    <definedName name="MM" localSheetId="9">#REF!</definedName>
    <definedName name="MM" localSheetId="10">#REF!</definedName>
    <definedName name="MM" localSheetId="8">#REF!</definedName>
    <definedName name="MM" localSheetId="7">#REF!</definedName>
    <definedName name="MM" localSheetId="13">#REF!</definedName>
    <definedName name="MM" localSheetId="15">#REF!</definedName>
    <definedName name="MM" localSheetId="14">#REF!</definedName>
    <definedName name="MM" localSheetId="16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 localSheetId="9">#REF!</definedName>
    <definedName name="MMTHREE" localSheetId="10">#REF!</definedName>
    <definedName name="MMTHREE" localSheetId="8">#REF!</definedName>
    <definedName name="MMTHREE" localSheetId="7">#REF!</definedName>
    <definedName name="MMTHREE" localSheetId="13">#REF!</definedName>
    <definedName name="MMTHREE" localSheetId="15">#REF!</definedName>
    <definedName name="MMTHREE" localSheetId="14">#REF!</definedName>
    <definedName name="MMTHREE" localSheetId="16">#REF!</definedName>
    <definedName name="MMTHREE">#REF!</definedName>
    <definedName name="MMTWO" localSheetId="9">#REF!</definedName>
    <definedName name="MMTWO" localSheetId="10">#REF!</definedName>
    <definedName name="MMTWO" localSheetId="8">#REF!</definedName>
    <definedName name="MMTWO" localSheetId="7">#REF!</definedName>
    <definedName name="MMTWO" localSheetId="13">#REF!</definedName>
    <definedName name="MMTWO" localSheetId="15">#REF!</definedName>
    <definedName name="MMTWO" localSheetId="14">#REF!</definedName>
    <definedName name="MMTWO" localSheetId="16">#REF!</definedName>
    <definedName name="MMTWO">#REF!</definedName>
    <definedName name="Model_Flag" localSheetId="9">#REF!</definedName>
    <definedName name="Model_Flag" localSheetId="10">#REF!</definedName>
    <definedName name="Model_Flag" localSheetId="8">#REF!</definedName>
    <definedName name="Model_Flag" localSheetId="7">#REF!</definedName>
    <definedName name="Model_Flag" localSheetId="13">#REF!</definedName>
    <definedName name="Model_Flag" localSheetId="15">#REF!</definedName>
    <definedName name="Model_Flag" localSheetId="14">#REF!</definedName>
    <definedName name="Model_Flag" localSheetId="16">#REF!</definedName>
    <definedName name="Model_Flag">#REF!</definedName>
    <definedName name="ModelName" localSheetId="9">Paid [17]Lag!$B$4</definedName>
    <definedName name="ModelName" localSheetId="10">Paid [17]Lag!$B$4</definedName>
    <definedName name="ModelName" localSheetId="8">Paid [17]Lag!$B$4</definedName>
    <definedName name="ModelName" localSheetId="7">Paid [17]Lag!$B$4</definedName>
    <definedName name="ModelName" localSheetId="13">Paid [17]Lag!$B$4</definedName>
    <definedName name="ModelName" localSheetId="15">Paid [17]Lag!$B$4</definedName>
    <definedName name="ModelName" localSheetId="14">Paid [17]Lag!$B$4</definedName>
    <definedName name="ModelName" localSheetId="16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[59]BOC!$B$2:$C$37</definedName>
    <definedName name="name1">[63]support!$AP$85:$AS$85,[63]support!$AW$85:$AZ$85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 localSheetId="9">#REF!</definedName>
    <definedName name="NC_01" localSheetId="10">#REF!</definedName>
    <definedName name="NC_01" localSheetId="8">#REF!</definedName>
    <definedName name="NC_01" localSheetId="7">#REF!</definedName>
    <definedName name="NC_01" localSheetId="13">#REF!</definedName>
    <definedName name="NC_01" localSheetId="15">#REF!</definedName>
    <definedName name="NC_01" localSheetId="14">#REF!</definedName>
    <definedName name="NC_01" localSheetId="16">#REF!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 localSheetId="9">#REF!</definedName>
    <definedName name="net_chrg" localSheetId="10">#REF!</definedName>
    <definedName name="net_chrg" localSheetId="8">#REF!</definedName>
    <definedName name="net_chrg" localSheetId="7">#REF!</definedName>
    <definedName name="net_chrg" localSheetId="13">#REF!</definedName>
    <definedName name="net_chrg" localSheetId="15">#REF!</definedName>
    <definedName name="net_chrg" localSheetId="14">#REF!</definedName>
    <definedName name="net_chrg" localSheetId="16">#REF!</definedName>
    <definedName name="net_chrg">#REF!</definedName>
    <definedName name="net_chrg1" localSheetId="9">#REF!</definedName>
    <definedName name="net_chrg1" localSheetId="10">#REF!</definedName>
    <definedName name="net_chrg1" localSheetId="8">#REF!</definedName>
    <definedName name="net_chrg1" localSheetId="7">#REF!</definedName>
    <definedName name="net_chrg1" localSheetId="13">#REF!</definedName>
    <definedName name="net_chrg1" localSheetId="15">#REF!</definedName>
    <definedName name="net_chrg1" localSheetId="14">#REF!</definedName>
    <definedName name="net_chrg1" localSheetId="16">#REF!</definedName>
    <definedName name="net_chrg1">#REF!</definedName>
    <definedName name="net_chrg2" localSheetId="9">#REF!</definedName>
    <definedName name="net_chrg2" localSheetId="10">#REF!</definedName>
    <definedName name="net_chrg2" localSheetId="8">#REF!</definedName>
    <definedName name="net_chrg2" localSheetId="7">#REF!</definedName>
    <definedName name="net_chrg2" localSheetId="13">#REF!</definedName>
    <definedName name="net_chrg2" localSheetId="15">#REF!</definedName>
    <definedName name="net_chrg2" localSheetId="14">#REF!</definedName>
    <definedName name="net_chrg2" localSheetId="16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'[64]Drop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 localSheetId="9">#REF!</definedName>
    <definedName name="NH_HMO_BB" localSheetId="10">#REF!</definedName>
    <definedName name="NH_HMO_BB" localSheetId="8">#REF!</definedName>
    <definedName name="NH_HMO_BB" localSheetId="7">#REF!</definedName>
    <definedName name="NH_HMO_BB" localSheetId="13">#REF!</definedName>
    <definedName name="NH_HMO_BB" localSheetId="15">#REF!</definedName>
    <definedName name="NH_HMO_BB" localSheetId="14">#REF!</definedName>
    <definedName name="NH_HMO_BB" localSheetId="16">#REF!</definedName>
    <definedName name="NH_HMO_BB">#REF!</definedName>
    <definedName name="NH_HMO_BRONZE" localSheetId="9">#REF!</definedName>
    <definedName name="NH_HMO_BRONZE" localSheetId="10">#REF!</definedName>
    <definedName name="NH_HMO_BRONZE" localSheetId="8">#REF!</definedName>
    <definedName name="NH_HMO_BRONZE" localSheetId="7">#REF!</definedName>
    <definedName name="NH_HMO_BRONZE" localSheetId="13">#REF!</definedName>
    <definedName name="NH_HMO_BRONZE" localSheetId="15">#REF!</definedName>
    <definedName name="NH_HMO_BRONZE" localSheetId="14">#REF!</definedName>
    <definedName name="NH_HMO_BRONZE" localSheetId="16">#REF!</definedName>
    <definedName name="NH_HMO_BRONZE">#REF!</definedName>
    <definedName name="NH_HMO_FD" localSheetId="9">#REF!</definedName>
    <definedName name="NH_HMO_FD" localSheetId="10">#REF!</definedName>
    <definedName name="NH_HMO_FD" localSheetId="8">#REF!</definedName>
    <definedName name="NH_HMO_FD" localSheetId="7">#REF!</definedName>
    <definedName name="NH_HMO_FD" localSheetId="13">#REF!</definedName>
    <definedName name="NH_HMO_FD" localSheetId="15">#REF!</definedName>
    <definedName name="NH_HMO_FD" localSheetId="14">#REF!</definedName>
    <definedName name="NH_HMO_FD" localSheetId="16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[65]Sheet1!$C$1:$C$65536</definedName>
    <definedName name="NHCityLookup">[27]Model!$DH$2</definedName>
    <definedName name="NHPMPMVar" localSheetId="9">#REF!</definedName>
    <definedName name="NHPMPMVar" localSheetId="10">#REF!</definedName>
    <definedName name="NHPMPMVar" localSheetId="8">#REF!</definedName>
    <definedName name="NHPMPMVar" localSheetId="7">#REF!</definedName>
    <definedName name="NHPMPMVar" localSheetId="13">#REF!</definedName>
    <definedName name="NHPMPMVar" localSheetId="15">#REF!</definedName>
    <definedName name="NHPMPMVar" localSheetId="14">#REF!</definedName>
    <definedName name="NHPMPMVar" localSheetId="16">#REF!</definedName>
    <definedName name="NHPMPMVar">#REF!</definedName>
    <definedName name="NHPMPMVarBE" localSheetId="9">#REF!</definedName>
    <definedName name="NHPMPMVarBE" localSheetId="10">#REF!</definedName>
    <definedName name="NHPMPMVarBE" localSheetId="8">#REF!</definedName>
    <definedName name="NHPMPMVarBE" localSheetId="7">#REF!</definedName>
    <definedName name="NHPMPMVarBE" localSheetId="13">#REF!</definedName>
    <definedName name="NHPMPMVarBE" localSheetId="15">#REF!</definedName>
    <definedName name="NHPMPMVarBE" localSheetId="14">#REF!</definedName>
    <definedName name="NHPMPMVarBE" localSheetId="16">#REF!</definedName>
    <definedName name="NHPMPMVarBE">#REF!</definedName>
    <definedName name="NHTerritories">[27]Model!$DD$5:$DF$273</definedName>
    <definedName name="nn" localSheetId="9">#REF!</definedName>
    <definedName name="nn" localSheetId="10">#REF!</definedName>
    <definedName name="nn" localSheetId="8">#REF!</definedName>
    <definedName name="nn" localSheetId="7">#REF!</definedName>
    <definedName name="nn" localSheetId="13">#REF!</definedName>
    <definedName name="nn" localSheetId="15">#REF!</definedName>
    <definedName name="nn" localSheetId="14">#REF!</definedName>
    <definedName name="nn" localSheetId="16">#REF!</definedName>
    <definedName name="nn">#REF!</definedName>
    <definedName name="NONG4AgeSexChange" localSheetId="9">#REF!</definedName>
    <definedName name="NONG4AgeSexChange" localSheetId="10">#REF!</definedName>
    <definedName name="NONG4AgeSexChange" localSheetId="8">#REF!</definedName>
    <definedName name="NONG4AgeSexChange" localSheetId="7">#REF!</definedName>
    <definedName name="NONG4AgeSexChange" localSheetId="13">#REF!</definedName>
    <definedName name="NONG4AgeSexChange" localSheetId="15">#REF!</definedName>
    <definedName name="NONG4AgeSexChange" localSheetId="14">#REF!</definedName>
    <definedName name="NONG4AgeSexChange" localSheetId="16">#REF!</definedName>
    <definedName name="NONG4AgeSexChange">#REF!</definedName>
    <definedName name="NONG4AllClaimsSummary" localSheetId="9">#REF!</definedName>
    <definedName name="NONG4AllClaimsSummary" localSheetId="10">#REF!</definedName>
    <definedName name="NONG4AllClaimsSummary" localSheetId="8">#REF!</definedName>
    <definedName name="NONG4AllClaimsSummary" localSheetId="7">#REF!</definedName>
    <definedName name="NONG4AllClaimsSummary" localSheetId="13">#REF!</definedName>
    <definedName name="NONG4AllClaimsSummary" localSheetId="15">#REF!</definedName>
    <definedName name="NONG4AllClaimsSummary" localSheetId="14">#REF!</definedName>
    <definedName name="NONG4AllClaimsSummary" localSheetId="16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[58]Detail!#REF!</definedName>
    <definedName name="Number_A">'[44]Val Data'!$F$2:$F$7</definedName>
    <definedName name="NumberofAreas">'[13]User Input'!$R$14</definedName>
    <definedName name="OBSdwnldFSEN" localSheetId="9">#REF!</definedName>
    <definedName name="OBSdwnldFSEN" localSheetId="10">#REF!</definedName>
    <definedName name="OBSdwnldFSEN" localSheetId="8">#REF!</definedName>
    <definedName name="OBSdwnldFSEN" localSheetId="7">#REF!</definedName>
    <definedName name="OBSdwnldFSEN" localSheetId="13">#REF!</definedName>
    <definedName name="OBSdwnldFSEN" localSheetId="15">#REF!</definedName>
    <definedName name="OBSdwnldFSEN" localSheetId="14">#REF!</definedName>
    <definedName name="OBSdwnldFSEN" localSheetId="16">#REF!</definedName>
    <definedName name="OBSdwnldFSEN">#REF!</definedName>
    <definedName name="Old" localSheetId="9">#REF!</definedName>
    <definedName name="Old" localSheetId="10">#REF!</definedName>
    <definedName name="Old" localSheetId="8">#REF!</definedName>
    <definedName name="Old" localSheetId="7">#REF!</definedName>
    <definedName name="Old" localSheetId="13">#REF!</definedName>
    <definedName name="Old" localSheetId="15">#REF!</definedName>
    <definedName name="Old" localSheetId="14">#REF!</definedName>
    <definedName name="Old" localSheetId="16">#REF!</definedName>
    <definedName name="Old">#REF!</definedName>
    <definedName name="OLE_LINK12" localSheetId="8">'Data for Q5'!#REF!</definedName>
    <definedName name="OLE_LINK18" localSheetId="8">'Data for Q5'!#REF!</definedName>
    <definedName name="OLE_LINK19" localSheetId="11">'Q6'!#REF!</definedName>
    <definedName name="OLE_LINK27" localSheetId="11">'Q6'!#REF!</definedName>
    <definedName name="OLE_LINK7" localSheetId="11">'Q6'!#REF!</definedName>
    <definedName name="oo">'[19]Liability (Non-Cred)'!$B$2:$AB$75</definedName>
    <definedName name="oojop">'[19]Liability (Non-Cred)'!$B$2:$AB$75</definedName>
    <definedName name="OON_SUMMARY" localSheetId="9">#REF!</definedName>
    <definedName name="OON_SUMMARY" localSheetId="10">#REF!</definedName>
    <definedName name="OON_SUMMARY" localSheetId="8">#REF!</definedName>
    <definedName name="OON_SUMMARY" localSheetId="7">#REF!</definedName>
    <definedName name="OON_SUMMARY" localSheetId="13">#REF!</definedName>
    <definedName name="OON_SUMMARY" localSheetId="15">#REF!</definedName>
    <definedName name="OON_SUMMARY" localSheetId="14">#REF!</definedName>
    <definedName name="OON_SUMMARY" localSheetId="16">#REF!</definedName>
    <definedName name="OON_SUMMARY">#REF!</definedName>
    <definedName name="OON_SUMMDOC1" localSheetId="9">#REF!</definedName>
    <definedName name="OON_SUMMDOC1" localSheetId="10">#REF!</definedName>
    <definedName name="OON_SUMMDOC1" localSheetId="8">#REF!</definedName>
    <definedName name="OON_SUMMDOC1" localSheetId="7">#REF!</definedName>
    <definedName name="OON_SUMMDOC1" localSheetId="13">#REF!</definedName>
    <definedName name="OON_SUMMDOC1" localSheetId="15">#REF!</definedName>
    <definedName name="OON_SUMMDOC1" localSheetId="14">#REF!</definedName>
    <definedName name="OON_SUMMDOC1" localSheetId="16">#REF!</definedName>
    <definedName name="OON_SUMMDOC1">#REF!</definedName>
    <definedName name="OON_SUMMDOC2" localSheetId="9">#REF!</definedName>
    <definedName name="OON_SUMMDOC2" localSheetId="10">#REF!</definedName>
    <definedName name="OON_SUMMDOC2" localSheetId="8">#REF!</definedName>
    <definedName name="OON_SUMMDOC2" localSheetId="7">#REF!</definedName>
    <definedName name="OON_SUMMDOC2" localSheetId="13">#REF!</definedName>
    <definedName name="OON_SUMMDOC2" localSheetId="15">#REF!</definedName>
    <definedName name="OON_SUMMDOC2" localSheetId="14">#REF!</definedName>
    <definedName name="OON_SUMMDOC2" localSheetId="16">#REF!</definedName>
    <definedName name="OON_SUMMDOC2">#REF!</definedName>
    <definedName name="OP_SUMM2" localSheetId="9">[54]OP_SUMM2!#REF!</definedName>
    <definedName name="OP_SUMM2" localSheetId="10">[54]OP_SUMM2!#REF!</definedName>
    <definedName name="OP_SUMM2" localSheetId="8">[54]OP_SUMM2!#REF!</definedName>
    <definedName name="OP_SUMM2" localSheetId="7">[54]OP_SUMM2!#REF!</definedName>
    <definedName name="OP_SUMM2" localSheetId="13">[54]OP_SUMM2!#REF!</definedName>
    <definedName name="OP_SUMM2" localSheetId="15">[54]OP_SUMM2!#REF!</definedName>
    <definedName name="OP_SUMM2" localSheetId="14">[54]OP_SUMM2!#REF!</definedName>
    <definedName name="OP_SUMM2" localSheetId="16">[54]OP_SUMM2!#REF!</definedName>
    <definedName name="OP_SUMM2">[54]OP_SUMM2!#REF!</definedName>
    <definedName name="OP_SUMMARY" localSheetId="9">#REF!</definedName>
    <definedName name="OP_SUMMARY" localSheetId="10">#REF!</definedName>
    <definedName name="OP_SUMMARY" localSheetId="8">#REF!</definedName>
    <definedName name="OP_SUMMARY" localSheetId="7">#REF!</definedName>
    <definedName name="OP_SUMMARY" localSheetId="13">#REF!</definedName>
    <definedName name="OP_SUMMARY" localSheetId="15">#REF!</definedName>
    <definedName name="OP_SUMMARY" localSheetId="14">#REF!</definedName>
    <definedName name="OP_SUMMARY" localSheetId="16">#REF!</definedName>
    <definedName name="OP_SUMMARY">#REF!</definedName>
    <definedName name="Op_svcflg_test" localSheetId="9">#REF!</definedName>
    <definedName name="Op_svcflg_test" localSheetId="10">#REF!</definedName>
    <definedName name="Op_svcflg_test" localSheetId="8">#REF!</definedName>
    <definedName name="Op_svcflg_test" localSheetId="7">#REF!</definedName>
    <definedName name="Op_svcflg_test" localSheetId="13">#REF!</definedName>
    <definedName name="Op_svcflg_test" localSheetId="15">#REF!</definedName>
    <definedName name="Op_svcflg_test" localSheetId="14">#REF!</definedName>
    <definedName name="Op_svcflg_test" localSheetId="16">#REF!</definedName>
    <definedName name="Op_svcflg_test">#REF!</definedName>
    <definedName name="OPLYear" localSheetId="9">#REF!</definedName>
    <definedName name="OPLYear" localSheetId="10">#REF!</definedName>
    <definedName name="OPLYear" localSheetId="8">#REF!</definedName>
    <definedName name="OPLYear" localSheetId="7">#REF!</definedName>
    <definedName name="OPLYear" localSheetId="13">#REF!</definedName>
    <definedName name="OPLYear" localSheetId="15">#REF!</definedName>
    <definedName name="OPLYear" localSheetId="14">#REF!</definedName>
    <definedName name="OPLYear" localSheetId="16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 localSheetId="9">#REF!</definedName>
    <definedName name="OV_CPDS" localSheetId="10">#REF!</definedName>
    <definedName name="OV_CPDS" localSheetId="8">#REF!</definedName>
    <definedName name="OV_CPDS" localSheetId="7">#REF!</definedName>
    <definedName name="OV_CPDS" localSheetId="13">#REF!</definedName>
    <definedName name="OV_CPDS" localSheetId="15">#REF!</definedName>
    <definedName name="OV_CPDS" localSheetId="14">#REF!</definedName>
    <definedName name="OV_CPDS" localSheetId="16">#REF!</definedName>
    <definedName name="OV_CPDS">#REF!</definedName>
    <definedName name="PAGE6" localSheetId="9">#REF!</definedName>
    <definedName name="PAGE6" localSheetId="10">#REF!</definedName>
    <definedName name="PAGE6" localSheetId="8">#REF!</definedName>
    <definedName name="PAGE6" localSheetId="7">#REF!</definedName>
    <definedName name="PAGE6" localSheetId="13">#REF!</definedName>
    <definedName name="PAGE6" localSheetId="15">#REF!</definedName>
    <definedName name="PAGE6" localSheetId="14">#REF!</definedName>
    <definedName name="PAGE6" localSheetId="16">#REF!</definedName>
    <definedName name="PAGE6">#REF!</definedName>
    <definedName name="Page6a" localSheetId="9">#REF!</definedName>
    <definedName name="Page6a" localSheetId="10">#REF!</definedName>
    <definedName name="Page6a" localSheetId="8">#REF!</definedName>
    <definedName name="Page6a" localSheetId="7">#REF!</definedName>
    <definedName name="Page6a" localSheetId="13">#REF!</definedName>
    <definedName name="Page6a" localSheetId="15">#REF!</definedName>
    <definedName name="Page6a" localSheetId="14">#REF!</definedName>
    <definedName name="Page6a" localSheetId="16">#REF!</definedName>
    <definedName name="Page6a">#REF!</definedName>
    <definedName name="PaidSeasonality">'[12]Seasonality Data'!$I:$I</definedName>
    <definedName name="PaperRxSubmission">[13]Controls!#REF!</definedName>
    <definedName name="payroll">[66]CBUDGET!$A$5:$F$1254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[67]Controls!$C$195</definedName>
    <definedName name="PHYSREPRICE07" localSheetId="9">#REF!</definedName>
    <definedName name="PHYSREPRICE07" localSheetId="10">#REF!</definedName>
    <definedName name="PHYSREPRICE07" localSheetId="8">#REF!</definedName>
    <definedName name="PHYSREPRICE07" localSheetId="7">#REF!</definedName>
    <definedName name="PHYSREPRICE07" localSheetId="13">#REF!</definedName>
    <definedName name="PHYSREPRICE07" localSheetId="15">#REF!</definedName>
    <definedName name="PHYSREPRICE07" localSheetId="14">#REF!</definedName>
    <definedName name="PHYSREPRICE07" localSheetId="16">#REF!</definedName>
    <definedName name="PHYSREPRICE07">#REF!</definedName>
    <definedName name="PIPA" localSheetId="9">#REF!</definedName>
    <definedName name="PIPA" localSheetId="10">#REF!</definedName>
    <definedName name="PIPA" localSheetId="8">#REF!</definedName>
    <definedName name="PIPA" localSheetId="7">#REF!</definedName>
    <definedName name="PIPA" localSheetId="13">#REF!</definedName>
    <definedName name="PIPA" localSheetId="15">#REF!</definedName>
    <definedName name="PIPA" localSheetId="14">#REF!</definedName>
    <definedName name="PIPA" localSheetId="16">#REF!</definedName>
    <definedName name="PIPA">#REF!</definedName>
    <definedName name="Plan_Flag" localSheetId="9">#REF!</definedName>
    <definedName name="Plan_Flag" localSheetId="10">#REF!</definedName>
    <definedName name="Plan_Flag" localSheetId="8">#REF!</definedName>
    <definedName name="Plan_Flag" localSheetId="7">#REF!</definedName>
    <definedName name="Plan_Flag" localSheetId="13">#REF!</definedName>
    <definedName name="Plan_Flag" localSheetId="15">#REF!</definedName>
    <definedName name="Plan_Flag" localSheetId="14">#REF!</definedName>
    <definedName name="Plan_Flag" localSheetId="16">#REF!</definedName>
    <definedName name="Plan_Flag">#REF!</definedName>
    <definedName name="PlanChoices">[68]Notes!$Q$9:$Q$23</definedName>
    <definedName name="PlanID3">[16]Model!$D$21</definedName>
    <definedName name="PlanID4">[16]Model!$E$21</definedName>
    <definedName name="PlanInput">'[69]Benefit Input'!$L$3</definedName>
    <definedName name="PM">[32]Data!$C$5</definedName>
    <definedName name="PMPM_analysis" localSheetId="9">PMPM [70]analysis!$A$26:$J$82</definedName>
    <definedName name="PMPM_analysis" localSheetId="10">PMPM [70]analysis!$A$26:$J$82</definedName>
    <definedName name="PMPM_analysis" localSheetId="8">PMPM [70]analysis!$A$26:$J$82</definedName>
    <definedName name="PMPM_analysis" localSheetId="7">PMPM [70]analysis!$A$26:$J$82</definedName>
    <definedName name="PMPM_analysis" localSheetId="13">PMPM [70]analysis!$A$26:$J$82</definedName>
    <definedName name="PMPM_analysis" localSheetId="15">PMPM [70]analysis!$A$26:$J$82</definedName>
    <definedName name="PMPM_analysis" localSheetId="14">PMPM [70]analysis!$A$26:$J$82</definedName>
    <definedName name="PMPM_analysis" localSheetId="16">PMPM [70]analysis!$A$26:$J$82</definedName>
    <definedName name="PMPM_analysis">PMPM [70]analysis!$A$26:$J$82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 localSheetId="9">#REF!</definedName>
    <definedName name="POS_CLAIM_COST" localSheetId="10">#REF!</definedName>
    <definedName name="POS_CLAIM_COST" localSheetId="8">#REF!</definedName>
    <definedName name="POS_CLAIM_COST" localSheetId="7">#REF!</definedName>
    <definedName name="POS_CLAIM_COST" localSheetId="13">#REF!</definedName>
    <definedName name="POS_CLAIM_COST" localSheetId="15">#REF!</definedName>
    <definedName name="POS_CLAIM_COST" localSheetId="14">#REF!</definedName>
    <definedName name="POS_CLAIM_COST" localSheetId="16">#REF!</definedName>
    <definedName name="POS_CLAIM_COST">#REF!</definedName>
    <definedName name="POSPlan">[13]Controls!$C$1</definedName>
    <definedName name="ppc" localSheetId="9">#REF!</definedName>
    <definedName name="ppc" localSheetId="10">#REF!</definedName>
    <definedName name="ppc" localSheetId="8">#REF!</definedName>
    <definedName name="ppc" localSheetId="7">#REF!</definedName>
    <definedName name="ppc" localSheetId="13">#REF!</definedName>
    <definedName name="ppc" localSheetId="15">#REF!</definedName>
    <definedName name="ppc" localSheetId="14">#REF!</definedName>
    <definedName name="ppc" localSheetId="16">#REF!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'[71]Pricing Input Summary'!$B:$O</definedName>
    <definedName name="_xlnm.Print_Area" localSheetId="9">UCL [72]factors!$A$1:$Q$53</definedName>
    <definedName name="_xlnm.Print_Area" localSheetId="10">UCL [72]factors!$A$1:$Q$53</definedName>
    <definedName name="_xlnm.Print_Area" localSheetId="8">UCL [72]factors!$A$1:$Q$53</definedName>
    <definedName name="_xlnm.Print_Area" localSheetId="0">'Q1'!$A$3:$H$16</definedName>
    <definedName name="_xlnm.Print_Area" localSheetId="7">UCL [72]factors!$A$1:$Q$53</definedName>
    <definedName name="_xlnm.Print_Area" localSheetId="13">UCL [72]factors!$A$1:$Q$53</definedName>
    <definedName name="_xlnm.Print_Area" localSheetId="15">UCL [72]factors!$A$1:$Q$53</definedName>
    <definedName name="_xlnm.Print_Area" localSheetId="14">UCL [72]factors!$A$1:$Q$53</definedName>
    <definedName name="_xlnm.Print_Area" localSheetId="16">UCL [72]factors!$A$1:$Q$53</definedName>
    <definedName name="_xlnm.Print_Area">UCL [72]factors!$A$1:$Q$53</definedName>
    <definedName name="Print_Area_MI" localSheetId="9">#REF!</definedName>
    <definedName name="Print_Area_MI" localSheetId="10">#REF!</definedName>
    <definedName name="Print_Area_MI" localSheetId="8">#REF!</definedName>
    <definedName name="Print_Area_MI" localSheetId="7">#REF!</definedName>
    <definedName name="Print_Area_MI" localSheetId="13">#REF!</definedName>
    <definedName name="Print_Area_MI" localSheetId="15">#REF!</definedName>
    <definedName name="Print_Area_MI" localSheetId="14">#REF!</definedName>
    <definedName name="Print_Area_MI" localSheetId="16">#REF!</definedName>
    <definedName name="Print_Area_MI">#REF!</definedName>
    <definedName name="Print_Titles_MI" localSheetId="9">#REF!</definedName>
    <definedName name="Print_Titles_MI" localSheetId="10">#REF!</definedName>
    <definedName name="Print_Titles_MI" localSheetId="8">#REF!</definedName>
    <definedName name="Print_Titles_MI" localSheetId="7">#REF!</definedName>
    <definedName name="Print_Titles_MI" localSheetId="13">#REF!</definedName>
    <definedName name="Print_Titles_MI" localSheetId="15">#REF!</definedName>
    <definedName name="Print_Titles_MI" localSheetId="14">#REF!</definedName>
    <definedName name="Print_Titles_MI" localSheetId="16">#REF!</definedName>
    <definedName name="Print_Titles_MI">#REF!</definedName>
    <definedName name="print1" localSheetId="9">#REF!</definedName>
    <definedName name="print1" localSheetId="10">#REF!</definedName>
    <definedName name="print1" localSheetId="8">#REF!</definedName>
    <definedName name="print1" localSheetId="7">#REF!</definedName>
    <definedName name="print1" localSheetId="13">#REF!</definedName>
    <definedName name="print1" localSheetId="15">#REF!</definedName>
    <definedName name="print1" localSheetId="14">#REF!</definedName>
    <definedName name="print1" localSheetId="16">#REF!</definedName>
    <definedName name="print1">#REF!</definedName>
    <definedName name="PrintCPD">'[13]Print Flags'!$B$26</definedName>
    <definedName name="Priority">'[44]Val Data'!$I$2:$I$5</definedName>
    <definedName name="proc" localSheetId="9">#REF!</definedName>
    <definedName name="proc" localSheetId="10">#REF!</definedName>
    <definedName name="proc" localSheetId="8">#REF!</definedName>
    <definedName name="proc" localSheetId="7">#REF!</definedName>
    <definedName name="proc" localSheetId="13">#REF!</definedName>
    <definedName name="proc" localSheetId="15">#REF!</definedName>
    <definedName name="proc" localSheetId="14">#REF!</definedName>
    <definedName name="proc" localSheetId="16">#REF!</definedName>
    <definedName name="proc">#REF!</definedName>
    <definedName name="Prod">[73]Product!$B$4:$I$47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 localSheetId="9">#REF!</definedName>
    <definedName name="PROJECTIONBYTREATGROUP" localSheetId="10">#REF!</definedName>
    <definedName name="PROJECTIONBYTREATGROUP" localSheetId="8">#REF!</definedName>
    <definedName name="PROJECTIONBYTREATGROUP" localSheetId="7">#REF!</definedName>
    <definedName name="PROJECTIONBYTREATGROUP" localSheetId="13">#REF!</definedName>
    <definedName name="PROJECTIONBYTREATGROUP" localSheetId="15">#REF!</definedName>
    <definedName name="PROJECTIONBYTREATGROUP" localSheetId="14">#REF!</definedName>
    <definedName name="PROJECTIONBYTREATGROUP" localSheetId="16">#REF!</definedName>
    <definedName name="PROJECTIONBYTREATGROUP">#REF!</definedName>
    <definedName name="ProjectionMonths" localSheetId="9">#REF!</definedName>
    <definedName name="ProjectionMonths" localSheetId="10">#REF!</definedName>
    <definedName name="ProjectionMonths" localSheetId="8">#REF!</definedName>
    <definedName name="ProjectionMonths" localSheetId="7">#REF!</definedName>
    <definedName name="ProjectionMonths" localSheetId="13">#REF!</definedName>
    <definedName name="ProjectionMonths" localSheetId="15">#REF!</definedName>
    <definedName name="ProjectionMonths" localSheetId="14">#REF!</definedName>
    <definedName name="ProjectionMonths" localSheetId="16">#REF!</definedName>
    <definedName name="ProjectionMonths">#REF!</definedName>
    <definedName name="ProjectionYear" localSheetId="9">#REF!</definedName>
    <definedName name="ProjectionYear" localSheetId="10">#REF!</definedName>
    <definedName name="ProjectionYear" localSheetId="8">#REF!</definedName>
    <definedName name="ProjectionYear" localSheetId="7">#REF!</definedName>
    <definedName name="ProjectionYear" localSheetId="13">#REF!</definedName>
    <definedName name="ProjectionYear" localSheetId="15">#REF!</definedName>
    <definedName name="ProjectionYear" localSheetId="14">#REF!</definedName>
    <definedName name="ProjectionYear" localSheetId="16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[58]Parameter!$C$13</definedName>
    <definedName name="PYTable">[74]Memo!#REF!</definedName>
    <definedName name="q">'[37]RateModel Input'!$D$14</definedName>
    <definedName name="QC_TABLE">[75]QC_Sheet!#REF!</definedName>
    <definedName name="qqq" localSheetId="9">#REF!</definedName>
    <definedName name="qqq" localSheetId="10">#REF!</definedName>
    <definedName name="qqq" localSheetId="8">#REF!</definedName>
    <definedName name="qqq" localSheetId="7">#REF!</definedName>
    <definedName name="qqq" localSheetId="13">#REF!</definedName>
    <definedName name="qqq" localSheetId="15">#REF!</definedName>
    <definedName name="qqq" localSheetId="14">#REF!</definedName>
    <definedName name="qqq" localSheetId="16">#REF!</definedName>
    <definedName name="qqq">#REF!</definedName>
    <definedName name="qryRenee" localSheetId="9">#REF!</definedName>
    <definedName name="qryRenee" localSheetId="10">#REF!</definedName>
    <definedName name="qryRenee" localSheetId="8">#REF!</definedName>
    <definedName name="qryRenee" localSheetId="7">#REF!</definedName>
    <definedName name="qryRenee" localSheetId="13">#REF!</definedName>
    <definedName name="qryRenee" localSheetId="15">#REF!</definedName>
    <definedName name="qryRenee" localSheetId="14">#REF!</definedName>
    <definedName name="qryRenee" localSheetId="16">#REF!</definedName>
    <definedName name="qryRenee">#REF!</definedName>
    <definedName name="QryRenewalLossRatioInfoExcel" localSheetId="9">#REF!</definedName>
    <definedName name="QryRenewalLossRatioInfoExcel" localSheetId="10">#REF!</definedName>
    <definedName name="QryRenewalLossRatioInfoExcel" localSheetId="8">#REF!</definedName>
    <definedName name="QryRenewalLossRatioInfoExcel" localSheetId="7">#REF!</definedName>
    <definedName name="QryRenewalLossRatioInfoExcel" localSheetId="13">#REF!</definedName>
    <definedName name="QryRenewalLossRatioInfoExcel" localSheetId="15">#REF!</definedName>
    <definedName name="QryRenewalLossRatioInfoExcel" localSheetId="14">#REF!</definedName>
    <definedName name="QryRenewalLossRatioInfoExcel" localSheetId="16">#REF!</definedName>
    <definedName name="QryRenewalLossRatioInfoExcel">#REF!</definedName>
    <definedName name="Quarter">'[11]2017 Accounting PL - CM and YTD'!$T$2:$V$13</definedName>
    <definedName name="Quarter1" localSheetId="9">#REF!</definedName>
    <definedName name="Quarter1" localSheetId="10">#REF!</definedName>
    <definedName name="Quarter1" localSheetId="8">#REF!</definedName>
    <definedName name="Quarter1" localSheetId="7">#REF!</definedName>
    <definedName name="Quarter1" localSheetId="13">#REF!</definedName>
    <definedName name="Quarter1" localSheetId="15">#REF!</definedName>
    <definedName name="Quarter1" localSheetId="14">#REF!</definedName>
    <definedName name="Quarter1" localSheetId="16">#REF!</definedName>
    <definedName name="Quarter1">#REF!</definedName>
    <definedName name="qwe" localSheetId="13" hidden="1">[18]trends!#REF!</definedName>
    <definedName name="qwe" localSheetId="15" hidden="1">[18]trends!#REF!</definedName>
    <definedName name="qwe" localSheetId="14" hidden="1">[18]trends!#REF!</definedName>
    <definedName name="qwe" localSheetId="16" hidden="1">[18]trends!#REF!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'[64]Drop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 localSheetId="9">#REF!</definedName>
    <definedName name="RateYear" localSheetId="10">#REF!</definedName>
    <definedName name="RateYear" localSheetId="8">#REF!</definedName>
    <definedName name="RateYear" localSheetId="7">#REF!</definedName>
    <definedName name="RateYear" localSheetId="13">#REF!</definedName>
    <definedName name="RateYear" localSheetId="15">#REF!</definedName>
    <definedName name="RateYear" localSheetId="14">#REF!</definedName>
    <definedName name="RateYear" localSheetId="16">#REF!</definedName>
    <definedName name="RateYear">#REF!</definedName>
    <definedName name="rating">'[76]rating segment'!$A$2:$I$13709</definedName>
    <definedName name="RBRVSFeeSched">[67]Controls!$C$198</definedName>
    <definedName name="RBRVSInputCFs">[13]Controls!$C$200</definedName>
    <definedName name="RBRVSMultiple">[13]Controls!$C$199</definedName>
    <definedName name="Recover">[77]Macro1!$A$99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 localSheetId="9">#REF!</definedName>
    <definedName name="ReservePMPM" localSheetId="10">#REF!</definedName>
    <definedName name="ReservePMPM" localSheetId="8">#REF!</definedName>
    <definedName name="ReservePMPM" localSheetId="7">#REF!</definedName>
    <definedName name="ReservePMPM" localSheetId="13">#REF!</definedName>
    <definedName name="ReservePMPM" localSheetId="15">#REF!</definedName>
    <definedName name="ReservePMPM" localSheetId="14">#REF!</definedName>
    <definedName name="ReservePMPM" localSheetId="16">#REF!</definedName>
    <definedName name="ReservePMPM">#REF!</definedName>
    <definedName name="ReservePMPMBE" localSheetId="9">#REF!</definedName>
    <definedName name="ReservePMPMBE" localSheetId="10">#REF!</definedName>
    <definedName name="ReservePMPMBE" localSheetId="8">#REF!</definedName>
    <definedName name="ReservePMPMBE" localSheetId="7">#REF!</definedName>
    <definedName name="ReservePMPMBE" localSheetId="13">#REF!</definedName>
    <definedName name="ReservePMPMBE" localSheetId="15">#REF!</definedName>
    <definedName name="ReservePMPMBE" localSheetId="14">#REF!</definedName>
    <definedName name="ReservePMPMBE" localSheetId="16">#REF!</definedName>
    <definedName name="ReservePMPMBE">#REF!</definedName>
    <definedName name="reten_ppo_asc" localSheetId="9">#REF!</definedName>
    <definedName name="reten_ppo_asc" localSheetId="10">#REF!</definedName>
    <definedName name="reten_ppo_asc" localSheetId="8">#REF!</definedName>
    <definedName name="reten_ppo_asc" localSheetId="7">#REF!</definedName>
    <definedName name="reten_ppo_asc" localSheetId="13">#REF!</definedName>
    <definedName name="reten_ppo_asc" localSheetId="15">#REF!</definedName>
    <definedName name="reten_ppo_asc" localSheetId="14">#REF!</definedName>
    <definedName name="reten_ppo_asc" localSheetId="16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'[78]Pricing Grids'!$B$58:$C$68</definedName>
    <definedName name="revsharetable4tc">'[78]Pricing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 localSheetId="9">#REF!</definedName>
    <definedName name="Roll_up_data" localSheetId="10">#REF!</definedName>
    <definedName name="Roll_up_data" localSheetId="8">#REF!</definedName>
    <definedName name="Roll_up_data" localSheetId="7">#REF!</definedName>
    <definedName name="Roll_up_data" localSheetId="13">#REF!</definedName>
    <definedName name="Roll_up_data" localSheetId="15">#REF!</definedName>
    <definedName name="Roll_up_data" localSheetId="14">#REF!</definedName>
    <definedName name="Roll_up_data" localSheetId="16">#REF!</definedName>
    <definedName name="Roll_up_data">#REF!</definedName>
    <definedName name="RowOffset">[79]Notes!$N$26</definedName>
    <definedName name="RROPP05" localSheetId="9">#REF!</definedName>
    <definedName name="RROPP05" localSheetId="10">#REF!</definedName>
    <definedName name="RROPP05" localSheetId="8">#REF!</definedName>
    <definedName name="RROPP05" localSheetId="7">#REF!</definedName>
    <definedName name="RROPP05" localSheetId="13">#REF!</definedName>
    <definedName name="RROPP05" localSheetId="15">#REF!</definedName>
    <definedName name="RROPP05" localSheetId="14">#REF!</definedName>
    <definedName name="RROPP05" localSheetId="16">#REF!</definedName>
    <definedName name="RROPP05">#REF!</definedName>
    <definedName name="rty">'[19]MH-SA'!$C$4:$AC$31</definedName>
    <definedName name="Rx">[80]BOC!$E$2:$Q$19</definedName>
    <definedName name="RxBOC">[81]BOC!$H$3:$J$52</definedName>
    <definedName name="RXCOSTPERSERVICE" localSheetId="9">#REF!</definedName>
    <definedName name="RXCOSTPERSERVICE" localSheetId="10">#REF!</definedName>
    <definedName name="RXCOSTPERSERVICE" localSheetId="8">#REF!</definedName>
    <definedName name="RXCOSTPERSERVICE" localSheetId="7">#REF!</definedName>
    <definedName name="RXCOSTPERSERVICE" localSheetId="13">#REF!</definedName>
    <definedName name="RXCOSTPERSERVICE" localSheetId="15">#REF!</definedName>
    <definedName name="RXCOSTPERSERVICE" localSheetId="14">#REF!</definedName>
    <definedName name="RXCOSTPERSERVICE" localSheetId="16">#REF!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 localSheetId="9">#REF!</definedName>
    <definedName name="RxRiders" localSheetId="10">#REF!</definedName>
    <definedName name="RxRiders" localSheetId="8">#REF!</definedName>
    <definedName name="RxRiders" localSheetId="7">#REF!</definedName>
    <definedName name="RxRiders" localSheetId="13">#REF!</definedName>
    <definedName name="RxRiders" localSheetId="15">#REF!</definedName>
    <definedName name="RxRiders" localSheetId="14">#REF!</definedName>
    <definedName name="RxRiders" localSheetId="16">#REF!</definedName>
    <definedName name="RxRiders">#REF!</definedName>
    <definedName name="RxWorksheetPage1" localSheetId="9">#REF!</definedName>
    <definedName name="RxWorksheetPage1" localSheetId="10">#REF!</definedName>
    <definedName name="RxWorksheetPage1" localSheetId="8">#REF!</definedName>
    <definedName name="RxWorksheetPage1" localSheetId="7">#REF!</definedName>
    <definedName name="RxWorksheetPage1" localSheetId="13">#REF!</definedName>
    <definedName name="RxWorksheetPage1" localSheetId="15">#REF!</definedName>
    <definedName name="RxWorksheetPage1" localSheetId="14">#REF!</definedName>
    <definedName name="RxWorksheetPage1" localSheetId="16">#REF!</definedName>
    <definedName name="RxWorksheetPage1">#REF!</definedName>
    <definedName name="RxWorksheetPage2" localSheetId="9">#REF!</definedName>
    <definedName name="RxWorksheetPage2" localSheetId="10">#REF!</definedName>
    <definedName name="RxWorksheetPage2" localSheetId="8">#REF!</definedName>
    <definedName name="RxWorksheetPage2" localSheetId="7">#REF!</definedName>
    <definedName name="RxWorksheetPage2" localSheetId="13">#REF!</definedName>
    <definedName name="RxWorksheetPage2" localSheetId="15">#REF!</definedName>
    <definedName name="RxWorksheetPage2" localSheetId="14">#REF!</definedName>
    <definedName name="RxWorksheetPage2" localSheetId="16">#REF!</definedName>
    <definedName name="RxWorksheetPage2">#REF!</definedName>
    <definedName name="s">[67]Controls!$C$195</definedName>
    <definedName name="sadf" localSheetId="9">#REF!</definedName>
    <definedName name="sadf" localSheetId="10">#REF!</definedName>
    <definedName name="sadf" localSheetId="8">#REF!</definedName>
    <definedName name="sadf" localSheetId="7">#REF!</definedName>
    <definedName name="sadf" localSheetId="13">#REF!</definedName>
    <definedName name="sadf" localSheetId="15">#REF!</definedName>
    <definedName name="sadf" localSheetId="14">#REF!</definedName>
    <definedName name="sadf" localSheetId="16">#REF!</definedName>
    <definedName name="sadf">#REF!</definedName>
    <definedName name="SalesReps">[27]Model!$AC$3:$AE$117</definedName>
    <definedName name="saveTxtOutput" localSheetId="9">#REF!</definedName>
    <definedName name="saveTxtOutput" localSheetId="10">#REF!</definedName>
    <definedName name="saveTxtOutput" localSheetId="8">#REF!</definedName>
    <definedName name="saveTxtOutput" localSheetId="7">#REF!</definedName>
    <definedName name="saveTxtOutput" localSheetId="13">#REF!</definedName>
    <definedName name="saveTxtOutput" localSheetId="15">#REF!</definedName>
    <definedName name="saveTxtOutput" localSheetId="14">#REF!</definedName>
    <definedName name="saveTxtOutput" localSheetId="16">#REF!</definedName>
    <definedName name="saveTxtOutput">#REF!</definedName>
    <definedName name="Scenarios">[16]AltQuotes!$AH$6:$AH$43</definedName>
    <definedName name="sdfg">[53]Title!$A$1</definedName>
    <definedName name="SDrivers" localSheetId="9">#REF!</definedName>
    <definedName name="SDrivers" localSheetId="10">#REF!</definedName>
    <definedName name="SDrivers" localSheetId="8">#REF!</definedName>
    <definedName name="SDrivers" localSheetId="7">#REF!</definedName>
    <definedName name="SDrivers" localSheetId="13">#REF!</definedName>
    <definedName name="SDrivers" localSheetId="15">#REF!</definedName>
    <definedName name="SDrivers" localSheetId="14">#REF!</definedName>
    <definedName name="SDrivers" localSheetId="16">#REF!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[82]ERF!$AC$2</definedName>
    <definedName name="SERVICE_RESULTS" localSheetId="9">#REF!</definedName>
    <definedName name="SERVICE_RESULTS" localSheetId="10">#REF!</definedName>
    <definedName name="SERVICE_RESULTS" localSheetId="8">#REF!</definedName>
    <definedName name="SERVICE_RESULTS" localSheetId="7">#REF!</definedName>
    <definedName name="SERVICE_RESULTS" localSheetId="13">#REF!</definedName>
    <definedName name="SERVICE_RESULTS" localSheetId="15">#REF!</definedName>
    <definedName name="SERVICE_RESULTS" localSheetId="14">#REF!</definedName>
    <definedName name="SERVICE_RESULTS" localSheetId="16">#REF!</definedName>
    <definedName name="SERVICE_RESULTS">#REF!</definedName>
    <definedName name="Sheet1" localSheetId="9">#REF!</definedName>
    <definedName name="Sheet1" localSheetId="10">#REF!</definedName>
    <definedName name="Sheet1" localSheetId="8">#REF!</definedName>
    <definedName name="Sheet1" localSheetId="7">#REF!</definedName>
    <definedName name="Sheet1" localSheetId="13">#REF!</definedName>
    <definedName name="Sheet1" localSheetId="15">#REF!</definedName>
    <definedName name="Sheet1" localSheetId="14">#REF!</definedName>
    <definedName name="Sheet1" localSheetId="16">#REF!</definedName>
    <definedName name="Sheet1">#REF!</definedName>
    <definedName name="SPEC_ALLOC" localSheetId="9">#REF!</definedName>
    <definedName name="SPEC_ALLOC" localSheetId="10">#REF!</definedName>
    <definedName name="SPEC_ALLOC" localSheetId="8">#REF!</definedName>
    <definedName name="SPEC_ALLOC" localSheetId="7">#REF!</definedName>
    <definedName name="SPEC_ALLOC" localSheetId="13">#REF!</definedName>
    <definedName name="SPEC_ALLOC" localSheetId="15">#REF!</definedName>
    <definedName name="SPEC_ALLOC" localSheetId="14">#REF!</definedName>
    <definedName name="SPEC_ALLOC" localSheetId="16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[83]Dashboard!$D$7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[84]INPUT!$E$16</definedName>
    <definedName name="STEERING" localSheetId="9">#REF!</definedName>
    <definedName name="STEERING" localSheetId="10">#REF!</definedName>
    <definedName name="STEERING" localSheetId="8">#REF!</definedName>
    <definedName name="STEERING" localSheetId="7">#REF!</definedName>
    <definedName name="STEERING" localSheetId="13">#REF!</definedName>
    <definedName name="STEERING" localSheetId="15">#REF!</definedName>
    <definedName name="STEERING" localSheetId="14">#REF!</definedName>
    <definedName name="STEERING" localSheetId="16">#REF!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 localSheetId="9">#REF!</definedName>
    <definedName name="subs_asc" localSheetId="10">#REF!</definedName>
    <definedName name="subs_asc" localSheetId="8">#REF!</definedName>
    <definedName name="subs_asc" localSheetId="7">#REF!</definedName>
    <definedName name="subs_asc" localSheetId="13">#REF!</definedName>
    <definedName name="subs_asc" localSheetId="15">#REF!</definedName>
    <definedName name="subs_asc" localSheetId="14">#REF!</definedName>
    <definedName name="subs_asc" localSheetId="16">#REF!</definedName>
    <definedName name="subs_asc">#REF!</definedName>
    <definedName name="subs_Ctrl_asc" localSheetId="9">#REF!</definedName>
    <definedName name="subs_Ctrl_asc" localSheetId="10">#REF!</definedName>
    <definedName name="subs_Ctrl_asc" localSheetId="8">#REF!</definedName>
    <definedName name="subs_Ctrl_asc" localSheetId="7">#REF!</definedName>
    <definedName name="subs_Ctrl_asc" localSheetId="13">#REF!</definedName>
    <definedName name="subs_Ctrl_asc" localSheetId="15">#REF!</definedName>
    <definedName name="subs_Ctrl_asc" localSheetId="14">#REF!</definedName>
    <definedName name="subs_Ctrl_asc" localSheetId="16">#REF!</definedName>
    <definedName name="subs_Ctrl_asc">#REF!</definedName>
    <definedName name="subs_Ctrl_ins" localSheetId="9">#REF!</definedName>
    <definedName name="subs_Ctrl_ins" localSheetId="10">#REF!</definedName>
    <definedName name="subs_Ctrl_ins" localSheetId="8">#REF!</definedName>
    <definedName name="subs_Ctrl_ins" localSheetId="7">#REF!</definedName>
    <definedName name="subs_Ctrl_ins" localSheetId="13">#REF!</definedName>
    <definedName name="subs_Ctrl_ins" localSheetId="15">#REF!</definedName>
    <definedName name="subs_Ctrl_ins" localSheetId="14">#REF!</definedName>
    <definedName name="subs_Ctrl_ins" localSheetId="16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'[75]Summary Table'!#REF!</definedName>
    <definedName name="SUMMARY1" localSheetId="9">#REF!</definedName>
    <definedName name="SUMMARY1" localSheetId="10">#REF!</definedName>
    <definedName name="SUMMARY1" localSheetId="8">#REF!</definedName>
    <definedName name="SUMMARY1" localSheetId="7">#REF!</definedName>
    <definedName name="SUMMARY1" localSheetId="13">#REF!</definedName>
    <definedName name="SUMMARY1" localSheetId="15">#REF!</definedName>
    <definedName name="SUMMARY1" localSheetId="14">#REF!</definedName>
    <definedName name="SUMMARY1" localSheetId="16">#REF!</definedName>
    <definedName name="SUMMARY1">#REF!</definedName>
    <definedName name="SUMMARY2" localSheetId="9">#REF!</definedName>
    <definedName name="SUMMARY2" localSheetId="10">#REF!</definedName>
    <definedName name="SUMMARY2" localSheetId="8">#REF!</definedName>
    <definedName name="SUMMARY2" localSheetId="7">#REF!</definedName>
    <definedName name="SUMMARY2" localSheetId="13">#REF!</definedName>
    <definedName name="SUMMARY2" localSheetId="15">#REF!</definedName>
    <definedName name="SUMMARY2" localSheetId="14">#REF!</definedName>
    <definedName name="SUMMARY2" localSheetId="16">#REF!</definedName>
    <definedName name="SUMMARY2">#REF!</definedName>
    <definedName name="SummaryTab1">'[13]Print Flags'!$B$7</definedName>
    <definedName name="SummaryTab2">'[13]Print Flags'!$B$8</definedName>
    <definedName name="SUMMDOC1" localSheetId="9">#REF!</definedName>
    <definedName name="SUMMDOC1" localSheetId="10">#REF!</definedName>
    <definedName name="SUMMDOC1" localSheetId="8">#REF!</definedName>
    <definedName name="SUMMDOC1" localSheetId="7">#REF!</definedName>
    <definedName name="SUMMDOC1" localSheetId="13">#REF!</definedName>
    <definedName name="SUMMDOC1" localSheetId="15">#REF!</definedName>
    <definedName name="SUMMDOC1" localSheetId="14">#REF!</definedName>
    <definedName name="SUMMDOC1" localSheetId="16">#REF!</definedName>
    <definedName name="SUMMDOC1">#REF!</definedName>
    <definedName name="SUMMDOC2" localSheetId="9">#REF!</definedName>
    <definedName name="SUMMDOC2" localSheetId="10">#REF!</definedName>
    <definedName name="SUMMDOC2" localSheetId="8">#REF!</definedName>
    <definedName name="SUMMDOC2" localSheetId="7">#REF!</definedName>
    <definedName name="SUMMDOC2" localSheetId="13">#REF!</definedName>
    <definedName name="SUMMDOC2" localSheetId="15">#REF!</definedName>
    <definedName name="SUMMDOC2" localSheetId="14">#REF!</definedName>
    <definedName name="SUMMDOC2" localSheetId="16">#REF!</definedName>
    <definedName name="SUMMDOC2">#REF!</definedName>
    <definedName name="SUMMDOCPCP1" localSheetId="9">[33]Summary!#REF!</definedName>
    <definedName name="SUMMDOCPCP1" localSheetId="10">[33]Summary!#REF!</definedName>
    <definedName name="SUMMDOCPCP1" localSheetId="8">[33]Summary!#REF!</definedName>
    <definedName name="SUMMDOCPCP1" localSheetId="7">[33]Summary!#REF!</definedName>
    <definedName name="SUMMDOCPCP1" localSheetId="13">[33]Summary!#REF!</definedName>
    <definedName name="SUMMDOCPCP1" localSheetId="15">[33]Summary!#REF!</definedName>
    <definedName name="SUMMDOCPCP1" localSheetId="14">[33]Summary!#REF!</definedName>
    <definedName name="SUMMDOCPCP1" localSheetId="16">[33]Summary!#REF!</definedName>
    <definedName name="SUMMDOCPCP1">[33]Summary!#REF!</definedName>
    <definedName name="SUMMDOCPCP2" localSheetId="9">[33]Summary!#REF!</definedName>
    <definedName name="SUMMDOCPCP2" localSheetId="10">[33]Summary!#REF!</definedName>
    <definedName name="SUMMDOCPCP2" localSheetId="8">[33]Summary!#REF!</definedName>
    <definedName name="SUMMDOCPCP2" localSheetId="7">[33]Summary!#REF!</definedName>
    <definedName name="SUMMDOCPCP2" localSheetId="13">[33]Summary!#REF!</definedName>
    <definedName name="SUMMDOCPCP2" localSheetId="15">[33]Summary!#REF!</definedName>
    <definedName name="SUMMDOCPCP2" localSheetId="14">[33]Summary!#REF!</definedName>
    <definedName name="SUMMDOCPCP2" localSheetId="16">[33]Summary!#REF!</definedName>
    <definedName name="SUMMDOCPCP2">[33]Summary!#REF!</definedName>
    <definedName name="t">[53]Title!$A$1</definedName>
    <definedName name="T_dn_acct_2" localSheetId="9">#REF!</definedName>
    <definedName name="T_dn_acct_2" localSheetId="10">#REF!</definedName>
    <definedName name="T_dn_acct_2" localSheetId="8">#REF!</definedName>
    <definedName name="T_dn_acct_2" localSheetId="7">#REF!</definedName>
    <definedName name="T_dn_acct_2" localSheetId="13">#REF!</definedName>
    <definedName name="T_dn_acct_2" localSheetId="15">#REF!</definedName>
    <definedName name="T_dn_acct_2" localSheetId="14">#REF!</definedName>
    <definedName name="T_dn_acct_2" localSheetId="16">#REF!</definedName>
    <definedName name="T_dn_acct_2">#REF!</definedName>
    <definedName name="T_p1_exp" localSheetId="9">#REF!</definedName>
    <definedName name="T_p1_exp" localSheetId="10">#REF!</definedName>
    <definedName name="T_p1_exp" localSheetId="8">#REF!</definedName>
    <definedName name="T_p1_exp" localSheetId="7">#REF!</definedName>
    <definedName name="T_p1_exp" localSheetId="13">#REF!</definedName>
    <definedName name="T_p1_exp" localSheetId="15">#REF!</definedName>
    <definedName name="T_p1_exp" localSheetId="14">#REF!</definedName>
    <definedName name="T_p1_exp" localSheetId="16">#REF!</definedName>
    <definedName name="T_p1_exp">#REF!</definedName>
    <definedName name="T_p1_renewal" localSheetId="9">#REF!</definedName>
    <definedName name="T_p1_renewal" localSheetId="10">#REF!</definedName>
    <definedName name="T_p1_renewal" localSheetId="8">#REF!</definedName>
    <definedName name="T_p1_renewal" localSheetId="7">#REF!</definedName>
    <definedName name="T_p1_renewal" localSheetId="13">#REF!</definedName>
    <definedName name="T_p1_renewal" localSheetId="15">#REF!</definedName>
    <definedName name="T_p1_renewal" localSheetId="14">#REF!</definedName>
    <definedName name="T_p1_renewal" localSheetId="16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 localSheetId="9">#REF!</definedName>
    <definedName name="tert_Names" localSheetId="10">#REF!</definedName>
    <definedName name="tert_Names" localSheetId="8">#REF!</definedName>
    <definedName name="tert_Names" localSheetId="7">#REF!</definedName>
    <definedName name="tert_Names" localSheetId="13">#REF!</definedName>
    <definedName name="tert_Names" localSheetId="15">#REF!</definedName>
    <definedName name="tert_Names" localSheetId="14">#REF!</definedName>
    <definedName name="tert_Names" localSheetId="16">#REF!</definedName>
    <definedName name="tert_Names">#REF!</definedName>
    <definedName name="tert_OP_Download" localSheetId="9">#REF!</definedName>
    <definedName name="tert_OP_Download" localSheetId="10">#REF!</definedName>
    <definedName name="tert_OP_Download" localSheetId="8">#REF!</definedName>
    <definedName name="tert_OP_Download" localSheetId="7">#REF!</definedName>
    <definedName name="tert_OP_Download" localSheetId="13">#REF!</definedName>
    <definedName name="tert_OP_Download" localSheetId="15">#REF!</definedName>
    <definedName name="tert_OP_Download" localSheetId="14">#REF!</definedName>
    <definedName name="tert_OP_Download" localSheetId="16">#REF!</definedName>
    <definedName name="tert_OP_Download">#REF!</definedName>
    <definedName name="tert_year" localSheetId="9">#REF!</definedName>
    <definedName name="tert_year" localSheetId="10">#REF!</definedName>
    <definedName name="tert_year" localSheetId="8">#REF!</definedName>
    <definedName name="tert_year" localSheetId="7">#REF!</definedName>
    <definedName name="tert_year" localSheetId="13">#REF!</definedName>
    <definedName name="tert_year" localSheetId="15">#REF!</definedName>
    <definedName name="tert_year" localSheetId="14">#REF!</definedName>
    <definedName name="tert_year" localSheetId="16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 localSheetId="9">#REF!</definedName>
    <definedName name="TMC_IP_DETAILS" localSheetId="10">#REF!</definedName>
    <definedName name="TMC_IP_DETAILS" localSheetId="8">#REF!</definedName>
    <definedName name="TMC_IP_DETAILS" localSheetId="7">#REF!</definedName>
    <definedName name="TMC_IP_DETAILS" localSheetId="13">#REF!</definedName>
    <definedName name="TMC_IP_DETAILS" localSheetId="15">#REF!</definedName>
    <definedName name="TMC_IP_DETAILS" localSheetId="14">#REF!</definedName>
    <definedName name="TMC_IP_DETAILS" localSheetId="16">#REF!</definedName>
    <definedName name="TMC_IP_DETAILS">#REF!</definedName>
    <definedName name="TMC_MD_SUMMARY" localSheetId="9">#REF!</definedName>
    <definedName name="TMC_MD_SUMMARY" localSheetId="10">#REF!</definedName>
    <definedName name="TMC_MD_SUMMARY" localSheetId="8">#REF!</definedName>
    <definedName name="TMC_MD_SUMMARY" localSheetId="7">#REF!</definedName>
    <definedName name="TMC_MD_SUMMARY" localSheetId="13">#REF!</definedName>
    <definedName name="TMC_MD_SUMMARY" localSheetId="15">#REF!</definedName>
    <definedName name="TMC_MD_SUMMARY" localSheetId="14">#REF!</definedName>
    <definedName name="TMC_MD_SUMMARY" localSheetId="16">#REF!</definedName>
    <definedName name="TMC_MD_SUMMARY">#REF!</definedName>
    <definedName name="top_proc" localSheetId="9">#REF!</definedName>
    <definedName name="top_proc" localSheetId="10">#REF!</definedName>
    <definedName name="top_proc" localSheetId="8">#REF!</definedName>
    <definedName name="top_proc" localSheetId="7">#REF!</definedName>
    <definedName name="top_proc" localSheetId="13">#REF!</definedName>
    <definedName name="top_proc" localSheetId="15">#REF!</definedName>
    <definedName name="top_proc" localSheetId="14">#REF!</definedName>
    <definedName name="top_proc" localSheetId="16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 localSheetId="9">#REF!</definedName>
    <definedName name="uio" localSheetId="10">#REF!</definedName>
    <definedName name="uio" localSheetId="8">#REF!</definedName>
    <definedName name="uio" localSheetId="7">#REF!</definedName>
    <definedName name="uio" localSheetId="13">#REF!</definedName>
    <definedName name="uio" localSheetId="15">#REF!</definedName>
    <definedName name="uio" localSheetId="14">#REF!</definedName>
    <definedName name="uio" localSheetId="16">#REF!</definedName>
    <definedName name="uio">#REF!</definedName>
    <definedName name="Underwriters">[27]Model!$AG$3:$AI$33</definedName>
    <definedName name="uselife" localSheetId="9">#REF!</definedName>
    <definedName name="uselife" localSheetId="10">#REF!</definedName>
    <definedName name="uselife" localSheetId="8">#REF!</definedName>
    <definedName name="uselife" localSheetId="7">#REF!</definedName>
    <definedName name="uselife" localSheetId="13">#REF!</definedName>
    <definedName name="uselife" localSheetId="15">#REF!</definedName>
    <definedName name="uselife" localSheetId="14">#REF!</definedName>
    <definedName name="uselife" localSheetId="16">#REF!</definedName>
    <definedName name="uselife">#REF!</definedName>
    <definedName name="UseRxRatingStructure">[13]Controls!$C$3</definedName>
    <definedName name="util" localSheetId="9">#REF!</definedName>
    <definedName name="util" localSheetId="10">#REF!</definedName>
    <definedName name="util" localSheetId="8">#REF!</definedName>
    <definedName name="util" localSheetId="7">#REF!</definedName>
    <definedName name="util" localSheetId="13">#REF!</definedName>
    <definedName name="util" localSheetId="15">#REF!</definedName>
    <definedName name="util" localSheetId="14">#REF!</definedName>
    <definedName name="util" localSheetId="16">#REF!</definedName>
    <definedName name="util">#REF!</definedName>
    <definedName name="util_dist" localSheetId="9">#REF!</definedName>
    <definedName name="util_dist" localSheetId="10">#REF!</definedName>
    <definedName name="util_dist" localSheetId="8">#REF!</definedName>
    <definedName name="util_dist" localSheetId="7">#REF!</definedName>
    <definedName name="util_dist" localSheetId="13">#REF!</definedName>
    <definedName name="util_dist" localSheetId="15">#REF!</definedName>
    <definedName name="util_dist" localSheetId="14">#REF!</definedName>
    <definedName name="util_dist" localSheetId="16">#REF!</definedName>
    <definedName name="util_dist">#REF!</definedName>
    <definedName name="util_dist1" localSheetId="9">#REF!</definedName>
    <definedName name="util_dist1" localSheetId="10">#REF!</definedName>
    <definedName name="util_dist1" localSheetId="8">#REF!</definedName>
    <definedName name="util_dist1" localSheetId="7">#REF!</definedName>
    <definedName name="util_dist1" localSheetId="13">#REF!</definedName>
    <definedName name="util_dist1" localSheetId="15">#REF!</definedName>
    <definedName name="util_dist1" localSheetId="14">#REF!</definedName>
    <definedName name="util_dist1" localSheetId="16">#REF!</definedName>
    <definedName name="util_dist1">#REF!</definedName>
    <definedName name="util_dist2">#REF!</definedName>
    <definedName name="Util_K">[15]MIX_OUTPUT!$Q:$Q</definedName>
    <definedName name="Util_No_ADB">[85]PlanTemplate!$K$12:$K$15</definedName>
    <definedName name="Util_No_ADP">[85]PlanTemplate!$J$12:$J$15</definedName>
    <definedName name="Util_No_ADPB">[85]PlanTemplate!$L$12:$L$14</definedName>
    <definedName name="Util_No_PB">[85]PlanTemplate!$M$12:$M$16</definedName>
    <definedName name="util1" localSheetId="9">#REF!</definedName>
    <definedName name="util1" localSheetId="10">#REF!</definedName>
    <definedName name="util1" localSheetId="8">#REF!</definedName>
    <definedName name="util1" localSheetId="7">#REF!</definedName>
    <definedName name="util1" localSheetId="13">#REF!</definedName>
    <definedName name="util1" localSheetId="15">#REF!</definedName>
    <definedName name="util1" localSheetId="14">#REF!</definedName>
    <definedName name="util1" localSheetId="16">#REF!</definedName>
    <definedName name="util1">#REF!</definedName>
    <definedName name="util2" localSheetId="9">#REF!</definedName>
    <definedName name="util2" localSheetId="10">#REF!</definedName>
    <definedName name="util2" localSheetId="8">#REF!</definedName>
    <definedName name="util2" localSheetId="7">#REF!</definedName>
    <definedName name="util2" localSheetId="13">#REF!</definedName>
    <definedName name="util2" localSheetId="15">#REF!</definedName>
    <definedName name="util2" localSheetId="14">#REF!</definedName>
    <definedName name="util2" localSheetId="16">#REF!</definedName>
    <definedName name="util2">#REF!</definedName>
    <definedName name="VariableMLRs" localSheetId="9">'[40]Retention(LG)'!#REF!</definedName>
    <definedName name="VariableMLRs" localSheetId="10">'[40]Retention(LG)'!#REF!</definedName>
    <definedName name="VariableMLRs" localSheetId="8">'[40]Retention(LG)'!#REF!</definedName>
    <definedName name="VariableMLRs" localSheetId="7">'[40]Retention(LG)'!#REF!</definedName>
    <definedName name="VariableMLRs" localSheetId="13">'[40]Retention(LG)'!#REF!</definedName>
    <definedName name="VariableMLRs" localSheetId="15">'[40]Retention(LG)'!#REF!</definedName>
    <definedName name="VariableMLRs" localSheetId="14">'[40]Retention(LG)'!#REF!</definedName>
    <definedName name="VariableMLRs" localSheetId="16">'[40]Retention(LG)'!#REF!</definedName>
    <definedName name="VariableMLRs">'[40]Retention(LG)'!#REF!</definedName>
    <definedName name="Version_1" localSheetId="9">#REF!</definedName>
    <definedName name="Version_1" localSheetId="10">#REF!</definedName>
    <definedName name="Version_1" localSheetId="8">#REF!</definedName>
    <definedName name="Version_1" localSheetId="7">#REF!</definedName>
    <definedName name="Version_1" localSheetId="13">#REF!</definedName>
    <definedName name="Version_1" localSheetId="15">#REF!</definedName>
    <definedName name="Version_1" localSheetId="14">#REF!</definedName>
    <definedName name="Version_1" localSheetId="16">#REF!</definedName>
    <definedName name="Version_1">#REF!</definedName>
    <definedName name="VisionChildrenOnly">[13]Controls!$C$11</definedName>
    <definedName name="vv">[86]Parameter!$C$19</definedName>
    <definedName name="water">[87]CBUDGET!$B$5:$H$1177</definedName>
    <definedName name="well_mgd_chrg" localSheetId="9">#REF!</definedName>
    <definedName name="well_mgd_chrg" localSheetId="10">#REF!</definedName>
    <definedName name="well_mgd_chrg" localSheetId="8">#REF!</definedName>
    <definedName name="well_mgd_chrg" localSheetId="7">#REF!</definedName>
    <definedName name="well_mgd_chrg" localSheetId="13">#REF!</definedName>
    <definedName name="well_mgd_chrg" localSheetId="15">#REF!</definedName>
    <definedName name="well_mgd_chrg" localSheetId="14">#REF!</definedName>
    <definedName name="well_mgd_chrg" localSheetId="16">#REF!</definedName>
    <definedName name="well_mgd_chrg">#REF!</definedName>
    <definedName name="well_mgd_chrg_rel" localSheetId="9">#REF!</definedName>
    <definedName name="well_mgd_chrg_rel" localSheetId="10">#REF!</definedName>
    <definedName name="well_mgd_chrg_rel" localSheetId="8">#REF!</definedName>
    <definedName name="well_mgd_chrg_rel" localSheetId="7">#REF!</definedName>
    <definedName name="well_mgd_chrg_rel" localSheetId="13">#REF!</definedName>
    <definedName name="well_mgd_chrg_rel" localSheetId="15">#REF!</definedName>
    <definedName name="well_mgd_chrg_rel" localSheetId="14">#REF!</definedName>
    <definedName name="well_mgd_chrg_rel" localSheetId="16">#REF!</definedName>
    <definedName name="well_mgd_chrg_rel">#REF!</definedName>
    <definedName name="well_mgd_chrg_rel1" localSheetId="9">#REF!</definedName>
    <definedName name="well_mgd_chrg_rel1" localSheetId="10">#REF!</definedName>
    <definedName name="well_mgd_chrg_rel1" localSheetId="8">#REF!</definedName>
    <definedName name="well_mgd_chrg_rel1" localSheetId="7">#REF!</definedName>
    <definedName name="well_mgd_chrg_rel1" localSheetId="13">#REF!</definedName>
    <definedName name="well_mgd_chrg_rel1" localSheetId="15">#REF!</definedName>
    <definedName name="well_mgd_chrg_rel1" localSheetId="14">#REF!</definedName>
    <definedName name="well_mgd_chrg_rel1" localSheetId="16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localSheetId="9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0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8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7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5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6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9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0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8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7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5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6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9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0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8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7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5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6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localSheetId="9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0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8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7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5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6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localSheetId="9" hidden="1">{"Regular_1",#N/A,FALSE,"Trend Form";"Disability_1",#N/A,FALSE,"Trend Form";"Detail_1",#N/A,FALSE,"Trend Form"}</definedName>
    <definedName name="wrn.Draft_COBRA_1." localSheetId="10" hidden="1">{"Regular_1",#N/A,FALSE,"Trend Form";"Disability_1",#N/A,FALSE,"Trend Form";"Detail_1",#N/A,FALSE,"Trend Form"}</definedName>
    <definedName name="wrn.Draft_COBRA_1." localSheetId="8" hidden="1">{"Regular_1",#N/A,FALSE,"Trend Form";"Disability_1",#N/A,FALSE,"Trend Form";"Detail_1",#N/A,FALSE,"Trend Form"}</definedName>
    <definedName name="wrn.Draft_COBRA_1." localSheetId="7" hidden="1">{"Regular_1",#N/A,FALSE,"Trend Form";"Disability_1",#N/A,FALSE,"Trend Form";"Detail_1",#N/A,FALSE,"Trend Form"}</definedName>
    <definedName name="wrn.Draft_COBRA_1." localSheetId="13" hidden="1">{"Regular_1",#N/A,FALSE,"Trend Form";"Disability_1",#N/A,FALSE,"Trend Form";"Detail_1",#N/A,FALSE,"Trend Form"}</definedName>
    <definedName name="wrn.Draft_COBRA_1." localSheetId="15" hidden="1">{"Regular_1",#N/A,FALSE,"Trend Form";"Disability_1",#N/A,FALSE,"Trend Form";"Detail_1",#N/A,FALSE,"Trend Form"}</definedName>
    <definedName name="wrn.Draft_COBRA_1." localSheetId="14" hidden="1">{"Regular_1",#N/A,FALSE,"Trend Form";"Disability_1",#N/A,FALSE,"Trend Form";"Detail_1",#N/A,FALSE,"Trend Form"}</definedName>
    <definedName name="wrn.Draft_COBRA_1." localSheetId="16" hidden="1">{"Regular_1",#N/A,FALSE,"Trend Form";"Disability_1",#N/A,FALSE,"Trend Form";"Detail_1",#N/A,FALSE,"Trend Form"}</definedName>
    <definedName name="wrn.Draft_COBRA_1." hidden="1">{"Regular_1",#N/A,FALSE,"Trend Form";"Disability_1",#N/A,FALSE,"Trend Form";"Detail_1",#N/A,FALSE,"Trend Form"}</definedName>
    <definedName name="wrn.Draft_COBRA_1_2." localSheetId="9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0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8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7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3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5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4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16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localSheetId="9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8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1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localSheetId="9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8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1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localSheetId="9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0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8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7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3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5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4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16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localSheetId="9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0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8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7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16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localSheetId="9" hidden="1">{"Self_Summary",#N/A,FALSE,"Trend Form";"Self_Detail_1",#N/A,FALSE,"Trend Form";"Self_Detail_2",#N/A,FALSE,"Trend Form";"Self_Detail_3",#N/A,FALSE,"Trend Form"}</definedName>
    <definedName name="wrn.Draft_Self." localSheetId="10" hidden="1">{"Self_Summary",#N/A,FALSE,"Trend Form";"Self_Detail_1",#N/A,FALSE,"Trend Form";"Self_Detail_2",#N/A,FALSE,"Trend Form";"Self_Detail_3",#N/A,FALSE,"Trend Form"}</definedName>
    <definedName name="wrn.Draft_Self." localSheetId="8" hidden="1">{"Self_Summary",#N/A,FALSE,"Trend Form";"Self_Detail_1",#N/A,FALSE,"Trend Form";"Self_Detail_2",#N/A,FALSE,"Trend Form";"Self_Detail_3",#N/A,FALSE,"Trend Form"}</definedName>
    <definedName name="wrn.Draft_Self." localSheetId="7" hidden="1">{"Self_Summary",#N/A,FALSE,"Trend Form";"Self_Detail_1",#N/A,FALSE,"Trend Form";"Self_Detail_2",#N/A,FALSE,"Trend Form";"Self_Detail_3",#N/A,FALSE,"Trend Form"}</definedName>
    <definedName name="wrn.Draft_Self." localSheetId="13" hidden="1">{"Self_Summary",#N/A,FALSE,"Trend Form";"Self_Detail_1",#N/A,FALSE,"Trend Form";"Self_Detail_2",#N/A,FALSE,"Trend Form";"Self_Detail_3",#N/A,FALSE,"Trend Form"}</definedName>
    <definedName name="wrn.Draft_Self." localSheetId="15" hidden="1">{"Self_Summary",#N/A,FALSE,"Trend Form";"Self_Detail_1",#N/A,FALSE,"Trend Form";"Self_Detail_2",#N/A,FALSE,"Trend Form";"Self_Detail_3",#N/A,FALSE,"Trend Form"}</definedName>
    <definedName name="wrn.Draft_Self." localSheetId="14" hidden="1">{"Self_Summary",#N/A,FALSE,"Trend Form";"Self_Detail_1",#N/A,FALSE,"Trend Form";"Self_Detail_2",#N/A,FALSE,"Trend Form";"Self_Detail_3",#N/A,FALSE,"Trend Form"}</definedName>
    <definedName name="wrn.Draft_Self." localSheetId="16" hidden="1">{"Self_Summary",#N/A,FALSE,"Trend Form";"Self_Detail_1",#N/A,FALSE,"Trend Form";"Self_Detail_2",#N/A,FALSE,"Trend Form";"Self_Detail_3",#N/A,FALSE,"Trend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localSheetId="9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0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8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7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3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5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4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16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localSheetId="9" hidden="1">{"rates",#N/A,FALSE,"Summary"}</definedName>
    <definedName name="wrn.rates." localSheetId="10" hidden="1">{"rates",#N/A,FALSE,"Summary"}</definedName>
    <definedName name="wrn.rates." localSheetId="8" hidden="1">{"rates",#N/A,FALSE,"Summary"}</definedName>
    <definedName name="wrn.rates." localSheetId="7" hidden="1">{"rates",#N/A,FALSE,"Summary"}</definedName>
    <definedName name="wrn.rates." localSheetId="13" hidden="1">{"rates",#N/A,FALSE,"Summary"}</definedName>
    <definedName name="wrn.rates." localSheetId="15" hidden="1">{"rates",#N/A,FALSE,"Summary"}</definedName>
    <definedName name="wrn.rates." localSheetId="14" hidden="1">{"rates",#N/A,FALSE,"Summary"}</definedName>
    <definedName name="wrn.rates." localSheetId="16" hidden="1">{"rates",#N/A,FALSE,"Summary"}</definedName>
    <definedName name="wrn.rates." hidden="1">{"rates",#N/A,FALSE,"Summary"}</definedName>
    <definedName name="wrn.Section._.2._.Non._.Medical." localSheetId="9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0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8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7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3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5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4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16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localSheetId="9" hidden="1">{#N/A,#N/A,FALSE,"Sheet1";#N/A,#N/A,FALSE,"Page1";#N/A,#N/A,FALSE,"Page2"}</definedName>
    <definedName name="wrn.Summary." localSheetId="10" hidden="1">{#N/A,#N/A,FALSE,"Sheet1";#N/A,#N/A,FALSE,"Page1";#N/A,#N/A,FALSE,"Page2"}</definedName>
    <definedName name="wrn.Summary." localSheetId="8" hidden="1">{#N/A,#N/A,FALSE,"Sheet1";#N/A,#N/A,FALSE,"Page1";#N/A,#N/A,FALSE,"Page2"}</definedName>
    <definedName name="wrn.Summary." localSheetId="7" hidden="1">{#N/A,#N/A,FALSE,"Sheet1";#N/A,#N/A,FALSE,"Page1";#N/A,#N/A,FALSE,"Page2"}</definedName>
    <definedName name="wrn.Summary." localSheetId="13" hidden="1">{#N/A,#N/A,FALSE,"Sheet1";#N/A,#N/A,FALSE,"Page1";#N/A,#N/A,FALSE,"Page2"}</definedName>
    <definedName name="wrn.Summary." localSheetId="15" hidden="1">{#N/A,#N/A,FALSE,"Sheet1";#N/A,#N/A,FALSE,"Page1";#N/A,#N/A,FALSE,"Page2"}</definedName>
    <definedName name="wrn.Summary." localSheetId="14" hidden="1">{#N/A,#N/A,FALSE,"Sheet1";#N/A,#N/A,FALSE,"Page1";#N/A,#N/A,FALSE,"Page2"}</definedName>
    <definedName name="wrn.Summary." localSheetId="16" hidden="1">{#N/A,#N/A,FALSE,"Sheet1";#N/A,#N/A,FALSE,"Page1";#N/A,#N/A,FALSE,"Page2"}</definedName>
    <definedName name="wrn.Summary." hidden="1">{#N/A,#N/A,FALSE,"Sheet1";#N/A,#N/A,FALSE,"Page1";#N/A,#N/A,FALSE,"Page2"}</definedName>
    <definedName name="ws">[88]BOC!$B$2:$Q$49</definedName>
    <definedName name="x" localSheetId="9">#REF!</definedName>
    <definedName name="x" localSheetId="10">#REF!</definedName>
    <definedName name="x" localSheetId="8">#REF!</definedName>
    <definedName name="x" localSheetId="7">#REF!</definedName>
    <definedName name="x" localSheetId="13">#REF!</definedName>
    <definedName name="x" localSheetId="15">#REF!</definedName>
    <definedName name="x" localSheetId="14">#REF!</definedName>
    <definedName name="x" localSheetId="16">#REF!</definedName>
    <definedName name="x">#REF!</definedName>
    <definedName name="xx" localSheetId="9">#REF!</definedName>
    <definedName name="xx" localSheetId="10">#REF!</definedName>
    <definedName name="xx" localSheetId="8">#REF!</definedName>
    <definedName name="xx" localSheetId="7">#REF!</definedName>
    <definedName name="xx" localSheetId="13">#REF!</definedName>
    <definedName name="xx" localSheetId="15">#REF!</definedName>
    <definedName name="xx" localSheetId="14">#REF!</definedName>
    <definedName name="xx" localSheetId="16">#REF!</definedName>
    <definedName name="xx">#REF!</definedName>
    <definedName name="xxxxx">'[89]All Hosp Data'!$A$1:$M$1000</definedName>
    <definedName name="y">[50]BOC!$B$2:$C$35</definedName>
    <definedName name="YEAR_MO_BEGIN" localSheetId="9">#REF!</definedName>
    <definedName name="YEAR_MO_BEGIN" localSheetId="10">#REF!</definedName>
    <definedName name="YEAR_MO_BEGIN" localSheetId="8">#REF!</definedName>
    <definedName name="YEAR_MO_BEGIN" localSheetId="7">#REF!</definedName>
    <definedName name="YEAR_MO_BEGIN" localSheetId="13">#REF!</definedName>
    <definedName name="YEAR_MO_BEGIN" localSheetId="15">#REF!</definedName>
    <definedName name="YEAR_MO_BEGIN" localSheetId="14">#REF!</definedName>
    <definedName name="YEAR_MO_BEGIN" localSheetId="16">#REF!</definedName>
    <definedName name="YEAR_MO_BEGIN">#REF!</definedName>
    <definedName name="YEAR_MO_END" localSheetId="9">#REF!</definedName>
    <definedName name="YEAR_MO_END" localSheetId="10">#REF!</definedName>
    <definedName name="YEAR_MO_END" localSheetId="8">#REF!</definedName>
    <definedName name="YEAR_MO_END" localSheetId="7">#REF!</definedName>
    <definedName name="YEAR_MO_END" localSheetId="13">#REF!</definedName>
    <definedName name="YEAR_MO_END" localSheetId="15">#REF!</definedName>
    <definedName name="YEAR_MO_END" localSheetId="14">#REF!</definedName>
    <definedName name="YEAR_MO_END" localSheetId="16">#REF!</definedName>
    <definedName name="YEAR_MO_END">#REF!</definedName>
    <definedName name="Year2014" localSheetId="9">#REF!</definedName>
    <definedName name="Year2014" localSheetId="10">#REF!</definedName>
    <definedName name="Year2014" localSheetId="8">#REF!</definedName>
    <definedName name="Year2014" localSheetId="7">#REF!</definedName>
    <definedName name="Year2014" localSheetId="13">#REF!</definedName>
    <definedName name="Year2014" localSheetId="15">#REF!</definedName>
    <definedName name="Year2014" localSheetId="14">#REF!</definedName>
    <definedName name="Year2014" localSheetId="16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 localSheetId="9">#REF!</definedName>
    <definedName name="zip" localSheetId="10">#REF!</definedName>
    <definedName name="zip" localSheetId="8">#REF!</definedName>
    <definedName name="zip" localSheetId="7">#REF!</definedName>
    <definedName name="zip" localSheetId="13">#REF!</definedName>
    <definedName name="zip" localSheetId="15">#REF!</definedName>
    <definedName name="zip" localSheetId="14">#REF!</definedName>
    <definedName name="zip" localSheetId="16">#REF!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9" i="21" l="1"/>
  <c r="C69" i="21"/>
  <c r="D67" i="21"/>
  <c r="C67" i="21"/>
  <c r="D50" i="21"/>
  <c r="C50" i="21"/>
  <c r="D39" i="21"/>
  <c r="C39" i="21"/>
  <c r="C30" i="21"/>
  <c r="C40" i="21" s="1"/>
  <c r="D27" i="21"/>
  <c r="K19" i="21" s="1"/>
  <c r="R19" i="21" s="1"/>
  <c r="C27" i="21"/>
  <c r="I19" i="21" s="1"/>
  <c r="P19" i="21" s="1"/>
  <c r="I20" i="21"/>
  <c r="P20" i="21" s="1"/>
  <c r="P25" i="21" s="1"/>
  <c r="K18" i="21"/>
  <c r="R18" i="21" s="1"/>
  <c r="I18" i="21"/>
  <c r="P18" i="21" s="1"/>
  <c r="R17" i="21"/>
  <c r="P17" i="21"/>
  <c r="K17" i="21"/>
  <c r="K26" i="21" s="1"/>
  <c r="I17" i="21"/>
  <c r="I26" i="21" s="1"/>
  <c r="E23" i="20"/>
  <c r="C23" i="20"/>
  <c r="E22" i="20"/>
  <c r="C22" i="20"/>
  <c r="E21" i="20"/>
  <c r="C21" i="20"/>
  <c r="E20" i="20"/>
  <c r="C20" i="20"/>
  <c r="E19" i="20"/>
  <c r="C19" i="20"/>
  <c r="E18" i="20"/>
  <c r="C13" i="20"/>
  <c r="G12" i="20"/>
  <c r="E12" i="20"/>
  <c r="H12" i="20" s="1"/>
  <c r="D12" i="20"/>
  <c r="D23" i="20" s="1"/>
  <c r="C12" i="20"/>
  <c r="G11" i="20"/>
  <c r="F11" i="20"/>
  <c r="E11" i="20"/>
  <c r="H11" i="20" s="1"/>
  <c r="D11" i="20"/>
  <c r="D22" i="20" s="1"/>
  <c r="C11" i="20"/>
  <c r="G10" i="20"/>
  <c r="E10" i="20"/>
  <c r="D10" i="20"/>
  <c r="D21" i="20" s="1"/>
  <c r="C10" i="20"/>
  <c r="H9" i="20"/>
  <c r="G9" i="20"/>
  <c r="E9" i="20"/>
  <c r="D9" i="20"/>
  <c r="D20" i="20" s="1"/>
  <c r="C9" i="20"/>
  <c r="G8" i="20"/>
  <c r="H8" i="20" s="1"/>
  <c r="E8" i="20"/>
  <c r="D8" i="20"/>
  <c r="D19" i="20" s="1"/>
  <c r="C8" i="20"/>
  <c r="E7" i="20"/>
  <c r="D7" i="20"/>
  <c r="D13" i="20" s="1"/>
  <c r="C7" i="20"/>
  <c r="C18" i="20" s="1"/>
  <c r="C24" i="20" s="1"/>
  <c r="C41" i="21" l="1"/>
  <c r="C43" i="21" s="1"/>
  <c r="I16" i="21" s="1"/>
  <c r="K20" i="21"/>
  <c r="R20" i="21" s="1"/>
  <c r="R25" i="21" s="1"/>
  <c r="D30" i="21"/>
  <c r="I15" i="21"/>
  <c r="H7" i="20"/>
  <c r="D18" i="20"/>
  <c r="D24" i="20" s="1"/>
  <c r="E24" i="20"/>
  <c r="F18" i="20"/>
  <c r="F19" i="20"/>
  <c r="I19" i="20" s="1"/>
  <c r="J19" i="20" s="1"/>
  <c r="F20" i="20"/>
  <c r="F21" i="20"/>
  <c r="I21" i="20" s="1"/>
  <c r="F22" i="20"/>
  <c r="F23" i="20"/>
  <c r="F10" i="20"/>
  <c r="F13" i="20" s="1"/>
  <c r="E13" i="20"/>
  <c r="G19" i="20"/>
  <c r="H19" i="20" s="1"/>
  <c r="G20" i="20"/>
  <c r="H20" i="20" s="1"/>
  <c r="G21" i="20"/>
  <c r="H21" i="20" s="1"/>
  <c r="G22" i="20"/>
  <c r="H22" i="20" s="1"/>
  <c r="G7" i="20"/>
  <c r="G13" i="20" s="1"/>
  <c r="I27" i="21" l="1"/>
  <c r="P16" i="21"/>
  <c r="P24" i="21" s="1"/>
  <c r="I25" i="21"/>
  <c r="P15" i="21"/>
  <c r="I24" i="21"/>
  <c r="K15" i="21"/>
  <c r="D40" i="21"/>
  <c r="D43" i="21" s="1"/>
  <c r="K16" i="21" s="1"/>
  <c r="G23" i="20"/>
  <c r="H23" i="20" s="1"/>
  <c r="J23" i="20" s="1"/>
  <c r="I23" i="20"/>
  <c r="F24" i="20"/>
  <c r="J21" i="20"/>
  <c r="I22" i="20"/>
  <c r="J22" i="20" s="1"/>
  <c r="I20" i="20"/>
  <c r="J20" i="20" s="1"/>
  <c r="G18" i="20"/>
  <c r="I18" i="20"/>
  <c r="H10" i="20"/>
  <c r="H13" i="20" s="1"/>
  <c r="K24" i="21" l="1"/>
  <c r="R15" i="21"/>
  <c r="K27" i="21"/>
  <c r="K25" i="21"/>
  <c r="R16" i="21"/>
  <c r="R24" i="21" s="1"/>
  <c r="I24" i="20"/>
  <c r="H18" i="20"/>
  <c r="G24" i="20"/>
  <c r="H24" i="20" l="1"/>
  <c r="J18" i="20"/>
  <c r="J24" i="20" s="1"/>
  <c r="D4" i="18" l="1"/>
  <c r="E4" i="18"/>
  <c r="F4" i="18"/>
  <c r="G4" i="18"/>
  <c r="H4" i="18"/>
  <c r="I4" i="18"/>
  <c r="AJ4" i="18" s="1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E5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F6" i="18"/>
  <c r="G6" i="18"/>
  <c r="H6" i="18"/>
  <c r="I6" i="18"/>
  <c r="J6" i="18"/>
  <c r="AJ6" i="18" s="1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G7" i="18"/>
  <c r="AJ7" i="18" s="1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H8" i="18"/>
  <c r="AJ8" i="18" s="1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I9" i="18"/>
  <c r="J9" i="18"/>
  <c r="K9" i="18"/>
  <c r="AJ9" i="18" s="1"/>
  <c r="L9" i="18"/>
  <c r="M9" i="18"/>
  <c r="N9" i="18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AB9" i="18"/>
  <c r="AC9" i="18"/>
  <c r="AD9" i="18"/>
  <c r="AE9" i="18"/>
  <c r="AF9" i="18"/>
  <c r="AG9" i="18"/>
  <c r="AH9" i="18"/>
  <c r="AI9" i="18"/>
  <c r="J10" i="18"/>
  <c r="AJ10" i="18" s="1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AG10" i="18"/>
  <c r="AH10" i="18"/>
  <c r="AI10" i="18"/>
  <c r="K11" i="18"/>
  <c r="L11" i="18"/>
  <c r="M11" i="18"/>
  <c r="N11" i="18"/>
  <c r="O11" i="18"/>
  <c r="P11" i="18"/>
  <c r="Q11" i="18"/>
  <c r="R11" i="18"/>
  <c r="R36" i="18" s="1"/>
  <c r="S11" i="18"/>
  <c r="T11" i="18"/>
  <c r="U11" i="18"/>
  <c r="V11" i="18"/>
  <c r="W11" i="18"/>
  <c r="X11" i="18"/>
  <c r="Y11" i="18"/>
  <c r="Z11" i="18"/>
  <c r="Z36" i="18" s="1"/>
  <c r="AA11" i="18"/>
  <c r="AB11" i="18"/>
  <c r="AC11" i="18"/>
  <c r="AD11" i="18"/>
  <c r="AE11" i="18"/>
  <c r="AF11" i="18"/>
  <c r="AG11" i="18"/>
  <c r="AH11" i="18"/>
  <c r="AI11" i="18"/>
  <c r="L12" i="18"/>
  <c r="M12" i="18"/>
  <c r="AJ12" i="18" s="1"/>
  <c r="N12" i="18"/>
  <c r="O12" i="18"/>
  <c r="P12" i="18"/>
  <c r="Q12" i="18"/>
  <c r="Q36" i="18" s="1"/>
  <c r="R12" i="18"/>
  <c r="S12" i="18"/>
  <c r="T12" i="18"/>
  <c r="U12" i="18"/>
  <c r="V12" i="18"/>
  <c r="W12" i="18"/>
  <c r="X12" i="18"/>
  <c r="Y12" i="18"/>
  <c r="Y36" i="18" s="1"/>
  <c r="Z12" i="18"/>
  <c r="AA12" i="18"/>
  <c r="AB12" i="18"/>
  <c r="AC12" i="18"/>
  <c r="AD12" i="18"/>
  <c r="AE12" i="18"/>
  <c r="AF12" i="18"/>
  <c r="AG12" i="18"/>
  <c r="AH12" i="18"/>
  <c r="AI12" i="18"/>
  <c r="M13" i="18"/>
  <c r="AJ13" i="18" s="1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N14" i="18"/>
  <c r="AJ14" i="18" s="1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O15" i="18"/>
  <c r="P15" i="18"/>
  <c r="Q15" i="18"/>
  <c r="R15" i="18"/>
  <c r="S15" i="18"/>
  <c r="T15" i="18"/>
  <c r="T36" i="18" s="1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P16" i="18"/>
  <c r="Q16" i="18"/>
  <c r="R16" i="18"/>
  <c r="S16" i="18"/>
  <c r="T16" i="18"/>
  <c r="U16" i="18"/>
  <c r="V16" i="18"/>
  <c r="W16" i="18"/>
  <c r="W36" i="18" s="1"/>
  <c r="X16" i="18"/>
  <c r="Y16" i="18"/>
  <c r="Z16" i="18"/>
  <c r="AA16" i="18"/>
  <c r="AB16" i="18"/>
  <c r="AC16" i="18"/>
  <c r="AD16" i="18"/>
  <c r="AE16" i="18"/>
  <c r="AE36" i="18" s="1"/>
  <c r="AF16" i="18"/>
  <c r="AG16" i="18"/>
  <c r="AH16" i="18"/>
  <c r="AI16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R18" i="18"/>
  <c r="S18" i="18"/>
  <c r="T18" i="18"/>
  <c r="U18" i="18"/>
  <c r="V18" i="18"/>
  <c r="W18" i="18"/>
  <c r="X18" i="18"/>
  <c r="X36" i="18" s="1"/>
  <c r="Y18" i="18"/>
  <c r="Z18" i="18"/>
  <c r="AA18" i="18"/>
  <c r="AB18" i="18"/>
  <c r="AC18" i="18"/>
  <c r="AD18" i="18"/>
  <c r="AE18" i="18"/>
  <c r="AF18" i="18"/>
  <c r="AF36" i="18" s="1"/>
  <c r="AG18" i="18"/>
  <c r="AH18" i="18"/>
  <c r="AI18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D36" i="18" s="1"/>
  <c r="AE19" i="18"/>
  <c r="AF19" i="18"/>
  <c r="AG19" i="18"/>
  <c r="AH19" i="18"/>
  <c r="AI19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W23" i="18"/>
  <c r="AJ23" i="18" s="1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X24" i="18"/>
  <c r="Y24" i="18"/>
  <c r="Z24" i="18"/>
  <c r="AA24" i="18"/>
  <c r="G61" i="18" s="1"/>
  <c r="H61" i="18" s="1"/>
  <c r="I61" i="18" s="1"/>
  <c r="AB24" i="18"/>
  <c r="AC24" i="18"/>
  <c r="AD24" i="18"/>
  <c r="AE24" i="18"/>
  <c r="AF24" i="18"/>
  <c r="AG24" i="18"/>
  <c r="AH24" i="18"/>
  <c r="AI24" i="18"/>
  <c r="Y25" i="18"/>
  <c r="Z25" i="18"/>
  <c r="AA25" i="18"/>
  <c r="AB25" i="18"/>
  <c r="AC25" i="18"/>
  <c r="AJ25" i="18" s="1"/>
  <c r="AD25" i="18"/>
  <c r="AE25" i="18"/>
  <c r="AF25" i="18"/>
  <c r="AG25" i="18"/>
  <c r="AH25" i="18"/>
  <c r="AI25" i="18"/>
  <c r="Z26" i="18"/>
  <c r="AA26" i="18"/>
  <c r="AB26" i="18"/>
  <c r="AC26" i="18"/>
  <c r="AD26" i="18"/>
  <c r="AE26" i="18"/>
  <c r="AF26" i="18"/>
  <c r="AG26" i="18"/>
  <c r="AH26" i="18"/>
  <c r="AI26" i="18"/>
  <c r="AJ26" i="18"/>
  <c r="AA27" i="18"/>
  <c r="AB27" i="18"/>
  <c r="AC27" i="18"/>
  <c r="AD27" i="18"/>
  <c r="AE27" i="18"/>
  <c r="AF27" i="18"/>
  <c r="AG27" i="18"/>
  <c r="AH27" i="18"/>
  <c r="AI27" i="18"/>
  <c r="AB28" i="18"/>
  <c r="AC28" i="18"/>
  <c r="AD28" i="18"/>
  <c r="AE28" i="18"/>
  <c r="AF28" i="18"/>
  <c r="AG28" i="18"/>
  <c r="AH28" i="18"/>
  <c r="AI28" i="18"/>
  <c r="AC29" i="18"/>
  <c r="AD29" i="18"/>
  <c r="AE29" i="18"/>
  <c r="AF29" i="18"/>
  <c r="AG29" i="18"/>
  <c r="AH29" i="18"/>
  <c r="AI29" i="18"/>
  <c r="AD30" i="18"/>
  <c r="AE30" i="18"/>
  <c r="AJ30" i="18" s="1"/>
  <c r="AF30" i="18"/>
  <c r="AG30" i="18"/>
  <c r="AH30" i="18"/>
  <c r="AI30" i="18"/>
  <c r="AE31" i="18"/>
  <c r="AF31" i="18"/>
  <c r="AG31" i="18"/>
  <c r="AH31" i="18"/>
  <c r="AI31" i="18"/>
  <c r="AJ31" i="18"/>
  <c r="AF32" i="18"/>
  <c r="AG32" i="18"/>
  <c r="AH32" i="18"/>
  <c r="AI32" i="18"/>
  <c r="AJ32" i="18"/>
  <c r="AG33" i="18"/>
  <c r="AJ33" i="18" s="1"/>
  <c r="AH33" i="18"/>
  <c r="AI33" i="18"/>
  <c r="F70" i="18" s="1"/>
  <c r="AH34" i="18"/>
  <c r="AI34" i="18"/>
  <c r="AJ34" i="18"/>
  <c r="AI35" i="18"/>
  <c r="AJ35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U36" i="18"/>
  <c r="AC36" i="18"/>
  <c r="D41" i="18"/>
  <c r="E41" i="18" s="1"/>
  <c r="F41" i="18" s="1"/>
  <c r="D42" i="18"/>
  <c r="E42" i="18" s="1"/>
  <c r="F42" i="18" s="1"/>
  <c r="D43" i="18"/>
  <c r="E43" i="18"/>
  <c r="F43" i="18" s="1"/>
  <c r="G43" i="18" s="1"/>
  <c r="H43" i="18" s="1"/>
  <c r="D44" i="18"/>
  <c r="E44" i="18" s="1"/>
  <c r="F44" i="18" s="1"/>
  <c r="G44" i="18"/>
  <c r="H44" i="18" s="1"/>
  <c r="I44" i="18" s="1"/>
  <c r="J44" i="18" s="1"/>
  <c r="D45" i="18"/>
  <c r="E45" i="18" s="1"/>
  <c r="D46" i="18"/>
  <c r="E46" i="18" s="1"/>
  <c r="E83" i="18" s="1"/>
  <c r="D47" i="18"/>
  <c r="E47" i="18" s="1"/>
  <c r="F47" i="18" s="1"/>
  <c r="G47" i="18" s="1"/>
  <c r="H47" i="18" s="1"/>
  <c r="I47" i="18" s="1"/>
  <c r="J47" i="18" s="1"/>
  <c r="K47" i="18"/>
  <c r="L47" i="18" s="1"/>
  <c r="M47" i="18" s="1"/>
  <c r="N47" i="18" s="1"/>
  <c r="O47" i="18" s="1"/>
  <c r="P47" i="18" s="1"/>
  <c r="Q47" i="18" s="1"/>
  <c r="R47" i="18" s="1"/>
  <c r="S47" i="18" s="1"/>
  <c r="D48" i="18"/>
  <c r="E48" i="18" s="1"/>
  <c r="F48" i="18" s="1"/>
  <c r="G48" i="18" s="1"/>
  <c r="H48" i="18" s="1"/>
  <c r="I48" i="18" s="1"/>
  <c r="D49" i="18"/>
  <c r="E49" i="18"/>
  <c r="F49" i="18" s="1"/>
  <c r="G49" i="18" s="1"/>
  <c r="H49" i="18" s="1"/>
  <c r="D50" i="18"/>
  <c r="E50" i="18"/>
  <c r="F50" i="18" s="1"/>
  <c r="G50" i="18" s="1"/>
  <c r="H50" i="18" s="1"/>
  <c r="D51" i="18"/>
  <c r="E51" i="18"/>
  <c r="F51" i="18"/>
  <c r="G51" i="18" s="1"/>
  <c r="H51" i="18" s="1"/>
  <c r="I51" i="18" s="1"/>
  <c r="D52" i="18"/>
  <c r="E52" i="18" s="1"/>
  <c r="F52" i="18" s="1"/>
  <c r="G52" i="18" s="1"/>
  <c r="H52" i="18" s="1"/>
  <c r="I52" i="18" s="1"/>
  <c r="J52" i="18" s="1"/>
  <c r="K52" i="18"/>
  <c r="L52" i="18" s="1"/>
  <c r="M52" i="18" s="1"/>
  <c r="N52" i="18" s="1"/>
  <c r="O52" i="18" s="1"/>
  <c r="P52" i="18" s="1"/>
  <c r="Q52" i="18" s="1"/>
  <c r="R52" i="18" s="1"/>
  <c r="S52" i="18" s="1"/>
  <c r="D53" i="18"/>
  <c r="E53" i="18" s="1"/>
  <c r="F53" i="18" s="1"/>
  <c r="D54" i="18"/>
  <c r="E54" i="18"/>
  <c r="D55" i="18"/>
  <c r="E55" i="18" s="1"/>
  <c r="F55" i="18" s="1"/>
  <c r="G55" i="18" s="1"/>
  <c r="D56" i="18"/>
  <c r="E56" i="18"/>
  <c r="F56" i="18" s="1"/>
  <c r="G56" i="18" s="1"/>
  <c r="H56" i="18" s="1"/>
  <c r="I56" i="18" s="1"/>
  <c r="J56" i="18" s="1"/>
  <c r="K56" i="18" s="1"/>
  <c r="L56" i="18" s="1"/>
  <c r="M56" i="18"/>
  <c r="N56" i="18" s="1"/>
  <c r="O56" i="18" s="1"/>
  <c r="P56" i="18" s="1"/>
  <c r="Q56" i="18" s="1"/>
  <c r="R56" i="18" s="1"/>
  <c r="S56" i="18" s="1"/>
  <c r="T56" i="18" s="1"/>
  <c r="D57" i="18"/>
  <c r="E57" i="18" s="1"/>
  <c r="F57" i="18" s="1"/>
  <c r="G57" i="18" s="1"/>
  <c r="H57" i="18" s="1"/>
  <c r="I57" i="18" s="1"/>
  <c r="J57" i="18" s="1"/>
  <c r="K57" i="18" s="1"/>
  <c r="L57" i="18" s="1"/>
  <c r="D58" i="18"/>
  <c r="E58" i="18" s="1"/>
  <c r="F58" i="18" s="1"/>
  <c r="G58" i="18" s="1"/>
  <c r="H58" i="18" s="1"/>
  <c r="I58" i="18" s="1"/>
  <c r="J58" i="18" s="1"/>
  <c r="K58" i="18" s="1"/>
  <c r="L58" i="18" s="1"/>
  <c r="D60" i="18"/>
  <c r="E60" i="18" s="1"/>
  <c r="F60" i="18" s="1"/>
  <c r="G60" i="18"/>
  <c r="H60" i="18" s="1"/>
  <c r="I60" i="18" s="1"/>
  <c r="J60" i="18" s="1"/>
  <c r="K60" i="18" s="1"/>
  <c r="L60" i="18" s="1"/>
  <c r="M60" i="18" s="1"/>
  <c r="N60" i="18" s="1"/>
  <c r="O60" i="18"/>
  <c r="P60" i="18" s="1"/>
  <c r="D61" i="18"/>
  <c r="E61" i="18"/>
  <c r="F61" i="18"/>
  <c r="J61" i="18"/>
  <c r="K61" i="18" s="1"/>
  <c r="L61" i="18" s="1"/>
  <c r="M61" i="18" s="1"/>
  <c r="N61" i="18" s="1"/>
  <c r="O61" i="18" s="1"/>
  <c r="D62" i="18"/>
  <c r="E62" i="18"/>
  <c r="F62" i="18"/>
  <c r="G62" i="18" s="1"/>
  <c r="H62" i="18" s="1"/>
  <c r="I62" i="18" s="1"/>
  <c r="J62" i="18" s="1"/>
  <c r="K62" i="18" s="1"/>
  <c r="L62" i="18" s="1"/>
  <c r="M62" i="18" s="1"/>
  <c r="N62" i="18"/>
  <c r="D63" i="18"/>
  <c r="E63" i="18" s="1"/>
  <c r="F63" i="18" s="1"/>
  <c r="G63" i="18" s="1"/>
  <c r="H63" i="18" s="1"/>
  <c r="I63" i="18" s="1"/>
  <c r="J63" i="18" s="1"/>
  <c r="K63" i="18"/>
  <c r="L63" i="18" s="1"/>
  <c r="M63" i="18" s="1"/>
  <c r="D64" i="18"/>
  <c r="E64" i="18"/>
  <c r="F64" i="18"/>
  <c r="G64" i="18" s="1"/>
  <c r="H64" i="18" s="1"/>
  <c r="I64" i="18" s="1"/>
  <c r="D65" i="18"/>
  <c r="E65" i="18"/>
  <c r="F65" i="18" s="1"/>
  <c r="G65" i="18" s="1"/>
  <c r="H65" i="18" s="1"/>
  <c r="D66" i="18"/>
  <c r="E66" i="18"/>
  <c r="F66" i="18" s="1"/>
  <c r="G66" i="18" s="1"/>
  <c r="H66" i="18" s="1"/>
  <c r="D67" i="18"/>
  <c r="E67" i="18"/>
  <c r="F67" i="18"/>
  <c r="G67" i="18" s="1"/>
  <c r="H67" i="18" s="1"/>
  <c r="I67" i="18"/>
  <c r="D68" i="18"/>
  <c r="E68" i="18" s="1"/>
  <c r="F68" i="18" s="1"/>
  <c r="G68" i="18" s="1"/>
  <c r="H68" i="18" s="1"/>
  <c r="D69" i="18"/>
  <c r="E69" i="18" s="1"/>
  <c r="F69" i="18" s="1"/>
  <c r="D70" i="18"/>
  <c r="E70" i="18"/>
  <c r="D71" i="18"/>
  <c r="E71" i="18" s="1"/>
  <c r="D72" i="18"/>
  <c r="E78" i="18"/>
  <c r="B79" i="18"/>
  <c r="E79" i="18"/>
  <c r="B80" i="18"/>
  <c r="E80" i="18"/>
  <c r="F80" i="18"/>
  <c r="G80" i="18"/>
  <c r="B81" i="18"/>
  <c r="E81" i="18"/>
  <c r="F81" i="18"/>
  <c r="G81" i="18"/>
  <c r="I81" i="18"/>
  <c r="B82" i="18"/>
  <c r="B83" i="18"/>
  <c r="B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B85" i="18"/>
  <c r="E85" i="18"/>
  <c r="F85" i="18"/>
  <c r="G85" i="18"/>
  <c r="H85" i="18"/>
  <c r="B86" i="18"/>
  <c r="E86" i="18"/>
  <c r="F86" i="18"/>
  <c r="G86" i="18"/>
  <c r="B87" i="18"/>
  <c r="E87" i="18"/>
  <c r="F87" i="18"/>
  <c r="G87" i="18"/>
  <c r="B88" i="18"/>
  <c r="E88" i="18"/>
  <c r="F88" i="18"/>
  <c r="G88" i="18"/>
  <c r="H88" i="18"/>
  <c r="B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B90" i="18"/>
  <c r="E90" i="18"/>
  <c r="B91" i="18"/>
  <c r="E91" i="18"/>
  <c r="B92" i="18"/>
  <c r="E92" i="18"/>
  <c r="F92" i="18"/>
  <c r="B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B94" i="18"/>
  <c r="E94" i="18"/>
  <c r="F94" i="18"/>
  <c r="G94" i="18"/>
  <c r="H94" i="18"/>
  <c r="I94" i="18"/>
  <c r="J94" i="18"/>
  <c r="K94" i="18"/>
  <c r="B95" i="18"/>
  <c r="E95" i="18"/>
  <c r="F95" i="18"/>
  <c r="G95" i="18"/>
  <c r="H95" i="18"/>
  <c r="I95" i="18"/>
  <c r="J95" i="18"/>
  <c r="K95" i="18"/>
  <c r="B96" i="18"/>
  <c r="B97" i="18"/>
  <c r="E97" i="18"/>
  <c r="F97" i="18"/>
  <c r="G97" i="18"/>
  <c r="H97" i="18"/>
  <c r="I97" i="18"/>
  <c r="J97" i="18"/>
  <c r="K97" i="18"/>
  <c r="L97" i="18"/>
  <c r="M97" i="18"/>
  <c r="N97" i="18"/>
  <c r="N113" i="18" s="1"/>
  <c r="F130" i="18" s="1"/>
  <c r="O97" i="18"/>
  <c r="P97" i="18"/>
  <c r="B98" i="18"/>
  <c r="E98" i="18"/>
  <c r="F98" i="18"/>
  <c r="G98" i="18"/>
  <c r="H98" i="18"/>
  <c r="I98" i="18"/>
  <c r="J98" i="18"/>
  <c r="K98" i="18"/>
  <c r="L98" i="18"/>
  <c r="M98" i="18"/>
  <c r="N98" i="18"/>
  <c r="O98" i="18"/>
  <c r="B99" i="18"/>
  <c r="E99" i="18"/>
  <c r="F99" i="18"/>
  <c r="G99" i="18"/>
  <c r="H99" i="18"/>
  <c r="I99" i="18"/>
  <c r="J99" i="18"/>
  <c r="K99" i="18"/>
  <c r="L99" i="18"/>
  <c r="M99" i="18"/>
  <c r="N99" i="18"/>
  <c r="B100" i="18"/>
  <c r="E100" i="18"/>
  <c r="F100" i="18"/>
  <c r="G100" i="18"/>
  <c r="H100" i="18"/>
  <c r="I100" i="18"/>
  <c r="J100" i="18"/>
  <c r="K100" i="18"/>
  <c r="L100" i="18"/>
  <c r="M100" i="18"/>
  <c r="B101" i="18"/>
  <c r="E101" i="18"/>
  <c r="F101" i="18"/>
  <c r="G101" i="18"/>
  <c r="H101" i="18"/>
  <c r="B102" i="18"/>
  <c r="E102" i="18"/>
  <c r="F102" i="18"/>
  <c r="G102" i="18"/>
  <c r="B103" i="18"/>
  <c r="E103" i="18"/>
  <c r="F103" i="18"/>
  <c r="G103" i="18"/>
  <c r="B104" i="18"/>
  <c r="E104" i="18"/>
  <c r="F104" i="18"/>
  <c r="G104" i="18"/>
  <c r="H104" i="18"/>
  <c r="I104" i="18"/>
  <c r="B105" i="18"/>
  <c r="E105" i="18"/>
  <c r="F105" i="18"/>
  <c r="G105" i="18"/>
  <c r="H105" i="18"/>
  <c r="B106" i="18"/>
  <c r="E106" i="18"/>
  <c r="B107" i="18"/>
  <c r="E107" i="18"/>
  <c r="F107" i="18"/>
  <c r="B108" i="18"/>
  <c r="E108" i="18"/>
  <c r="E113" i="18"/>
  <c r="F121" i="18" s="1"/>
  <c r="M113" i="18"/>
  <c r="E114" i="18"/>
  <c r="E115" i="18"/>
  <c r="N121" i="18" s="1"/>
  <c r="E120" i="18"/>
  <c r="E121" i="18"/>
  <c r="J121" i="18"/>
  <c r="E122" i="18"/>
  <c r="E124" i="18"/>
  <c r="E125" i="18"/>
  <c r="E129" i="18"/>
  <c r="F129" i="18"/>
  <c r="E130" i="18"/>
  <c r="E131" i="18"/>
  <c r="E132" i="18"/>
  <c r="E136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J51" i="18" l="1"/>
  <c r="I88" i="18"/>
  <c r="T47" i="18"/>
  <c r="S84" i="18"/>
  <c r="I66" i="18"/>
  <c r="H103" i="18"/>
  <c r="H113" i="18" s="1"/>
  <c r="F124" i="18" s="1"/>
  <c r="H55" i="18"/>
  <c r="G92" i="18"/>
  <c r="G69" i="18"/>
  <c r="F106" i="18"/>
  <c r="F113" i="18" s="1"/>
  <c r="F122" i="18" s="1"/>
  <c r="I65" i="18"/>
  <c r="H102" i="18"/>
  <c r="I50" i="18"/>
  <c r="H87" i="18"/>
  <c r="J64" i="18"/>
  <c r="I101" i="18"/>
  <c r="M58" i="18"/>
  <c r="L95" i="18"/>
  <c r="G53" i="18"/>
  <c r="F90" i="18"/>
  <c r="I49" i="18"/>
  <c r="H86" i="18"/>
  <c r="M57" i="18"/>
  <c r="L94" i="18"/>
  <c r="T52" i="18"/>
  <c r="S89" i="18"/>
  <c r="J48" i="18"/>
  <c r="I85" i="18"/>
  <c r="H80" i="18"/>
  <c r="I43" i="18"/>
  <c r="AB36" i="18"/>
  <c r="F78" i="18"/>
  <c r="G41" i="18"/>
  <c r="AJ27" i="18"/>
  <c r="AI36" i="18"/>
  <c r="AA36" i="18"/>
  <c r="F54" i="18"/>
  <c r="S36" i="18"/>
  <c r="F46" i="18"/>
  <c r="AJ24" i="18"/>
  <c r="AJ16" i="18"/>
  <c r="J81" i="18"/>
  <c r="K44" i="18"/>
  <c r="V36" i="18"/>
  <c r="AJ19" i="18"/>
  <c r="AJ17" i="18"/>
  <c r="AJ36" i="18" s="1"/>
  <c r="AJ11" i="18"/>
  <c r="AJ20" i="18"/>
  <c r="AH36" i="18"/>
  <c r="F79" i="18"/>
  <c r="G42" i="18"/>
  <c r="AJ21" i="18"/>
  <c r="AJ18" i="18"/>
  <c r="AG36" i="18"/>
  <c r="AJ28" i="18"/>
  <c r="D59" i="18"/>
  <c r="E59" i="18" s="1"/>
  <c r="AJ22" i="18"/>
  <c r="H81" i="18"/>
  <c r="E82" i="18"/>
  <c r="F45" i="18"/>
  <c r="AJ29" i="18"/>
  <c r="I114" i="18" l="1"/>
  <c r="J125" i="18" s="1"/>
  <c r="K51" i="18"/>
  <c r="J88" i="18"/>
  <c r="K48" i="18"/>
  <c r="J85" i="18"/>
  <c r="H53" i="18"/>
  <c r="G90" i="18"/>
  <c r="G106" i="18"/>
  <c r="E123" i="18"/>
  <c r="J66" i="18"/>
  <c r="I103" i="18"/>
  <c r="G79" i="18"/>
  <c r="H42" i="18"/>
  <c r="U52" i="18"/>
  <c r="T89" i="18"/>
  <c r="J49" i="18"/>
  <c r="I86" i="18"/>
  <c r="K81" i="18"/>
  <c r="L44" i="18"/>
  <c r="N57" i="18"/>
  <c r="M94" i="18"/>
  <c r="G46" i="18"/>
  <c r="F83" i="18"/>
  <c r="J65" i="18"/>
  <c r="I102" i="18"/>
  <c r="G54" i="18"/>
  <c r="F91" i="18"/>
  <c r="K64" i="18"/>
  <c r="J101" i="18"/>
  <c r="J50" i="18"/>
  <c r="I87" i="18"/>
  <c r="U47" i="18"/>
  <c r="T84" i="18"/>
  <c r="F114" i="18"/>
  <c r="J122" i="18" s="1"/>
  <c r="F115" i="18"/>
  <c r="N122" i="18" s="1"/>
  <c r="F59" i="18"/>
  <c r="E96" i="18"/>
  <c r="I80" i="18"/>
  <c r="J43" i="18"/>
  <c r="N58" i="18"/>
  <c r="M95" i="18"/>
  <c r="F82" i="18"/>
  <c r="G45" i="18"/>
  <c r="G78" i="18"/>
  <c r="H41" i="18"/>
  <c r="H115" i="18"/>
  <c r="N124" i="18" s="1"/>
  <c r="H114" i="18"/>
  <c r="J124" i="18" s="1"/>
  <c r="I55" i="18"/>
  <c r="H92" i="18"/>
  <c r="G113" i="18" l="1"/>
  <c r="F123" i="18" s="1"/>
  <c r="G114" i="18"/>
  <c r="J123" i="18" s="1"/>
  <c r="G115" i="18"/>
  <c r="N123" i="18" s="1"/>
  <c r="K50" i="18"/>
  <c r="J87" i="18"/>
  <c r="H46" i="18"/>
  <c r="G83" i="18"/>
  <c r="G59" i="18"/>
  <c r="F96" i="18"/>
  <c r="L64" i="18"/>
  <c r="K101" i="18"/>
  <c r="H79" i="18"/>
  <c r="I42" i="18"/>
  <c r="O57" i="18"/>
  <c r="N94" i="18"/>
  <c r="V52" i="18"/>
  <c r="U89" i="18"/>
  <c r="H45" i="18"/>
  <c r="G82" i="18"/>
  <c r="L81" i="18"/>
  <c r="M44" i="18"/>
  <c r="L48" i="18"/>
  <c r="K85" i="18"/>
  <c r="J80" i="18"/>
  <c r="K43" i="18"/>
  <c r="K49" i="18"/>
  <c r="J86" i="18"/>
  <c r="I53" i="18"/>
  <c r="H90" i="18"/>
  <c r="H54" i="18"/>
  <c r="G91" i="18"/>
  <c r="E126" i="18"/>
  <c r="J103" i="18"/>
  <c r="K65" i="18"/>
  <c r="J102" i="18"/>
  <c r="H78" i="18"/>
  <c r="I41" i="18"/>
  <c r="J113" i="18"/>
  <c r="F126" i="18" s="1"/>
  <c r="J114" i="18"/>
  <c r="J126" i="18" s="1"/>
  <c r="J55" i="18"/>
  <c r="I92" i="18"/>
  <c r="O58" i="18"/>
  <c r="N95" i="18"/>
  <c r="V47" i="18"/>
  <c r="U84" i="18"/>
  <c r="I113" i="18"/>
  <c r="F125" i="18" s="1"/>
  <c r="L51" i="18"/>
  <c r="K88" i="18"/>
  <c r="I46" i="18" l="1"/>
  <c r="H83" i="18"/>
  <c r="I79" i="18"/>
  <c r="J42" i="18"/>
  <c r="M48" i="18"/>
  <c r="L85" i="18"/>
  <c r="N44" i="18"/>
  <c r="M81" i="18"/>
  <c r="J53" i="18"/>
  <c r="I90" i="18"/>
  <c r="L50" i="18"/>
  <c r="K87" i="18"/>
  <c r="P57" i="18"/>
  <c r="O94" i="18"/>
  <c r="M51" i="18"/>
  <c r="L88" i="18"/>
  <c r="P58" i="18"/>
  <c r="O95" i="18"/>
  <c r="K102" i="18"/>
  <c r="E127" i="18"/>
  <c r="K114" i="18"/>
  <c r="J127" i="18" s="1"/>
  <c r="K113" i="18"/>
  <c r="F127" i="18" s="1"/>
  <c r="W52" i="18"/>
  <c r="V89" i="18"/>
  <c r="I54" i="18"/>
  <c r="H91" i="18"/>
  <c r="I78" i="18"/>
  <c r="J41" i="18"/>
  <c r="W47" i="18"/>
  <c r="V84" i="18"/>
  <c r="L49" i="18"/>
  <c r="K86" i="18"/>
  <c r="I45" i="18"/>
  <c r="H82" i="18"/>
  <c r="E128" i="18"/>
  <c r="L101" i="18"/>
  <c r="L113" i="18" s="1"/>
  <c r="F128" i="18" s="1"/>
  <c r="H59" i="18"/>
  <c r="G96" i="18"/>
  <c r="K55" i="18"/>
  <c r="J92" i="18"/>
  <c r="L43" i="18"/>
  <c r="K80" i="18"/>
  <c r="Q57" i="18" l="1"/>
  <c r="P94" i="18"/>
  <c r="K42" i="18"/>
  <c r="J79" i="18"/>
  <c r="N48" i="18"/>
  <c r="M85" i="18"/>
  <c r="K41" i="18"/>
  <c r="J78" i="18"/>
  <c r="M50" i="18"/>
  <c r="L87" i="18"/>
  <c r="J54" i="18"/>
  <c r="I91" i="18"/>
  <c r="K53" i="18"/>
  <c r="J90" i="18"/>
  <c r="X47" i="18"/>
  <c r="W84" i="18"/>
  <c r="M43" i="18"/>
  <c r="L80" i="18"/>
  <c r="I59" i="18"/>
  <c r="H96" i="18"/>
  <c r="J45" i="18"/>
  <c r="I82" i="18"/>
  <c r="Q58" i="18"/>
  <c r="P95" i="18"/>
  <c r="L55" i="18"/>
  <c r="K92" i="18"/>
  <c r="M49" i="18"/>
  <c r="L86" i="18"/>
  <c r="X52" i="18"/>
  <c r="X89" i="18" s="1"/>
  <c r="W89" i="18"/>
  <c r="N51" i="18"/>
  <c r="M88" i="18"/>
  <c r="N81" i="18"/>
  <c r="O44" i="18"/>
  <c r="J46" i="18"/>
  <c r="I83" i="18"/>
  <c r="B12" i="17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B204" i="17" s="1"/>
  <c r="B205" i="17" s="1"/>
  <c r="B206" i="17" s="1"/>
  <c r="B207" i="17" s="1"/>
  <c r="B208" i="17" s="1"/>
  <c r="B209" i="17" s="1"/>
  <c r="B210" i="17" s="1"/>
  <c r="B211" i="17" s="1"/>
  <c r="B212" i="17" s="1"/>
  <c r="B213" i="17" s="1"/>
  <c r="B214" i="17" s="1"/>
  <c r="B215" i="17" s="1"/>
  <c r="B216" i="17" s="1"/>
  <c r="B217" i="17" s="1"/>
  <c r="B218" i="17" s="1"/>
  <c r="B219" i="17" s="1"/>
  <c r="B220" i="17" s="1"/>
  <c r="B221" i="17" s="1"/>
  <c r="B222" i="17" s="1"/>
  <c r="B223" i="17" s="1"/>
  <c r="B224" i="17" s="1"/>
  <c r="B225" i="17" s="1"/>
  <c r="B226" i="17" s="1"/>
  <c r="B227" i="17" s="1"/>
  <c r="B228" i="17" s="1"/>
  <c r="B229" i="17" s="1"/>
  <c r="B230" i="17" s="1"/>
  <c r="B231" i="17" s="1"/>
  <c r="B232" i="17" s="1"/>
  <c r="B233" i="17" s="1"/>
  <c r="B234" i="17" s="1"/>
  <c r="B235" i="17" s="1"/>
  <c r="B236" i="17" s="1"/>
  <c r="B237" i="17" s="1"/>
  <c r="B238" i="17" s="1"/>
  <c r="B239" i="17" s="1"/>
  <c r="B240" i="17" s="1"/>
  <c r="B241" i="17" s="1"/>
  <c r="B242" i="17" s="1"/>
  <c r="B243" i="17" s="1"/>
  <c r="B244" i="17" s="1"/>
  <c r="B245" i="17" s="1"/>
  <c r="B246" i="17" s="1"/>
  <c r="B247" i="17" s="1"/>
  <c r="B248" i="17" s="1"/>
  <c r="B249" i="17" s="1"/>
  <c r="B250" i="17" s="1"/>
  <c r="B251" i="17" s="1"/>
  <c r="D12" i="17"/>
  <c r="E12" i="17" s="1"/>
  <c r="G12" i="17"/>
  <c r="G13" i="17" s="1"/>
  <c r="H12" i="17"/>
  <c r="I12" i="17" s="1"/>
  <c r="L12" i="17"/>
  <c r="M12" i="17" s="1"/>
  <c r="N12" i="17" s="1"/>
  <c r="P12" i="17"/>
  <c r="A13" i="17"/>
  <c r="A14" i="17" s="1"/>
  <c r="D13" i="17"/>
  <c r="H13" i="17"/>
  <c r="I13" i="17" s="1"/>
  <c r="I14" i="17" s="1"/>
  <c r="L13" i="17"/>
  <c r="M13" i="17"/>
  <c r="N13" i="17" s="1"/>
  <c r="D14" i="17"/>
  <c r="H14" i="17"/>
  <c r="L14" i="17"/>
  <c r="M14" i="17" s="1"/>
  <c r="N14" i="17" s="1"/>
  <c r="A15" i="17"/>
  <c r="A16" i="17" s="1"/>
  <c r="A17" i="17" s="1"/>
  <c r="A18" i="17" s="1"/>
  <c r="D15" i="17"/>
  <c r="H15" i="17"/>
  <c r="L15" i="17"/>
  <c r="M15" i="17" s="1"/>
  <c r="D16" i="17"/>
  <c r="H16" i="17"/>
  <c r="L16" i="17"/>
  <c r="M16" i="17" s="1"/>
  <c r="D17" i="17"/>
  <c r="H17" i="17"/>
  <c r="L17" i="17"/>
  <c r="M17" i="17" s="1"/>
  <c r="D18" i="17"/>
  <c r="H18" i="17"/>
  <c r="L18" i="17"/>
  <c r="M18" i="17" s="1"/>
  <c r="A19" i="17"/>
  <c r="D19" i="17"/>
  <c r="H19" i="17"/>
  <c r="L19" i="17"/>
  <c r="M19" i="17" s="1"/>
  <c r="A20" i="17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D20" i="17"/>
  <c r="H20" i="17"/>
  <c r="L20" i="17"/>
  <c r="M20" i="17" s="1"/>
  <c r="D21" i="17"/>
  <c r="H21" i="17"/>
  <c r="L21" i="17"/>
  <c r="M21" i="17" s="1"/>
  <c r="D22" i="17"/>
  <c r="H22" i="17"/>
  <c r="L22" i="17"/>
  <c r="M22" i="17" s="1"/>
  <c r="D23" i="17"/>
  <c r="H23" i="17"/>
  <c r="L23" i="17"/>
  <c r="M23" i="17" s="1"/>
  <c r="D24" i="17"/>
  <c r="H24" i="17"/>
  <c r="L24" i="17"/>
  <c r="M24" i="17" s="1"/>
  <c r="D25" i="17"/>
  <c r="H25" i="17"/>
  <c r="L25" i="17"/>
  <c r="M25" i="17"/>
  <c r="D26" i="17"/>
  <c r="H26" i="17"/>
  <c r="L26" i="17"/>
  <c r="M26" i="17" s="1"/>
  <c r="D27" i="17"/>
  <c r="H27" i="17"/>
  <c r="L27" i="17"/>
  <c r="M27" i="17" s="1"/>
  <c r="D28" i="17"/>
  <c r="H28" i="17"/>
  <c r="L28" i="17"/>
  <c r="M28" i="17" s="1"/>
  <c r="D29" i="17"/>
  <c r="H29" i="17"/>
  <c r="L29" i="17"/>
  <c r="M29" i="17"/>
  <c r="D30" i="17"/>
  <c r="H30" i="17"/>
  <c r="L30" i="17"/>
  <c r="M30" i="17" s="1"/>
  <c r="D31" i="17"/>
  <c r="H31" i="17"/>
  <c r="L31" i="17"/>
  <c r="M31" i="17" s="1"/>
  <c r="D32" i="17"/>
  <c r="H32" i="17"/>
  <c r="L32" i="17"/>
  <c r="M32" i="17" s="1"/>
  <c r="D33" i="17"/>
  <c r="H33" i="17"/>
  <c r="L33" i="17"/>
  <c r="M33" i="17" s="1"/>
  <c r="D34" i="17"/>
  <c r="H34" i="17"/>
  <c r="L34" i="17"/>
  <c r="M34" i="17" s="1"/>
  <c r="D35" i="17"/>
  <c r="H35" i="17"/>
  <c r="L35" i="17"/>
  <c r="M35" i="17" s="1"/>
  <c r="D36" i="17"/>
  <c r="H36" i="17"/>
  <c r="L36" i="17"/>
  <c r="M36" i="17" s="1"/>
  <c r="D37" i="17"/>
  <c r="H37" i="17"/>
  <c r="L37" i="17"/>
  <c r="M37" i="17"/>
  <c r="D38" i="17"/>
  <c r="H38" i="17"/>
  <c r="L38" i="17"/>
  <c r="M38" i="17"/>
  <c r="D39" i="17"/>
  <c r="H39" i="17"/>
  <c r="L39" i="17"/>
  <c r="M39" i="17" s="1"/>
  <c r="D40" i="17"/>
  <c r="H40" i="17"/>
  <c r="L40" i="17"/>
  <c r="M40" i="17" s="1"/>
  <c r="D41" i="17"/>
  <c r="H41" i="17"/>
  <c r="L41" i="17"/>
  <c r="M41" i="17"/>
  <c r="D42" i="17"/>
  <c r="H42" i="17"/>
  <c r="L42" i="17"/>
  <c r="M42" i="17" s="1"/>
  <c r="D43" i="17"/>
  <c r="H43" i="17"/>
  <c r="L43" i="17"/>
  <c r="M43" i="17" s="1"/>
  <c r="D44" i="17"/>
  <c r="H44" i="17"/>
  <c r="L44" i="17"/>
  <c r="M44" i="17" s="1"/>
  <c r="D45" i="17"/>
  <c r="H45" i="17"/>
  <c r="L45" i="17"/>
  <c r="M45" i="17"/>
  <c r="D46" i="17"/>
  <c r="H46" i="17"/>
  <c r="L46" i="17"/>
  <c r="M46" i="17"/>
  <c r="D47" i="17"/>
  <c r="H47" i="17"/>
  <c r="L47" i="17"/>
  <c r="M47" i="17" s="1"/>
  <c r="D48" i="17"/>
  <c r="H48" i="17"/>
  <c r="L48" i="17"/>
  <c r="M48" i="17" s="1"/>
  <c r="D49" i="17"/>
  <c r="H49" i="17"/>
  <c r="L49" i="17"/>
  <c r="M49" i="17"/>
  <c r="D50" i="17"/>
  <c r="H50" i="17"/>
  <c r="L50" i="17"/>
  <c r="M50" i="17"/>
  <c r="D51" i="17"/>
  <c r="H51" i="17"/>
  <c r="L51" i="17"/>
  <c r="M51" i="17" s="1"/>
  <c r="D52" i="17"/>
  <c r="H52" i="17"/>
  <c r="L52" i="17"/>
  <c r="M52" i="17" s="1"/>
  <c r="D53" i="17"/>
  <c r="H53" i="17"/>
  <c r="L53" i="17"/>
  <c r="M53" i="17" s="1"/>
  <c r="D54" i="17"/>
  <c r="H54" i="17"/>
  <c r="L54" i="17"/>
  <c r="M54" i="17"/>
  <c r="D55" i="17"/>
  <c r="H55" i="17"/>
  <c r="L55" i="17"/>
  <c r="M55" i="17" s="1"/>
  <c r="D56" i="17"/>
  <c r="H56" i="17"/>
  <c r="L56" i="17"/>
  <c r="M56" i="17" s="1"/>
  <c r="D57" i="17"/>
  <c r="H57" i="17"/>
  <c r="L57" i="17"/>
  <c r="M57" i="17" s="1"/>
  <c r="D58" i="17"/>
  <c r="H58" i="17"/>
  <c r="L58" i="17"/>
  <c r="M58" i="17" s="1"/>
  <c r="D59" i="17"/>
  <c r="H59" i="17"/>
  <c r="L59" i="17"/>
  <c r="M59" i="17" s="1"/>
  <c r="D60" i="17"/>
  <c r="H60" i="17"/>
  <c r="L60" i="17"/>
  <c r="M60" i="17" s="1"/>
  <c r="D61" i="17"/>
  <c r="H61" i="17"/>
  <c r="L61" i="17"/>
  <c r="M61" i="17"/>
  <c r="D62" i="17"/>
  <c r="H62" i="17"/>
  <c r="L62" i="17"/>
  <c r="M62" i="17" s="1"/>
  <c r="D63" i="17"/>
  <c r="H63" i="17"/>
  <c r="L63" i="17"/>
  <c r="M63" i="17" s="1"/>
  <c r="D64" i="17"/>
  <c r="H64" i="17"/>
  <c r="L64" i="17"/>
  <c r="M64" i="17" s="1"/>
  <c r="D65" i="17"/>
  <c r="H65" i="17"/>
  <c r="L65" i="17"/>
  <c r="M65" i="17" s="1"/>
  <c r="D66" i="17"/>
  <c r="H66" i="17"/>
  <c r="L66" i="17"/>
  <c r="M66" i="17" s="1"/>
  <c r="D67" i="17"/>
  <c r="H67" i="17"/>
  <c r="L67" i="17"/>
  <c r="M67" i="17" s="1"/>
  <c r="D68" i="17"/>
  <c r="H68" i="17"/>
  <c r="L68" i="17"/>
  <c r="M68" i="17" s="1"/>
  <c r="D69" i="17"/>
  <c r="H69" i="17"/>
  <c r="L69" i="17"/>
  <c r="M69" i="17" s="1"/>
  <c r="D70" i="17"/>
  <c r="H70" i="17"/>
  <c r="L70" i="17"/>
  <c r="M70" i="17" s="1"/>
  <c r="D71" i="17"/>
  <c r="H71" i="17"/>
  <c r="L71" i="17"/>
  <c r="M71" i="17"/>
  <c r="D72" i="17"/>
  <c r="H72" i="17"/>
  <c r="L72" i="17"/>
  <c r="M72" i="17" s="1"/>
  <c r="D73" i="17"/>
  <c r="H73" i="17"/>
  <c r="L73" i="17"/>
  <c r="M73" i="17" s="1"/>
  <c r="D74" i="17"/>
  <c r="H74" i="17"/>
  <c r="L74" i="17"/>
  <c r="M74" i="17" s="1"/>
  <c r="D75" i="17"/>
  <c r="H75" i="17"/>
  <c r="L75" i="17"/>
  <c r="M75" i="17" s="1"/>
  <c r="D76" i="17"/>
  <c r="H76" i="17"/>
  <c r="L76" i="17"/>
  <c r="M76" i="17" s="1"/>
  <c r="D77" i="17"/>
  <c r="H77" i="17"/>
  <c r="L77" i="17"/>
  <c r="M77" i="17" s="1"/>
  <c r="D78" i="17"/>
  <c r="H78" i="17"/>
  <c r="L78" i="17"/>
  <c r="M78" i="17" s="1"/>
  <c r="D79" i="17"/>
  <c r="H79" i="17"/>
  <c r="L79" i="17"/>
  <c r="M79" i="17"/>
  <c r="D80" i="17"/>
  <c r="H80" i="17"/>
  <c r="L80" i="17"/>
  <c r="M80" i="17"/>
  <c r="D81" i="17"/>
  <c r="H81" i="17"/>
  <c r="L81" i="17"/>
  <c r="M81" i="17" s="1"/>
  <c r="D82" i="17"/>
  <c r="H82" i="17"/>
  <c r="L82" i="17"/>
  <c r="M82" i="17" s="1"/>
  <c r="D83" i="17"/>
  <c r="H83" i="17"/>
  <c r="L83" i="17"/>
  <c r="M83" i="17" s="1"/>
  <c r="D84" i="17"/>
  <c r="H84" i="17"/>
  <c r="L84" i="17"/>
  <c r="M84" i="17" s="1"/>
  <c r="D85" i="17"/>
  <c r="H85" i="17"/>
  <c r="L85" i="17"/>
  <c r="M85" i="17" s="1"/>
  <c r="D86" i="17"/>
  <c r="H86" i="17"/>
  <c r="L86" i="17"/>
  <c r="M86" i="17" s="1"/>
  <c r="D87" i="17"/>
  <c r="H87" i="17"/>
  <c r="L87" i="17"/>
  <c r="M87" i="17"/>
  <c r="D88" i="17"/>
  <c r="H88" i="17"/>
  <c r="L88" i="17"/>
  <c r="M88" i="17" s="1"/>
  <c r="D89" i="17"/>
  <c r="H89" i="17"/>
  <c r="L89" i="17"/>
  <c r="M89" i="17" s="1"/>
  <c r="D90" i="17"/>
  <c r="H90" i="17"/>
  <c r="L90" i="17"/>
  <c r="M90" i="17"/>
  <c r="D91" i="17"/>
  <c r="H91" i="17"/>
  <c r="L91" i="17"/>
  <c r="M91" i="17" s="1"/>
  <c r="D92" i="17"/>
  <c r="H92" i="17"/>
  <c r="L92" i="17"/>
  <c r="M92" i="17" s="1"/>
  <c r="D93" i="17"/>
  <c r="H93" i="17"/>
  <c r="L93" i="17"/>
  <c r="M93" i="17" s="1"/>
  <c r="D94" i="17"/>
  <c r="H94" i="17"/>
  <c r="L94" i="17"/>
  <c r="M94" i="17" s="1"/>
  <c r="D95" i="17"/>
  <c r="H95" i="17"/>
  <c r="L95" i="17"/>
  <c r="M95" i="17"/>
  <c r="D96" i="17"/>
  <c r="H96" i="17"/>
  <c r="L96" i="17"/>
  <c r="M96" i="17"/>
  <c r="D97" i="17"/>
  <c r="H97" i="17"/>
  <c r="L97" i="17"/>
  <c r="M97" i="17" s="1"/>
  <c r="D98" i="17"/>
  <c r="H98" i="17"/>
  <c r="L98" i="17"/>
  <c r="M98" i="17"/>
  <c r="D99" i="17"/>
  <c r="H99" i="17"/>
  <c r="L99" i="17"/>
  <c r="M99" i="17" s="1"/>
  <c r="D100" i="17"/>
  <c r="H100" i="17"/>
  <c r="L100" i="17"/>
  <c r="M100" i="17" s="1"/>
  <c r="D101" i="17"/>
  <c r="H101" i="17"/>
  <c r="L101" i="17"/>
  <c r="M101" i="17" s="1"/>
  <c r="D102" i="17"/>
  <c r="H102" i="17"/>
  <c r="L102" i="17"/>
  <c r="M102" i="17" s="1"/>
  <c r="D103" i="17"/>
  <c r="H103" i="17"/>
  <c r="L103" i="17"/>
  <c r="M103" i="17" s="1"/>
  <c r="D104" i="17"/>
  <c r="H104" i="17"/>
  <c r="L104" i="17"/>
  <c r="M104" i="17" s="1"/>
  <c r="D105" i="17"/>
  <c r="H105" i="17"/>
  <c r="L105" i="17"/>
  <c r="M105" i="17" s="1"/>
  <c r="D106" i="17"/>
  <c r="H106" i="17"/>
  <c r="L106" i="17"/>
  <c r="M106" i="17" s="1"/>
  <c r="D107" i="17"/>
  <c r="H107" i="17"/>
  <c r="L107" i="17"/>
  <c r="M107" i="17" s="1"/>
  <c r="D108" i="17"/>
  <c r="H108" i="17"/>
  <c r="L108" i="17"/>
  <c r="M108" i="17" s="1"/>
  <c r="D109" i="17"/>
  <c r="H109" i="17"/>
  <c r="L109" i="17"/>
  <c r="M109" i="17"/>
  <c r="D110" i="17"/>
  <c r="H110" i="17"/>
  <c r="L110" i="17"/>
  <c r="M110" i="17" s="1"/>
  <c r="D111" i="17"/>
  <c r="H111" i="17"/>
  <c r="L111" i="17"/>
  <c r="M111" i="17" s="1"/>
  <c r="D112" i="17"/>
  <c r="H112" i="17"/>
  <c r="L112" i="17"/>
  <c r="M112" i="17" s="1"/>
  <c r="D113" i="17"/>
  <c r="H113" i="17"/>
  <c r="L113" i="17"/>
  <c r="M113" i="17" s="1"/>
  <c r="D114" i="17"/>
  <c r="H114" i="17"/>
  <c r="L114" i="17"/>
  <c r="M114" i="17" s="1"/>
  <c r="D115" i="17"/>
  <c r="H115" i="17"/>
  <c r="L115" i="17"/>
  <c r="M115" i="17"/>
  <c r="D116" i="17"/>
  <c r="H116" i="17"/>
  <c r="L116" i="17"/>
  <c r="M116" i="17" s="1"/>
  <c r="D117" i="17"/>
  <c r="H117" i="17"/>
  <c r="L117" i="17"/>
  <c r="M117" i="17" s="1"/>
  <c r="D118" i="17"/>
  <c r="H118" i="17"/>
  <c r="L118" i="17"/>
  <c r="M118" i="17"/>
  <c r="D119" i="17"/>
  <c r="H119" i="17"/>
  <c r="L119" i="17"/>
  <c r="M119" i="17" s="1"/>
  <c r="D120" i="17"/>
  <c r="H120" i="17"/>
  <c r="L120" i="17"/>
  <c r="M120" i="17" s="1"/>
  <c r="D121" i="17"/>
  <c r="H121" i="17"/>
  <c r="L121" i="17"/>
  <c r="M121" i="17" s="1"/>
  <c r="D122" i="17"/>
  <c r="H122" i="17"/>
  <c r="L122" i="17"/>
  <c r="M122" i="17" s="1"/>
  <c r="D123" i="17"/>
  <c r="H123" i="17"/>
  <c r="L123" i="17"/>
  <c r="M123" i="17" s="1"/>
  <c r="D124" i="17"/>
  <c r="H124" i="17"/>
  <c r="L124" i="17"/>
  <c r="M124" i="17" s="1"/>
  <c r="D125" i="17"/>
  <c r="H125" i="17"/>
  <c r="L125" i="17"/>
  <c r="M125" i="17" s="1"/>
  <c r="D126" i="17"/>
  <c r="H126" i="17"/>
  <c r="L126" i="17"/>
  <c r="M126" i="17"/>
  <c r="D127" i="17"/>
  <c r="H127" i="17"/>
  <c r="L127" i="17"/>
  <c r="M127" i="17" s="1"/>
  <c r="D128" i="17"/>
  <c r="H128" i="17"/>
  <c r="L128" i="17"/>
  <c r="M128" i="17" s="1"/>
  <c r="D129" i="17"/>
  <c r="H129" i="17"/>
  <c r="L129" i="17"/>
  <c r="M129" i="17" s="1"/>
  <c r="D130" i="17"/>
  <c r="H130" i="17"/>
  <c r="L130" i="17"/>
  <c r="M130" i="17" s="1"/>
  <c r="D131" i="17"/>
  <c r="H131" i="17"/>
  <c r="L131" i="17"/>
  <c r="M131" i="17" s="1"/>
  <c r="D132" i="17"/>
  <c r="H132" i="17"/>
  <c r="L132" i="17"/>
  <c r="M132" i="17" s="1"/>
  <c r="D133" i="17"/>
  <c r="H133" i="17"/>
  <c r="L133" i="17"/>
  <c r="M133" i="17" s="1"/>
  <c r="D134" i="17"/>
  <c r="H134" i="17"/>
  <c r="L134" i="17"/>
  <c r="M134" i="17"/>
  <c r="D135" i="17"/>
  <c r="H135" i="17"/>
  <c r="L135" i="17"/>
  <c r="M135" i="17" s="1"/>
  <c r="D136" i="17"/>
  <c r="H136" i="17"/>
  <c r="L136" i="17"/>
  <c r="M136" i="17" s="1"/>
  <c r="D137" i="17"/>
  <c r="H137" i="17"/>
  <c r="L137" i="17"/>
  <c r="M137" i="17" s="1"/>
  <c r="D138" i="17"/>
  <c r="H138" i="17"/>
  <c r="L138" i="17"/>
  <c r="M138" i="17" s="1"/>
  <c r="D139" i="17"/>
  <c r="H139" i="17"/>
  <c r="L139" i="17"/>
  <c r="M139" i="17"/>
  <c r="D140" i="17"/>
  <c r="H140" i="17"/>
  <c r="L140" i="17"/>
  <c r="M140" i="17"/>
  <c r="D141" i="17"/>
  <c r="H141" i="17"/>
  <c r="L141" i="17"/>
  <c r="M141" i="17" s="1"/>
  <c r="D142" i="17"/>
  <c r="H142" i="17"/>
  <c r="L142" i="17"/>
  <c r="M142" i="17" s="1"/>
  <c r="D143" i="17"/>
  <c r="H143" i="17"/>
  <c r="L143" i="17"/>
  <c r="M143" i="17" s="1"/>
  <c r="D144" i="17"/>
  <c r="H144" i="17"/>
  <c r="L144" i="17"/>
  <c r="M144" i="17" s="1"/>
  <c r="D145" i="17"/>
  <c r="H145" i="17"/>
  <c r="L145" i="17"/>
  <c r="M145" i="17" s="1"/>
  <c r="D146" i="17"/>
  <c r="H146" i="17"/>
  <c r="L146" i="17"/>
  <c r="M146" i="17" s="1"/>
  <c r="D147" i="17"/>
  <c r="H147" i="17"/>
  <c r="L147" i="17"/>
  <c r="M147" i="17" s="1"/>
  <c r="D148" i="17"/>
  <c r="H148" i="17"/>
  <c r="L148" i="17"/>
  <c r="M148" i="17" s="1"/>
  <c r="D149" i="17"/>
  <c r="H149" i="17"/>
  <c r="L149" i="17"/>
  <c r="M149" i="17" s="1"/>
  <c r="D150" i="17"/>
  <c r="H150" i="17"/>
  <c r="L150" i="17"/>
  <c r="M150" i="17" s="1"/>
  <c r="D151" i="17"/>
  <c r="H151" i="17"/>
  <c r="L151" i="17"/>
  <c r="M151" i="17"/>
  <c r="D152" i="17"/>
  <c r="H152" i="17"/>
  <c r="L152" i="17"/>
  <c r="M152" i="17"/>
  <c r="D153" i="17"/>
  <c r="H153" i="17"/>
  <c r="L153" i="17"/>
  <c r="M153" i="17" s="1"/>
  <c r="D154" i="17"/>
  <c r="H154" i="17"/>
  <c r="L154" i="17"/>
  <c r="M154" i="17" s="1"/>
  <c r="D155" i="17"/>
  <c r="H155" i="17"/>
  <c r="L155" i="17"/>
  <c r="M155" i="17" s="1"/>
  <c r="D156" i="17"/>
  <c r="H156" i="17"/>
  <c r="L156" i="17"/>
  <c r="M156" i="17" s="1"/>
  <c r="D157" i="17"/>
  <c r="H157" i="17"/>
  <c r="L157" i="17"/>
  <c r="M157" i="17" s="1"/>
  <c r="D158" i="17"/>
  <c r="H158" i="17"/>
  <c r="L158" i="17"/>
  <c r="M158" i="17" s="1"/>
  <c r="D159" i="17"/>
  <c r="H159" i="17"/>
  <c r="L159" i="17"/>
  <c r="M159" i="17"/>
  <c r="D160" i="17"/>
  <c r="H160" i="17"/>
  <c r="L160" i="17"/>
  <c r="M160" i="17"/>
  <c r="D161" i="17"/>
  <c r="H161" i="17"/>
  <c r="L161" i="17"/>
  <c r="M161" i="17"/>
  <c r="D162" i="17"/>
  <c r="H162" i="17"/>
  <c r="L162" i="17"/>
  <c r="M162" i="17" s="1"/>
  <c r="D163" i="17"/>
  <c r="H163" i="17"/>
  <c r="L163" i="17"/>
  <c r="M163" i="17"/>
  <c r="D164" i="17"/>
  <c r="H164" i="17"/>
  <c r="L164" i="17"/>
  <c r="M164" i="17"/>
  <c r="D165" i="17"/>
  <c r="H165" i="17"/>
  <c r="L165" i="17"/>
  <c r="M165" i="17"/>
  <c r="D166" i="17"/>
  <c r="H166" i="17"/>
  <c r="L166" i="17"/>
  <c r="M166" i="17" s="1"/>
  <c r="D167" i="17"/>
  <c r="H167" i="17"/>
  <c r="L167" i="17"/>
  <c r="M167" i="17" s="1"/>
  <c r="D168" i="17"/>
  <c r="H168" i="17"/>
  <c r="L168" i="17"/>
  <c r="M168" i="17" s="1"/>
  <c r="D169" i="17"/>
  <c r="H169" i="17"/>
  <c r="L169" i="17"/>
  <c r="M169" i="17" s="1"/>
  <c r="D170" i="17"/>
  <c r="H170" i="17"/>
  <c r="L170" i="17"/>
  <c r="M170" i="17" s="1"/>
  <c r="D171" i="17"/>
  <c r="H171" i="17"/>
  <c r="L171" i="17"/>
  <c r="M171" i="17" s="1"/>
  <c r="D172" i="17"/>
  <c r="H172" i="17"/>
  <c r="L172" i="17"/>
  <c r="M172" i="17" s="1"/>
  <c r="D173" i="17"/>
  <c r="H173" i="17"/>
  <c r="L173" i="17"/>
  <c r="M173" i="17" s="1"/>
  <c r="D174" i="17"/>
  <c r="H174" i="17"/>
  <c r="L174" i="17"/>
  <c r="M174" i="17" s="1"/>
  <c r="D175" i="17"/>
  <c r="H175" i="17"/>
  <c r="L175" i="17"/>
  <c r="M175" i="17" s="1"/>
  <c r="D176" i="17"/>
  <c r="H176" i="17"/>
  <c r="L176" i="17"/>
  <c r="M176" i="17" s="1"/>
  <c r="D177" i="17"/>
  <c r="H177" i="17"/>
  <c r="L177" i="17"/>
  <c r="M177" i="17" s="1"/>
  <c r="D178" i="17"/>
  <c r="H178" i="17"/>
  <c r="L178" i="17"/>
  <c r="M178" i="17" s="1"/>
  <c r="D179" i="17"/>
  <c r="H179" i="17"/>
  <c r="L179" i="17"/>
  <c r="M179" i="17" s="1"/>
  <c r="D180" i="17"/>
  <c r="H180" i="17"/>
  <c r="L180" i="17"/>
  <c r="M180" i="17" s="1"/>
  <c r="D181" i="17"/>
  <c r="H181" i="17"/>
  <c r="L181" i="17"/>
  <c r="M181" i="17"/>
  <c r="D182" i="17"/>
  <c r="H182" i="17"/>
  <c r="L182" i="17"/>
  <c r="M182" i="17" s="1"/>
  <c r="D183" i="17"/>
  <c r="H183" i="17"/>
  <c r="L183" i="17"/>
  <c r="M183" i="17"/>
  <c r="D184" i="17"/>
  <c r="H184" i="17"/>
  <c r="L184" i="17"/>
  <c r="M184" i="17"/>
  <c r="D185" i="17"/>
  <c r="H185" i="17"/>
  <c r="L185" i="17"/>
  <c r="M185" i="17" s="1"/>
  <c r="D186" i="17"/>
  <c r="H186" i="17"/>
  <c r="L186" i="17"/>
  <c r="M186" i="17" s="1"/>
  <c r="D187" i="17"/>
  <c r="H187" i="17"/>
  <c r="L187" i="17"/>
  <c r="M187" i="17" s="1"/>
  <c r="D188" i="17"/>
  <c r="H188" i="17"/>
  <c r="L188" i="17"/>
  <c r="M188" i="17" s="1"/>
  <c r="D189" i="17"/>
  <c r="H189" i="17"/>
  <c r="L189" i="17"/>
  <c r="M189" i="17" s="1"/>
  <c r="D190" i="17"/>
  <c r="H190" i="17"/>
  <c r="L190" i="17"/>
  <c r="M190" i="17" s="1"/>
  <c r="D191" i="17"/>
  <c r="H191" i="17"/>
  <c r="L191" i="17"/>
  <c r="M191" i="17" s="1"/>
  <c r="D192" i="17"/>
  <c r="H192" i="17"/>
  <c r="L192" i="17"/>
  <c r="M192" i="17"/>
  <c r="D193" i="17"/>
  <c r="H193" i="17"/>
  <c r="L193" i="17"/>
  <c r="M193" i="17"/>
  <c r="D194" i="17"/>
  <c r="H194" i="17"/>
  <c r="L194" i="17"/>
  <c r="M194" i="17"/>
  <c r="D195" i="17"/>
  <c r="H195" i="17"/>
  <c r="L195" i="17"/>
  <c r="M195" i="17" s="1"/>
  <c r="D196" i="17"/>
  <c r="H196" i="17"/>
  <c r="L196" i="17"/>
  <c r="M196" i="17" s="1"/>
  <c r="D197" i="17"/>
  <c r="H197" i="17"/>
  <c r="L197" i="17"/>
  <c r="M197" i="17" s="1"/>
  <c r="D198" i="17"/>
  <c r="H198" i="17"/>
  <c r="L198" i="17"/>
  <c r="M198" i="17" s="1"/>
  <c r="D199" i="17"/>
  <c r="H199" i="17"/>
  <c r="L199" i="17"/>
  <c r="M199" i="17"/>
  <c r="D200" i="17"/>
  <c r="H200" i="17"/>
  <c r="L200" i="17"/>
  <c r="M200" i="17" s="1"/>
  <c r="D201" i="17"/>
  <c r="H201" i="17"/>
  <c r="L201" i="17"/>
  <c r="M201" i="17" s="1"/>
  <c r="D202" i="17"/>
  <c r="H202" i="17"/>
  <c r="L202" i="17"/>
  <c r="M202" i="17" s="1"/>
  <c r="D203" i="17"/>
  <c r="H203" i="17"/>
  <c r="L203" i="17"/>
  <c r="M203" i="17" s="1"/>
  <c r="D204" i="17"/>
  <c r="H204" i="17"/>
  <c r="L204" i="17"/>
  <c r="M204" i="17"/>
  <c r="D205" i="17"/>
  <c r="H205" i="17"/>
  <c r="L205" i="17"/>
  <c r="M205" i="17" s="1"/>
  <c r="D206" i="17"/>
  <c r="H206" i="17"/>
  <c r="L206" i="17"/>
  <c r="M206" i="17" s="1"/>
  <c r="D207" i="17"/>
  <c r="H207" i="17"/>
  <c r="L207" i="17"/>
  <c r="M207" i="17" s="1"/>
  <c r="D208" i="17"/>
  <c r="H208" i="17"/>
  <c r="L208" i="17"/>
  <c r="M208" i="17" s="1"/>
  <c r="D209" i="17"/>
  <c r="H209" i="17"/>
  <c r="L209" i="17"/>
  <c r="M209" i="17" s="1"/>
  <c r="D210" i="17"/>
  <c r="H210" i="17"/>
  <c r="L210" i="17"/>
  <c r="M210" i="17" s="1"/>
  <c r="D211" i="17"/>
  <c r="H211" i="17"/>
  <c r="L211" i="17"/>
  <c r="M211" i="17" s="1"/>
  <c r="D212" i="17"/>
  <c r="H212" i="17"/>
  <c r="L212" i="17"/>
  <c r="M212" i="17"/>
  <c r="D213" i="17"/>
  <c r="H213" i="17"/>
  <c r="L213" i="17"/>
  <c r="M213" i="17" s="1"/>
  <c r="D214" i="17"/>
  <c r="H214" i="17"/>
  <c r="L214" i="17"/>
  <c r="M214" i="17" s="1"/>
  <c r="D215" i="17"/>
  <c r="H215" i="17"/>
  <c r="L215" i="17"/>
  <c r="M215" i="17" s="1"/>
  <c r="D216" i="17"/>
  <c r="H216" i="17"/>
  <c r="L216" i="17"/>
  <c r="M216" i="17" s="1"/>
  <c r="D217" i="17"/>
  <c r="H217" i="17"/>
  <c r="L217" i="17"/>
  <c r="M217" i="17" s="1"/>
  <c r="D218" i="17"/>
  <c r="H218" i="17"/>
  <c r="L218" i="17"/>
  <c r="M218" i="17" s="1"/>
  <c r="D219" i="17"/>
  <c r="H219" i="17"/>
  <c r="L219" i="17"/>
  <c r="M219" i="17" s="1"/>
  <c r="D220" i="17"/>
  <c r="H220" i="17"/>
  <c r="L220" i="17"/>
  <c r="M220" i="17" s="1"/>
  <c r="D221" i="17"/>
  <c r="H221" i="17"/>
  <c r="L221" i="17"/>
  <c r="M221" i="17" s="1"/>
  <c r="D222" i="17"/>
  <c r="H222" i="17"/>
  <c r="L222" i="17"/>
  <c r="M222" i="17" s="1"/>
  <c r="D223" i="17"/>
  <c r="H223" i="17"/>
  <c r="L223" i="17"/>
  <c r="M223" i="17" s="1"/>
  <c r="D224" i="17"/>
  <c r="H224" i="17"/>
  <c r="L224" i="17"/>
  <c r="M224" i="17"/>
  <c r="D225" i="17"/>
  <c r="H225" i="17"/>
  <c r="L225" i="17"/>
  <c r="M225" i="17"/>
  <c r="D226" i="17"/>
  <c r="H226" i="17"/>
  <c r="L226" i="17"/>
  <c r="M226" i="17"/>
  <c r="D227" i="17"/>
  <c r="H227" i="17"/>
  <c r="L227" i="17"/>
  <c r="M227" i="17" s="1"/>
  <c r="D228" i="17"/>
  <c r="H228" i="17"/>
  <c r="L228" i="17"/>
  <c r="M228" i="17" s="1"/>
  <c r="D229" i="17"/>
  <c r="H229" i="17"/>
  <c r="L229" i="17"/>
  <c r="M229" i="17" s="1"/>
  <c r="D230" i="17"/>
  <c r="H230" i="17"/>
  <c r="L230" i="17"/>
  <c r="M230" i="17"/>
  <c r="D231" i="17"/>
  <c r="H231" i="17"/>
  <c r="L231" i="17"/>
  <c r="M231" i="17" s="1"/>
  <c r="D232" i="17"/>
  <c r="H232" i="17"/>
  <c r="L232" i="17"/>
  <c r="M232" i="17" s="1"/>
  <c r="D233" i="17"/>
  <c r="H233" i="17"/>
  <c r="L233" i="17"/>
  <c r="M233" i="17" s="1"/>
  <c r="D234" i="17"/>
  <c r="H234" i="17"/>
  <c r="L234" i="17"/>
  <c r="M234" i="17" s="1"/>
  <c r="D235" i="17"/>
  <c r="H235" i="17"/>
  <c r="L235" i="17"/>
  <c r="M235" i="17" s="1"/>
  <c r="D236" i="17"/>
  <c r="H236" i="17"/>
  <c r="L236" i="17"/>
  <c r="M236" i="17" s="1"/>
  <c r="D237" i="17"/>
  <c r="H237" i="17"/>
  <c r="L237" i="17"/>
  <c r="M237" i="17" s="1"/>
  <c r="D238" i="17"/>
  <c r="H238" i="17"/>
  <c r="L238" i="17"/>
  <c r="M238" i="17"/>
  <c r="D239" i="17"/>
  <c r="H239" i="17"/>
  <c r="L239" i="17"/>
  <c r="M239" i="17" s="1"/>
  <c r="D240" i="17"/>
  <c r="H240" i="17"/>
  <c r="L240" i="17"/>
  <c r="M240" i="17" s="1"/>
  <c r="D241" i="17"/>
  <c r="H241" i="17"/>
  <c r="L241" i="17"/>
  <c r="M241" i="17" s="1"/>
  <c r="D242" i="17"/>
  <c r="H242" i="17"/>
  <c r="L242" i="17"/>
  <c r="M242" i="17" s="1"/>
  <c r="D243" i="17"/>
  <c r="H243" i="17"/>
  <c r="L243" i="17"/>
  <c r="M243" i="17" s="1"/>
  <c r="D244" i="17"/>
  <c r="H244" i="17"/>
  <c r="L244" i="17"/>
  <c r="M244" i="17"/>
  <c r="D245" i="17"/>
  <c r="H245" i="17"/>
  <c r="L245" i="17"/>
  <c r="M245" i="17" s="1"/>
  <c r="D246" i="17"/>
  <c r="H246" i="17"/>
  <c r="L246" i="17"/>
  <c r="M246" i="17" s="1"/>
  <c r="D247" i="17"/>
  <c r="H247" i="17"/>
  <c r="L247" i="17"/>
  <c r="M247" i="17" s="1"/>
  <c r="D248" i="17"/>
  <c r="H248" i="17"/>
  <c r="L248" i="17"/>
  <c r="M248" i="17" s="1"/>
  <c r="D249" i="17"/>
  <c r="H249" i="17"/>
  <c r="L249" i="17"/>
  <c r="M249" i="17"/>
  <c r="D250" i="17"/>
  <c r="H250" i="17"/>
  <c r="L250" i="17"/>
  <c r="M250" i="17" s="1"/>
  <c r="D251" i="17"/>
  <c r="H251" i="17"/>
  <c r="L251" i="17"/>
  <c r="M251" i="17"/>
  <c r="O51" i="18" l="1"/>
  <c r="N88" i="18"/>
  <c r="R58" i="18"/>
  <c r="Q95" i="18"/>
  <c r="K54" i="18"/>
  <c r="J91" i="18"/>
  <c r="K79" i="18"/>
  <c r="L42" i="18"/>
  <c r="K45" i="18"/>
  <c r="J82" i="18"/>
  <c r="N43" i="18"/>
  <c r="M80" i="18"/>
  <c r="N50" i="18"/>
  <c r="M87" i="18"/>
  <c r="J59" i="18"/>
  <c r="I96" i="18"/>
  <c r="I115" i="18" s="1"/>
  <c r="N125" i="18" s="1"/>
  <c r="J83" i="18"/>
  <c r="K46" i="18"/>
  <c r="N49" i="18"/>
  <c r="M86" i="18"/>
  <c r="Y47" i="18"/>
  <c r="X84" i="18"/>
  <c r="K78" i="18"/>
  <c r="L41" i="18"/>
  <c r="P44" i="18"/>
  <c r="O81" i="18"/>
  <c r="M55" i="18"/>
  <c r="L92" i="18"/>
  <c r="L53" i="18"/>
  <c r="K90" i="18"/>
  <c r="O48" i="18"/>
  <c r="N85" i="18"/>
  <c r="R57" i="18"/>
  <c r="Q94" i="18"/>
  <c r="O14" i="17"/>
  <c r="O13" i="17"/>
  <c r="O12" i="17"/>
  <c r="K12" i="17"/>
  <c r="I15" i="17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54" i="17" s="1"/>
  <c r="I55" i="17" s="1"/>
  <c r="I56" i="17" s="1"/>
  <c r="I57" i="17" s="1"/>
  <c r="I58" i="17" s="1"/>
  <c r="I59" i="17" s="1"/>
  <c r="I60" i="17" s="1"/>
  <c r="I61" i="17" s="1"/>
  <c r="I62" i="17" s="1"/>
  <c r="I63" i="17" s="1"/>
  <c r="I64" i="17" s="1"/>
  <c r="I65" i="17" s="1"/>
  <c r="I66" i="17" s="1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I84" i="17" s="1"/>
  <c r="I85" i="17" s="1"/>
  <c r="I86" i="17" s="1"/>
  <c r="I87" i="17" s="1"/>
  <c r="I88" i="17" s="1"/>
  <c r="I89" i="17" s="1"/>
  <c r="I90" i="17" s="1"/>
  <c r="I91" i="17" s="1"/>
  <c r="I92" i="17" s="1"/>
  <c r="I93" i="17" s="1"/>
  <c r="I94" i="17" s="1"/>
  <c r="I95" i="17" s="1"/>
  <c r="I96" i="17" s="1"/>
  <c r="I97" i="17" s="1"/>
  <c r="I98" i="17" s="1"/>
  <c r="I99" i="17" s="1"/>
  <c r="I100" i="17" s="1"/>
  <c r="I101" i="17" s="1"/>
  <c r="I102" i="17" s="1"/>
  <c r="I103" i="17" s="1"/>
  <c r="I104" i="17" s="1"/>
  <c r="I105" i="17" s="1"/>
  <c r="I106" i="17" s="1"/>
  <c r="I107" i="17" s="1"/>
  <c r="I108" i="17" s="1"/>
  <c r="I109" i="17" s="1"/>
  <c r="I110" i="17" s="1"/>
  <c r="I111" i="17" s="1"/>
  <c r="I112" i="17" s="1"/>
  <c r="I113" i="17" s="1"/>
  <c r="I114" i="17" s="1"/>
  <c r="I115" i="17" s="1"/>
  <c r="I116" i="17" s="1"/>
  <c r="I117" i="17" s="1"/>
  <c r="I118" i="17" s="1"/>
  <c r="I119" i="17" s="1"/>
  <c r="I120" i="17" s="1"/>
  <c r="I121" i="17" s="1"/>
  <c r="I122" i="17" s="1"/>
  <c r="I123" i="17" s="1"/>
  <c r="I124" i="17" s="1"/>
  <c r="I125" i="17" s="1"/>
  <c r="I126" i="17" s="1"/>
  <c r="I127" i="17" s="1"/>
  <c r="I128" i="17" s="1"/>
  <c r="I129" i="17" s="1"/>
  <c r="I130" i="17" s="1"/>
  <c r="I131" i="17" s="1"/>
  <c r="I132" i="17" s="1"/>
  <c r="I133" i="17" s="1"/>
  <c r="I134" i="17" s="1"/>
  <c r="I135" i="17" s="1"/>
  <c r="I136" i="17" s="1"/>
  <c r="I137" i="17" s="1"/>
  <c r="I138" i="17" s="1"/>
  <c r="I139" i="17" s="1"/>
  <c r="I140" i="17" s="1"/>
  <c r="I141" i="17" s="1"/>
  <c r="I142" i="17" s="1"/>
  <c r="I143" i="17" s="1"/>
  <c r="I144" i="17" s="1"/>
  <c r="I145" i="17" s="1"/>
  <c r="I146" i="17" s="1"/>
  <c r="I147" i="17" s="1"/>
  <c r="I148" i="17" s="1"/>
  <c r="I149" i="17" s="1"/>
  <c r="I150" i="17" s="1"/>
  <c r="I151" i="17" s="1"/>
  <c r="I152" i="17" s="1"/>
  <c r="I153" i="17" s="1"/>
  <c r="I154" i="17" s="1"/>
  <c r="I155" i="17" s="1"/>
  <c r="I156" i="17" s="1"/>
  <c r="I157" i="17" s="1"/>
  <c r="I158" i="17" s="1"/>
  <c r="I159" i="17" s="1"/>
  <c r="I160" i="17" s="1"/>
  <c r="I161" i="17" s="1"/>
  <c r="I162" i="17" s="1"/>
  <c r="I163" i="17" s="1"/>
  <c r="I164" i="17" s="1"/>
  <c r="I165" i="17" s="1"/>
  <c r="I166" i="17" s="1"/>
  <c r="I167" i="17" s="1"/>
  <c r="I168" i="17" s="1"/>
  <c r="I169" i="17" s="1"/>
  <c r="I170" i="17" s="1"/>
  <c r="I171" i="17" s="1"/>
  <c r="I172" i="17" s="1"/>
  <c r="I173" i="17" s="1"/>
  <c r="I174" i="17" s="1"/>
  <c r="I175" i="17" s="1"/>
  <c r="I176" i="17" s="1"/>
  <c r="I177" i="17" s="1"/>
  <c r="I178" i="17" s="1"/>
  <c r="I179" i="17" s="1"/>
  <c r="I180" i="17" s="1"/>
  <c r="I181" i="17" s="1"/>
  <c r="I182" i="17" s="1"/>
  <c r="I183" i="17" s="1"/>
  <c r="I184" i="17" s="1"/>
  <c r="I185" i="17" s="1"/>
  <c r="I186" i="17" s="1"/>
  <c r="I187" i="17" s="1"/>
  <c r="I188" i="17" s="1"/>
  <c r="I189" i="17" s="1"/>
  <c r="I190" i="17" s="1"/>
  <c r="I191" i="17" s="1"/>
  <c r="I192" i="17" s="1"/>
  <c r="I193" i="17" s="1"/>
  <c r="I194" i="17" s="1"/>
  <c r="I195" i="17" s="1"/>
  <c r="I196" i="17" s="1"/>
  <c r="I197" i="17" s="1"/>
  <c r="I198" i="17" s="1"/>
  <c r="I199" i="17" s="1"/>
  <c r="I200" i="17" s="1"/>
  <c r="I201" i="17" s="1"/>
  <c r="I202" i="17" s="1"/>
  <c r="I203" i="17" s="1"/>
  <c r="I204" i="17" s="1"/>
  <c r="I205" i="17" s="1"/>
  <c r="I206" i="17" s="1"/>
  <c r="I207" i="17" s="1"/>
  <c r="I208" i="17" s="1"/>
  <c r="I209" i="17" s="1"/>
  <c r="I210" i="17" s="1"/>
  <c r="I211" i="17" s="1"/>
  <c r="I212" i="17" s="1"/>
  <c r="I213" i="17" s="1"/>
  <c r="I214" i="17" s="1"/>
  <c r="I215" i="17" s="1"/>
  <c r="I216" i="17" s="1"/>
  <c r="I217" i="17" s="1"/>
  <c r="I218" i="17" s="1"/>
  <c r="I219" i="17" s="1"/>
  <c r="I220" i="17" s="1"/>
  <c r="I221" i="17" s="1"/>
  <c r="I222" i="17" s="1"/>
  <c r="I223" i="17" s="1"/>
  <c r="I224" i="17" s="1"/>
  <c r="I225" i="17" s="1"/>
  <c r="I226" i="17" s="1"/>
  <c r="I227" i="17" s="1"/>
  <c r="I228" i="17" s="1"/>
  <c r="I229" i="17" s="1"/>
  <c r="I230" i="17" s="1"/>
  <c r="I231" i="17" s="1"/>
  <c r="I232" i="17" s="1"/>
  <c r="I233" i="17" s="1"/>
  <c r="I234" i="17" s="1"/>
  <c r="I235" i="17" s="1"/>
  <c r="I236" i="17" s="1"/>
  <c r="I237" i="17" s="1"/>
  <c r="I238" i="17" s="1"/>
  <c r="I239" i="17" s="1"/>
  <c r="I240" i="17" s="1"/>
  <c r="I241" i="17" s="1"/>
  <c r="I242" i="17" s="1"/>
  <c r="I243" i="17" s="1"/>
  <c r="I244" i="17" s="1"/>
  <c r="I245" i="17" s="1"/>
  <c r="I246" i="17" s="1"/>
  <c r="I247" i="17" s="1"/>
  <c r="I248" i="17" s="1"/>
  <c r="I249" i="17" s="1"/>
  <c r="I250" i="17" s="1"/>
  <c r="I251" i="17" s="1"/>
  <c r="G14" i="17"/>
  <c r="P13" i="17"/>
  <c r="E13" i="17"/>
  <c r="J12" i="17"/>
  <c r="N15" i="17"/>
  <c r="O15" i="17" s="1"/>
  <c r="Q12" i="17"/>
  <c r="B7" i="15"/>
  <c r="E7" i="15" s="1"/>
  <c r="D7" i="15"/>
  <c r="G7" i="15" s="1"/>
  <c r="H7" i="15" s="1"/>
  <c r="I7" i="15" s="1"/>
  <c r="L7" i="15"/>
  <c r="O7" i="15" s="1"/>
  <c r="N7" i="15"/>
  <c r="Q7" i="15" s="1"/>
  <c r="C8" i="15"/>
  <c r="F8" i="15" s="1"/>
  <c r="D8" i="15"/>
  <c r="M8" i="15"/>
  <c r="N8" i="15"/>
  <c r="P8" i="15"/>
  <c r="B13" i="15"/>
  <c r="E13" i="15" s="1"/>
  <c r="B19" i="15" s="1"/>
  <c r="D13" i="15"/>
  <c r="G13" i="15" s="1"/>
  <c r="K59" i="18" l="1"/>
  <c r="J96" i="18"/>
  <c r="J115" i="18" s="1"/>
  <c r="N126" i="18" s="1"/>
  <c r="L79" i="18"/>
  <c r="M42" i="18"/>
  <c r="M53" i="18"/>
  <c r="L90" i="18"/>
  <c r="L54" i="18"/>
  <c r="K91" i="18"/>
  <c r="N55" i="18"/>
  <c r="M92" i="18"/>
  <c r="O49" i="18"/>
  <c r="N86" i="18"/>
  <c r="O43" i="18"/>
  <c r="N80" i="18"/>
  <c r="L46" i="18"/>
  <c r="K83" i="18"/>
  <c r="E134" i="18"/>
  <c r="R95" i="18"/>
  <c r="P48" i="18"/>
  <c r="O85" i="18"/>
  <c r="O50" i="18"/>
  <c r="N87" i="18"/>
  <c r="S57" i="18"/>
  <c r="R94" i="18"/>
  <c r="Q44" i="18"/>
  <c r="P81" i="18"/>
  <c r="L45" i="18"/>
  <c r="K82" i="18"/>
  <c r="Z47" i="18"/>
  <c r="Y84" i="18"/>
  <c r="L78" i="18"/>
  <c r="M41" i="18"/>
  <c r="P51" i="18"/>
  <c r="O88" i="18"/>
  <c r="Q13" i="17"/>
  <c r="N16" i="17"/>
  <c r="J13" i="17"/>
  <c r="E14" i="17"/>
  <c r="K13" i="17"/>
  <c r="P14" i="17"/>
  <c r="K14" i="17"/>
  <c r="G15" i="17"/>
  <c r="H13" i="15"/>
  <c r="I13" i="15" s="1"/>
  <c r="D19" i="15" s="1"/>
  <c r="Q8" i="15"/>
  <c r="R8" i="15" s="1"/>
  <c r="S8" i="15" s="1"/>
  <c r="D14" i="15"/>
  <c r="G8" i="15"/>
  <c r="H8" i="15" s="1"/>
  <c r="I8" i="15" s="1"/>
  <c r="C14" i="15"/>
  <c r="F14" i="15" s="1"/>
  <c r="C20" i="15" s="1"/>
  <c r="R7" i="15"/>
  <c r="S7" i="15" s="1"/>
  <c r="B9" i="13"/>
  <c r="B10" i="13" s="1"/>
  <c r="B14" i="13" s="1"/>
  <c r="B11" i="13"/>
  <c r="B12" i="13"/>
  <c r="E6" i="12"/>
  <c r="F6" i="12"/>
  <c r="J6" i="12"/>
  <c r="L6" i="12" s="1"/>
  <c r="K6" i="12"/>
  <c r="N6" i="12"/>
  <c r="C7" i="12"/>
  <c r="F7" i="12" s="1"/>
  <c r="D7" i="12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E7" i="12"/>
  <c r="G7" i="12"/>
  <c r="K7" i="12" s="1"/>
  <c r="H7" i="12"/>
  <c r="J7" i="12"/>
  <c r="G8" i="12"/>
  <c r="H8" i="12"/>
  <c r="H9" i="12"/>
  <c r="H10" i="12" s="1"/>
  <c r="H11" i="12" s="1"/>
  <c r="H12" i="12" s="1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N53" i="18" l="1"/>
  <c r="M90" i="18"/>
  <c r="M54" i="18"/>
  <c r="L91" i="18"/>
  <c r="M45" i="18"/>
  <c r="L82" i="18"/>
  <c r="Q48" i="18"/>
  <c r="P85" i="18"/>
  <c r="N42" i="18"/>
  <c r="M79" i="18"/>
  <c r="S94" i="18"/>
  <c r="E135" i="18"/>
  <c r="P43" i="18"/>
  <c r="O80" i="18"/>
  <c r="Q51" i="18"/>
  <c r="P88" i="18"/>
  <c r="P49" i="18"/>
  <c r="O86" i="18"/>
  <c r="R44" i="18"/>
  <c r="Q81" i="18"/>
  <c r="M46" i="18"/>
  <c r="L83" i="18"/>
  <c r="AA47" i="18"/>
  <c r="Z84" i="18"/>
  <c r="P50" i="18"/>
  <c r="O87" i="18"/>
  <c r="N41" i="18"/>
  <c r="M78" i="18"/>
  <c r="R113" i="18"/>
  <c r="F134" i="18" s="1"/>
  <c r="O55" i="18"/>
  <c r="N92" i="18"/>
  <c r="L59" i="18"/>
  <c r="K96" i="18"/>
  <c r="K115" i="18" s="1"/>
  <c r="N127" i="18" s="1"/>
  <c r="Q14" i="17"/>
  <c r="O16" i="17"/>
  <c r="N17" i="17"/>
  <c r="E15" i="17"/>
  <c r="J14" i="17"/>
  <c r="P15" i="17"/>
  <c r="Q15" i="17" s="1"/>
  <c r="G16" i="17"/>
  <c r="K15" i="17"/>
  <c r="G14" i="15"/>
  <c r="H14" i="15" s="1"/>
  <c r="I14" i="15" s="1"/>
  <c r="D20" i="15" s="1"/>
  <c r="N8" i="12"/>
  <c r="J8" i="12"/>
  <c r="K8" i="12"/>
  <c r="G9" i="12"/>
  <c r="O6" i="12"/>
  <c r="E8" i="12"/>
  <c r="C8" i="12"/>
  <c r="M6" i="12"/>
  <c r="I7" i="12" s="1"/>
  <c r="N7" i="12"/>
  <c r="R48" i="18" l="1"/>
  <c r="Q85" i="18"/>
  <c r="M82" i="18"/>
  <c r="N45" i="18"/>
  <c r="N78" i="18"/>
  <c r="O41" i="18"/>
  <c r="R81" i="18"/>
  <c r="S44" i="18"/>
  <c r="N54" i="18"/>
  <c r="M91" i="18"/>
  <c r="AB47" i="18"/>
  <c r="AA84" i="18"/>
  <c r="R51" i="18"/>
  <c r="Q88" i="18"/>
  <c r="N46" i="18"/>
  <c r="M83" i="18"/>
  <c r="P80" i="18"/>
  <c r="Q43" i="18"/>
  <c r="Q50" i="18"/>
  <c r="P87" i="18"/>
  <c r="M59" i="18"/>
  <c r="L96" i="18"/>
  <c r="P55" i="18"/>
  <c r="O92" i="18"/>
  <c r="Q49" i="18"/>
  <c r="P86" i="18"/>
  <c r="N79" i="18"/>
  <c r="O42" i="18"/>
  <c r="O53" i="18"/>
  <c r="N90" i="18"/>
  <c r="J15" i="17"/>
  <c r="E16" i="17"/>
  <c r="K16" i="17" s="1"/>
  <c r="G17" i="17"/>
  <c r="P16" i="17"/>
  <c r="Q16" i="17" s="1"/>
  <c r="O17" i="17"/>
  <c r="N18" i="17"/>
  <c r="E9" i="12"/>
  <c r="K9" i="12"/>
  <c r="G10" i="12"/>
  <c r="N9" i="12"/>
  <c r="J9" i="12"/>
  <c r="F8" i="12"/>
  <c r="C9" i="12"/>
  <c r="M7" i="12"/>
  <c r="I8" i="12" s="1"/>
  <c r="L7" i="12"/>
  <c r="O7" i="12" s="1"/>
  <c r="O78" i="18" l="1"/>
  <c r="P41" i="18"/>
  <c r="N59" i="18"/>
  <c r="M96" i="18"/>
  <c r="R49" i="18"/>
  <c r="Q86" i="18"/>
  <c r="N82" i="18"/>
  <c r="O45" i="18"/>
  <c r="O79" i="18"/>
  <c r="P42" i="18"/>
  <c r="S51" i="18"/>
  <c r="R88" i="18"/>
  <c r="Q55" i="18"/>
  <c r="P92" i="18"/>
  <c r="P53" i="18"/>
  <c r="O90" i="18"/>
  <c r="S81" i="18"/>
  <c r="T44" i="18"/>
  <c r="O46" i="18"/>
  <c r="N83" i="18"/>
  <c r="L114" i="18"/>
  <c r="J128" i="18" s="1"/>
  <c r="L115" i="18"/>
  <c r="N128" i="18" s="1"/>
  <c r="R50" i="18"/>
  <c r="Q87" i="18"/>
  <c r="AC47" i="18"/>
  <c r="AC84" i="18" s="1"/>
  <c r="AB84" i="18"/>
  <c r="Q80" i="18"/>
  <c r="R43" i="18"/>
  <c r="O54" i="18"/>
  <c r="N91" i="18"/>
  <c r="S48" i="18"/>
  <c r="R85" i="18"/>
  <c r="G18" i="17"/>
  <c r="P17" i="17"/>
  <c r="O18" i="17"/>
  <c r="N19" i="17"/>
  <c r="J16" i="17"/>
  <c r="E17" i="17"/>
  <c r="K17" i="17" s="1"/>
  <c r="G11" i="12"/>
  <c r="N10" i="12"/>
  <c r="J10" i="12"/>
  <c r="K10" i="12"/>
  <c r="F9" i="12"/>
  <c r="C10" i="12"/>
  <c r="L8" i="12"/>
  <c r="O8" i="12" s="1"/>
  <c r="M8" i="12"/>
  <c r="I9" i="12" s="1"/>
  <c r="E10" i="12"/>
  <c r="AI4" i="8"/>
  <c r="AI5" i="8"/>
  <c r="AI6" i="8"/>
  <c r="AI7" i="8"/>
  <c r="AI8" i="8"/>
  <c r="AI9" i="8"/>
  <c r="AI10" i="8"/>
  <c r="AI11" i="8"/>
  <c r="AI36" i="8" s="1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H6" i="7"/>
  <c r="H7" i="7"/>
  <c r="H8" i="7"/>
  <c r="H9" i="7"/>
  <c r="H10" i="7"/>
  <c r="H15" i="7" s="1"/>
  <c r="I10" i="7"/>
  <c r="I11" i="7"/>
  <c r="J11" i="7"/>
  <c r="K11" i="7"/>
  <c r="H13" i="7"/>
  <c r="H14" i="7" s="1"/>
  <c r="P45" i="18" l="1"/>
  <c r="O82" i="18"/>
  <c r="S49" i="18"/>
  <c r="R86" i="18"/>
  <c r="R55" i="18"/>
  <c r="Q92" i="18"/>
  <c r="P46" i="18"/>
  <c r="O83" i="18"/>
  <c r="M114" i="18"/>
  <c r="J129" i="18" s="1"/>
  <c r="M115" i="18"/>
  <c r="N129" i="18" s="1"/>
  <c r="Q53" i="18"/>
  <c r="P90" i="18"/>
  <c r="P54" i="18"/>
  <c r="O91" i="18"/>
  <c r="R80" i="18"/>
  <c r="S43" i="18"/>
  <c r="T81" i="18"/>
  <c r="U44" i="18"/>
  <c r="T51" i="18"/>
  <c r="S88" i="18"/>
  <c r="O59" i="18"/>
  <c r="N96" i="18"/>
  <c r="N114" i="18" s="1"/>
  <c r="J130" i="18" s="1"/>
  <c r="P79" i="18"/>
  <c r="Q42" i="18"/>
  <c r="P78" i="18"/>
  <c r="Q41" i="18"/>
  <c r="T48" i="18"/>
  <c r="S85" i="18"/>
  <c r="S50" i="18"/>
  <c r="R87" i="18"/>
  <c r="J17" i="17"/>
  <c r="E18" i="17"/>
  <c r="O19" i="17"/>
  <c r="N20" i="17"/>
  <c r="Q17" i="17"/>
  <c r="K18" i="17"/>
  <c r="P18" i="17"/>
  <c r="Q18" i="17" s="1"/>
  <c r="G19" i="17"/>
  <c r="F10" i="12"/>
  <c r="C11" i="12"/>
  <c r="J11" i="12"/>
  <c r="K11" i="12"/>
  <c r="G12" i="12"/>
  <c r="N11" i="12"/>
  <c r="E11" i="12"/>
  <c r="L9" i="12"/>
  <c r="O9" i="12" s="1"/>
  <c r="M9" i="12"/>
  <c r="I10" i="12" s="1"/>
  <c r="H16" i="7"/>
  <c r="T43" i="18" l="1"/>
  <c r="S80" i="18"/>
  <c r="T50" i="18"/>
  <c r="S87" i="18"/>
  <c r="Q46" i="18"/>
  <c r="P83" i="18"/>
  <c r="U48" i="18"/>
  <c r="T85" i="18"/>
  <c r="Q79" i="18"/>
  <c r="R42" i="18"/>
  <c r="P59" i="18"/>
  <c r="O96" i="18"/>
  <c r="Q54" i="18"/>
  <c r="P91" i="18"/>
  <c r="S55" i="18"/>
  <c r="R92" i="18"/>
  <c r="N115" i="18"/>
  <c r="N130" i="18" s="1"/>
  <c r="U51" i="18"/>
  <c r="T88" i="18"/>
  <c r="R53" i="18"/>
  <c r="Q90" i="18"/>
  <c r="T49" i="18"/>
  <c r="S86" i="18"/>
  <c r="Q78" i="18"/>
  <c r="R41" i="18"/>
  <c r="V44" i="18"/>
  <c r="U81" i="18"/>
  <c r="Q45" i="18"/>
  <c r="P82" i="18"/>
  <c r="O20" i="17"/>
  <c r="N21" i="17"/>
  <c r="E19" i="17"/>
  <c r="J18" i="17"/>
  <c r="G20" i="17"/>
  <c r="P19" i="17"/>
  <c r="Q19" i="17" s="1"/>
  <c r="K19" i="17"/>
  <c r="L10" i="12"/>
  <c r="O10" i="12" s="1"/>
  <c r="M10" i="12"/>
  <c r="I11" i="12" s="1"/>
  <c r="J12" i="12"/>
  <c r="G13" i="12"/>
  <c r="N12" i="12"/>
  <c r="K12" i="12"/>
  <c r="F11" i="12"/>
  <c r="C12" i="12"/>
  <c r="E12" i="12"/>
  <c r="H54" i="5"/>
  <c r="H55" i="5"/>
  <c r="H56" i="5"/>
  <c r="H57" i="5"/>
  <c r="H58" i="5"/>
  <c r="H53" i="5"/>
  <c r="I58" i="5"/>
  <c r="J58" i="5" s="1"/>
  <c r="F82" i="5" s="1"/>
  <c r="I57" i="5"/>
  <c r="I56" i="5"/>
  <c r="I55" i="5"/>
  <c r="I54" i="5"/>
  <c r="I53" i="5"/>
  <c r="G5" i="5"/>
  <c r="H5" i="5" s="1"/>
  <c r="G58" i="5"/>
  <c r="G57" i="5"/>
  <c r="G56" i="5"/>
  <c r="J56" i="5" s="1"/>
  <c r="F80" i="5" s="1"/>
  <c r="G55" i="5"/>
  <c r="J55" i="5" s="1"/>
  <c r="F79" i="5" s="1"/>
  <c r="G54" i="5"/>
  <c r="J54" i="5" s="1"/>
  <c r="F78" i="5" s="1"/>
  <c r="G53" i="5"/>
  <c r="E83" i="5"/>
  <c r="F24" i="5"/>
  <c r="F11" i="5"/>
  <c r="G19" i="5"/>
  <c r="H19" i="5" s="1"/>
  <c r="J19" i="5" s="1"/>
  <c r="G20" i="5"/>
  <c r="H20" i="5" s="1"/>
  <c r="J20" i="5" s="1"/>
  <c r="G21" i="5"/>
  <c r="H21" i="5" s="1"/>
  <c r="J21" i="5" s="1"/>
  <c r="G22" i="5"/>
  <c r="H22" i="5" s="1"/>
  <c r="J22" i="5" s="1"/>
  <c r="G23" i="5"/>
  <c r="H23" i="5" s="1"/>
  <c r="J23" i="5" s="1"/>
  <c r="G18" i="5"/>
  <c r="H18" i="5" s="1"/>
  <c r="G6" i="5"/>
  <c r="H6" i="5" s="1"/>
  <c r="G7" i="5"/>
  <c r="H7" i="5" s="1"/>
  <c r="G8" i="5"/>
  <c r="J8" i="5" s="1"/>
  <c r="G9" i="5"/>
  <c r="H9" i="5" s="1"/>
  <c r="G10" i="5"/>
  <c r="J10" i="5" s="1"/>
  <c r="O113" i="18" l="1"/>
  <c r="F131" i="18" s="1"/>
  <c r="O114" i="18"/>
  <c r="J131" i="18" s="1"/>
  <c r="V51" i="18"/>
  <c r="U88" i="18"/>
  <c r="S42" i="18"/>
  <c r="R79" i="18"/>
  <c r="R45" i="18"/>
  <c r="Q82" i="18"/>
  <c r="R46" i="18"/>
  <c r="Q83" i="18"/>
  <c r="U50" i="18"/>
  <c r="T87" i="18"/>
  <c r="R54" i="18"/>
  <c r="Q91" i="18"/>
  <c r="S53" i="18"/>
  <c r="R90" i="18"/>
  <c r="V81" i="18"/>
  <c r="W44" i="18"/>
  <c r="U43" i="18"/>
  <c r="T80" i="18"/>
  <c r="V48" i="18"/>
  <c r="U85" i="18"/>
  <c r="Q59" i="18"/>
  <c r="P96" i="18"/>
  <c r="S41" i="18"/>
  <c r="R78" i="18"/>
  <c r="T55" i="18"/>
  <c r="S92" i="18"/>
  <c r="S113" i="18" s="1"/>
  <c r="F135" i="18" s="1"/>
  <c r="U49" i="18"/>
  <c r="T86" i="18"/>
  <c r="O115" i="18"/>
  <c r="N131" i="18" s="1"/>
  <c r="O21" i="17"/>
  <c r="N22" i="17"/>
  <c r="G21" i="17"/>
  <c r="P20" i="17"/>
  <c r="E20" i="17"/>
  <c r="J19" i="17"/>
  <c r="F12" i="12"/>
  <c r="C13" i="12"/>
  <c r="J13" i="12"/>
  <c r="K13" i="12"/>
  <c r="G14" i="12"/>
  <c r="N13" i="12"/>
  <c r="E13" i="12"/>
  <c r="L11" i="12"/>
  <c r="O11" i="12" s="1"/>
  <c r="M11" i="12"/>
  <c r="I12" i="12" s="1"/>
  <c r="J57" i="5"/>
  <c r="F81" i="5" s="1"/>
  <c r="J53" i="5"/>
  <c r="F77" i="5" s="1"/>
  <c r="H10" i="5"/>
  <c r="J5" i="5"/>
  <c r="J9" i="5"/>
  <c r="H24" i="5"/>
  <c r="J18" i="5"/>
  <c r="J24" i="5" s="1"/>
  <c r="J7" i="5"/>
  <c r="H8" i="5"/>
  <c r="J6" i="5"/>
  <c r="S45" i="18" l="1"/>
  <c r="R82" i="18"/>
  <c r="V49" i="18"/>
  <c r="U86" i="18"/>
  <c r="W48" i="18"/>
  <c r="V85" i="18"/>
  <c r="U55" i="18"/>
  <c r="T92" i="18"/>
  <c r="X44" i="18"/>
  <c r="W81" i="18"/>
  <c r="V50" i="18"/>
  <c r="U87" i="18"/>
  <c r="W51" i="18"/>
  <c r="V88" i="18"/>
  <c r="V43" i="18"/>
  <c r="U80" i="18"/>
  <c r="S79" i="18"/>
  <c r="T42" i="18"/>
  <c r="Q114" i="18"/>
  <c r="J133" i="18" s="1"/>
  <c r="S54" i="18"/>
  <c r="R91" i="18"/>
  <c r="S78" i="18"/>
  <c r="T41" i="18"/>
  <c r="P113" i="18"/>
  <c r="F132" i="18" s="1"/>
  <c r="P114" i="18"/>
  <c r="J132" i="18" s="1"/>
  <c r="P115" i="18"/>
  <c r="N132" i="18" s="1"/>
  <c r="E133" i="18"/>
  <c r="Q96" i="18"/>
  <c r="R114" i="18"/>
  <c r="J134" i="18" s="1"/>
  <c r="R115" i="18"/>
  <c r="N134" i="18" s="1"/>
  <c r="T53" i="18"/>
  <c r="S90" i="18"/>
  <c r="S46" i="18"/>
  <c r="R83" i="18"/>
  <c r="E21" i="17"/>
  <c r="J20" i="17"/>
  <c r="K20" i="17"/>
  <c r="O22" i="17"/>
  <c r="N23" i="17"/>
  <c r="Q20" i="17"/>
  <c r="G22" i="17"/>
  <c r="P21" i="17"/>
  <c r="K21" i="17"/>
  <c r="E14" i="12"/>
  <c r="L12" i="12"/>
  <c r="O12" i="12" s="1"/>
  <c r="M12" i="12"/>
  <c r="I13" i="12" s="1"/>
  <c r="C14" i="12"/>
  <c r="F13" i="12"/>
  <c r="J14" i="12"/>
  <c r="K14" i="12"/>
  <c r="G15" i="12"/>
  <c r="N14" i="12"/>
  <c r="J11" i="5"/>
  <c r="H11" i="5"/>
  <c r="L11" i="5" s="1"/>
  <c r="W43" i="18" l="1"/>
  <c r="V80" i="18"/>
  <c r="W49" i="18"/>
  <c r="V86" i="18"/>
  <c r="X51" i="18"/>
  <c r="W88" i="18"/>
  <c r="T54" i="18"/>
  <c r="S91" i="18"/>
  <c r="S114" i="18" s="1"/>
  <c r="J135" i="18" s="1"/>
  <c r="T79" i="18"/>
  <c r="U42" i="18"/>
  <c r="T78" i="18"/>
  <c r="U41" i="18"/>
  <c r="U92" i="18"/>
  <c r="E137" i="18"/>
  <c r="Y44" i="18"/>
  <c r="X81" i="18"/>
  <c r="T45" i="18"/>
  <c r="S82" i="18"/>
  <c r="X48" i="18"/>
  <c r="W85" i="18"/>
  <c r="Q113" i="18"/>
  <c r="F133" i="18" s="1"/>
  <c r="Q115" i="18"/>
  <c r="N133" i="18" s="1"/>
  <c r="W50" i="18"/>
  <c r="V87" i="18"/>
  <c r="T46" i="18"/>
  <c r="S83" i="18"/>
  <c r="S115" i="18"/>
  <c r="N135" i="18" s="1"/>
  <c r="U53" i="18"/>
  <c r="T90" i="18"/>
  <c r="Q21" i="17"/>
  <c r="P22" i="17"/>
  <c r="G23" i="17"/>
  <c r="J21" i="17"/>
  <c r="E22" i="17"/>
  <c r="K22" i="17" s="1"/>
  <c r="O23" i="17"/>
  <c r="N24" i="17"/>
  <c r="C15" i="12"/>
  <c r="F14" i="12"/>
  <c r="M13" i="12"/>
  <c r="I14" i="12" s="1"/>
  <c r="L13" i="12"/>
  <c r="O13" i="12" s="1"/>
  <c r="E15" i="12"/>
  <c r="K15" i="12"/>
  <c r="N15" i="12"/>
  <c r="J15" i="12"/>
  <c r="G16" i="12"/>
  <c r="L17" i="5"/>
  <c r="L19" i="5" s="1"/>
  <c r="L16" i="5"/>
  <c r="E66" i="5" s="1"/>
  <c r="U54" i="18" l="1"/>
  <c r="T91" i="18"/>
  <c r="T113" i="18" s="1"/>
  <c r="F136" i="18" s="1"/>
  <c r="Y51" i="18"/>
  <c r="Y88" i="18" s="1"/>
  <c r="X88" i="18"/>
  <c r="U46" i="18"/>
  <c r="T83" i="18"/>
  <c r="X49" i="18"/>
  <c r="W86" i="18"/>
  <c r="T114" i="18"/>
  <c r="J136" i="18" s="1"/>
  <c r="T115" i="18"/>
  <c r="N136" i="18" s="1"/>
  <c r="U45" i="18"/>
  <c r="T82" i="18"/>
  <c r="V42" i="18"/>
  <c r="U79" i="18"/>
  <c r="Z44" i="18"/>
  <c r="Y81" i="18"/>
  <c r="Y48" i="18"/>
  <c r="X85" i="18"/>
  <c r="V41" i="18"/>
  <c r="U78" i="18"/>
  <c r="X50" i="18"/>
  <c r="W87" i="18"/>
  <c r="V53" i="18"/>
  <c r="U90" i="18"/>
  <c r="X43" i="18"/>
  <c r="W80" i="18"/>
  <c r="Q22" i="17"/>
  <c r="O24" i="17"/>
  <c r="N25" i="17"/>
  <c r="E23" i="17"/>
  <c r="J22" i="17"/>
  <c r="P23" i="17"/>
  <c r="Q23" i="17" s="1"/>
  <c r="G24" i="17"/>
  <c r="K23" i="17"/>
  <c r="L14" i="12"/>
  <c r="O14" i="12" s="1"/>
  <c r="M14" i="12"/>
  <c r="I15" i="12" s="1"/>
  <c r="E16" i="12"/>
  <c r="F15" i="12"/>
  <c r="C16" i="12"/>
  <c r="N16" i="12"/>
  <c r="J16" i="12"/>
  <c r="K16" i="12"/>
  <c r="G17" i="12"/>
  <c r="E67" i="5"/>
  <c r="F66" i="5"/>
  <c r="Z48" i="18" l="1"/>
  <c r="Y85" i="18"/>
  <c r="V79" i="18"/>
  <c r="W42" i="18"/>
  <c r="U113" i="18"/>
  <c r="F137" i="18" s="1"/>
  <c r="U115" i="18"/>
  <c r="N137" i="18" s="1"/>
  <c r="U114" i="18"/>
  <c r="J137" i="18" s="1"/>
  <c r="W53" i="18"/>
  <c r="W90" i="18" s="1"/>
  <c r="V90" i="18"/>
  <c r="V45" i="18"/>
  <c r="U82" i="18"/>
  <c r="Y50" i="18"/>
  <c r="X87" i="18"/>
  <c r="X113" i="18" s="1"/>
  <c r="V46" i="18"/>
  <c r="U83" i="18"/>
  <c r="X80" i="18"/>
  <c r="Y43" i="18"/>
  <c r="V78" i="18"/>
  <c r="W41" i="18"/>
  <c r="Z81" i="18"/>
  <c r="AA44" i="18"/>
  <c r="Y49" i="18"/>
  <c r="X86" i="18"/>
  <c r="X114" i="18" s="1"/>
  <c r="V54" i="18"/>
  <c r="U91" i="18"/>
  <c r="G25" i="17"/>
  <c r="P24" i="17"/>
  <c r="J23" i="17"/>
  <c r="E24" i="17"/>
  <c r="K24" i="17" s="1"/>
  <c r="O25" i="17"/>
  <c r="N26" i="17"/>
  <c r="F16" i="12"/>
  <c r="C17" i="12"/>
  <c r="E17" i="12"/>
  <c r="K17" i="12"/>
  <c r="G18" i="12"/>
  <c r="N17" i="12"/>
  <c r="J17" i="12"/>
  <c r="M15" i="12"/>
  <c r="I16" i="12" s="1"/>
  <c r="L15" i="12"/>
  <c r="O15" i="12" s="1"/>
  <c r="G66" i="5"/>
  <c r="H66" i="5"/>
  <c r="I66" i="5"/>
  <c r="J66" i="5" s="1"/>
  <c r="E68" i="5"/>
  <c r="F67" i="5"/>
  <c r="Z49" i="18" l="1"/>
  <c r="Y86" i="18"/>
  <c r="AA81" i="18"/>
  <c r="AB44" i="18"/>
  <c r="W79" i="18"/>
  <c r="X42" i="18"/>
  <c r="W78" i="18"/>
  <c r="X41" i="18"/>
  <c r="V82" i="18"/>
  <c r="W45" i="18"/>
  <c r="Z50" i="18"/>
  <c r="Z87" i="18" s="1"/>
  <c r="Y87" i="18"/>
  <c r="Y80" i="18"/>
  <c r="Z43" i="18"/>
  <c r="AA48" i="18"/>
  <c r="Z85" i="18"/>
  <c r="W46" i="18"/>
  <c r="V83" i="18"/>
  <c r="V114" i="18"/>
  <c r="J138" i="18" s="1"/>
  <c r="K137" i="18" s="1"/>
  <c r="V91" i="18"/>
  <c r="V113" i="18" s="1"/>
  <c r="F138" i="18" s="1"/>
  <c r="G137" i="18" s="1"/>
  <c r="E138" i="18"/>
  <c r="W114" i="18"/>
  <c r="W113" i="18"/>
  <c r="G26" i="17"/>
  <c r="P25" i="17"/>
  <c r="O26" i="17"/>
  <c r="N27" i="17"/>
  <c r="J24" i="17"/>
  <c r="E25" i="17"/>
  <c r="K25" i="17" s="1"/>
  <c r="Q24" i="17"/>
  <c r="E18" i="12"/>
  <c r="F17" i="12"/>
  <c r="C18" i="12"/>
  <c r="G19" i="12"/>
  <c r="N18" i="12"/>
  <c r="K18" i="12"/>
  <c r="J18" i="12"/>
  <c r="L16" i="12"/>
  <c r="O16" i="12" s="1"/>
  <c r="M16" i="12"/>
  <c r="I17" i="12" s="1"/>
  <c r="G77" i="5"/>
  <c r="H77" i="5"/>
  <c r="I67" i="5"/>
  <c r="G67" i="5"/>
  <c r="H67" i="5"/>
  <c r="E69" i="5"/>
  <c r="F68" i="5"/>
  <c r="G136" i="18" l="1"/>
  <c r="H137" i="18"/>
  <c r="I137" i="18" s="1"/>
  <c r="E160" i="18" s="1"/>
  <c r="K136" i="18"/>
  <c r="L137" i="18"/>
  <c r="M137" i="18" s="1"/>
  <c r="F160" i="18" s="1"/>
  <c r="Z113" i="18"/>
  <c r="P138" i="18"/>
  <c r="Q138" i="18" s="1"/>
  <c r="G161" i="18" s="1"/>
  <c r="H138" i="18"/>
  <c r="I138" i="18" s="1"/>
  <c r="E161" i="18" s="1"/>
  <c r="L138" i="18"/>
  <c r="M138" i="18" s="1"/>
  <c r="F161" i="18" s="1"/>
  <c r="Z80" i="18"/>
  <c r="AA43" i="18"/>
  <c r="AC44" i="18"/>
  <c r="AB81" i="18"/>
  <c r="V115" i="18"/>
  <c r="N138" i="18" s="1"/>
  <c r="O137" i="18" s="1"/>
  <c r="Y113" i="18"/>
  <c r="X78" i="18"/>
  <c r="Y41" i="18"/>
  <c r="AB48" i="18"/>
  <c r="AB85" i="18" s="1"/>
  <c r="AA85" i="18"/>
  <c r="AA113" i="18" s="1"/>
  <c r="X79" i="18"/>
  <c r="Y42" i="18"/>
  <c r="X45" i="18"/>
  <c r="W82" i="18"/>
  <c r="W115" i="18" s="1"/>
  <c r="X46" i="18"/>
  <c r="W83" i="18"/>
  <c r="AA49" i="18"/>
  <c r="AA86" i="18" s="1"/>
  <c r="Z86" i="18"/>
  <c r="Q25" i="17"/>
  <c r="P26" i="17"/>
  <c r="G27" i="17"/>
  <c r="J25" i="17"/>
  <c r="E26" i="17"/>
  <c r="K26" i="17" s="1"/>
  <c r="O27" i="17"/>
  <c r="N28" i="17"/>
  <c r="J19" i="12"/>
  <c r="K19" i="12"/>
  <c r="G20" i="12"/>
  <c r="N19" i="12"/>
  <c r="F18" i="12"/>
  <c r="C19" i="12"/>
  <c r="E19" i="12"/>
  <c r="L17" i="12"/>
  <c r="O17" i="12" s="1"/>
  <c r="M17" i="12"/>
  <c r="I18" i="12" s="1"/>
  <c r="J67" i="5"/>
  <c r="G78" i="5"/>
  <c r="H78" i="5"/>
  <c r="I68" i="5"/>
  <c r="G68" i="5"/>
  <c r="H68" i="5"/>
  <c r="E70" i="5"/>
  <c r="F69" i="5"/>
  <c r="Y45" i="18" l="1"/>
  <c r="X82" i="18"/>
  <c r="AB43" i="18"/>
  <c r="AA80" i="18"/>
  <c r="K135" i="18"/>
  <c r="L136" i="18"/>
  <c r="M136" i="18" s="1"/>
  <c r="F159" i="18" s="1"/>
  <c r="O136" i="18"/>
  <c r="P137" i="18"/>
  <c r="Q137" i="18" s="1"/>
  <c r="G160" i="18" s="1"/>
  <c r="Y79" i="18"/>
  <c r="Z42" i="18"/>
  <c r="AD44" i="18"/>
  <c r="AC81" i="18"/>
  <c r="Y78" i="18"/>
  <c r="Z41" i="18"/>
  <c r="Y46" i="18"/>
  <c r="X83" i="18"/>
  <c r="G135" i="18"/>
  <c r="H136" i="18"/>
  <c r="I136" i="18" s="1"/>
  <c r="E159" i="18" s="1"/>
  <c r="Q26" i="17"/>
  <c r="O28" i="17"/>
  <c r="N29" i="17"/>
  <c r="G28" i="17"/>
  <c r="P27" i="17"/>
  <c r="E27" i="17"/>
  <c r="J26" i="17"/>
  <c r="J20" i="12"/>
  <c r="G21" i="12"/>
  <c r="N20" i="12"/>
  <c r="K20" i="12"/>
  <c r="F19" i="12"/>
  <c r="C20" i="12"/>
  <c r="L18" i="12"/>
  <c r="O18" i="12" s="1"/>
  <c r="M18" i="12"/>
  <c r="I19" i="12" s="1"/>
  <c r="E20" i="12"/>
  <c r="J68" i="5"/>
  <c r="H79" i="5"/>
  <c r="G79" i="5"/>
  <c r="H69" i="5"/>
  <c r="I69" i="5"/>
  <c r="G69" i="5"/>
  <c r="J69" i="5" s="1"/>
  <c r="E71" i="5"/>
  <c r="F71" i="5" s="1"/>
  <c r="F70" i="5"/>
  <c r="Z46" i="18" l="1"/>
  <c r="Y83" i="18"/>
  <c r="Y114" i="18" s="1"/>
  <c r="AA41" i="18"/>
  <c r="Z78" i="18"/>
  <c r="K134" i="18"/>
  <c r="L135" i="18"/>
  <c r="M135" i="18" s="1"/>
  <c r="F158" i="18" s="1"/>
  <c r="AD81" i="18"/>
  <c r="AE44" i="18"/>
  <c r="AB80" i="18"/>
  <c r="AC43" i="18"/>
  <c r="O135" i="18"/>
  <c r="P136" i="18"/>
  <c r="Q136" i="18" s="1"/>
  <c r="G159" i="18" s="1"/>
  <c r="X115" i="18"/>
  <c r="AA42" i="18"/>
  <c r="Z79" i="18"/>
  <c r="G134" i="18"/>
  <c r="H135" i="18"/>
  <c r="I135" i="18" s="1"/>
  <c r="E158" i="18" s="1"/>
  <c r="Y82" i="18"/>
  <c r="Y115" i="18" s="1"/>
  <c r="Z45" i="18"/>
  <c r="G29" i="17"/>
  <c r="P28" i="17"/>
  <c r="O29" i="17"/>
  <c r="N30" i="17"/>
  <c r="E28" i="17"/>
  <c r="J27" i="17"/>
  <c r="K27" i="17"/>
  <c r="Q27" i="17"/>
  <c r="L19" i="12"/>
  <c r="O19" i="12" s="1"/>
  <c r="M19" i="12"/>
  <c r="I20" i="12" s="1"/>
  <c r="F20" i="12"/>
  <c r="C21" i="12"/>
  <c r="E21" i="12"/>
  <c r="J21" i="12"/>
  <c r="K21" i="12"/>
  <c r="G22" i="12"/>
  <c r="N21" i="12"/>
  <c r="G80" i="5"/>
  <c r="H80" i="5"/>
  <c r="H70" i="5"/>
  <c r="I70" i="5"/>
  <c r="G70" i="5"/>
  <c r="J70" i="5" s="1"/>
  <c r="H71" i="5"/>
  <c r="I71" i="5"/>
  <c r="G71" i="5"/>
  <c r="AF44" i="18" l="1"/>
  <c r="AF81" i="18" s="1"/>
  <c r="AE81" i="18"/>
  <c r="AA78" i="18"/>
  <c r="AB41" i="18"/>
  <c r="AD43" i="18"/>
  <c r="AC80" i="18"/>
  <c r="G133" i="18"/>
  <c r="H134" i="18"/>
  <c r="I134" i="18" s="1"/>
  <c r="E157" i="18" s="1"/>
  <c r="AA79" i="18"/>
  <c r="AB42" i="18"/>
  <c r="K133" i="18"/>
  <c r="L134" i="18"/>
  <c r="M134" i="18" s="1"/>
  <c r="F157" i="18" s="1"/>
  <c r="AA45" i="18"/>
  <c r="Z82" i="18"/>
  <c r="Z114" i="18" s="1"/>
  <c r="O134" i="18"/>
  <c r="P135" i="18"/>
  <c r="Q135" i="18" s="1"/>
  <c r="G158" i="18" s="1"/>
  <c r="AA46" i="18"/>
  <c r="Z83" i="18"/>
  <c r="E29" i="17"/>
  <c r="J28" i="17"/>
  <c r="Q28" i="17"/>
  <c r="K28" i="17"/>
  <c r="O30" i="17"/>
  <c r="N31" i="17"/>
  <c r="G30" i="17"/>
  <c r="P29" i="17"/>
  <c r="Q29" i="17" s="1"/>
  <c r="K29" i="17"/>
  <c r="E22" i="12"/>
  <c r="L20" i="12"/>
  <c r="O20" i="12" s="1"/>
  <c r="M20" i="12"/>
  <c r="I21" i="12" s="1"/>
  <c r="C22" i="12"/>
  <c r="F21" i="12"/>
  <c r="J22" i="12"/>
  <c r="K22" i="12"/>
  <c r="G23" i="12"/>
  <c r="N22" i="12"/>
  <c r="J71" i="5"/>
  <c r="G82" i="5"/>
  <c r="H82" i="5"/>
  <c r="H81" i="5"/>
  <c r="H83" i="5" s="1"/>
  <c r="G81" i="5"/>
  <c r="AB78" i="18" l="1"/>
  <c r="AC41" i="18"/>
  <c r="AC42" i="18"/>
  <c r="AB79" i="18"/>
  <c r="AB45" i="18"/>
  <c r="AA82" i="18"/>
  <c r="AA114" i="18" s="1"/>
  <c r="K132" i="18"/>
  <c r="L133" i="18"/>
  <c r="M133" i="18" s="1"/>
  <c r="F156" i="18" s="1"/>
  <c r="G132" i="18"/>
  <c r="H133" i="18"/>
  <c r="I133" i="18" s="1"/>
  <c r="E156" i="18" s="1"/>
  <c r="AE43" i="18"/>
  <c r="AD80" i="18"/>
  <c r="AB46" i="18"/>
  <c r="AA83" i="18"/>
  <c r="O133" i="18"/>
  <c r="P134" i="18"/>
  <c r="Q134" i="18" s="1"/>
  <c r="G157" i="18" s="1"/>
  <c r="Z115" i="18"/>
  <c r="O31" i="17"/>
  <c r="N32" i="17"/>
  <c r="P30" i="17"/>
  <c r="G31" i="17"/>
  <c r="J29" i="17"/>
  <c r="E30" i="17"/>
  <c r="C23" i="12"/>
  <c r="F22" i="12"/>
  <c r="M21" i="12"/>
  <c r="I22" i="12" s="1"/>
  <c r="L21" i="12"/>
  <c r="O21" i="12" s="1"/>
  <c r="E23" i="12"/>
  <c r="K23" i="12"/>
  <c r="N23" i="12"/>
  <c r="J23" i="12"/>
  <c r="G24" i="12"/>
  <c r="O132" i="18" l="1"/>
  <c r="P133" i="18"/>
  <c r="Q133" i="18" s="1"/>
  <c r="G156" i="18" s="1"/>
  <c r="K131" i="18"/>
  <c r="L132" i="18"/>
  <c r="M132" i="18" s="1"/>
  <c r="F155" i="18" s="1"/>
  <c r="AC45" i="18"/>
  <c r="AB82" i="18"/>
  <c r="AB114" i="18" s="1"/>
  <c r="AF43" i="18"/>
  <c r="AE80" i="18"/>
  <c r="AD42" i="18"/>
  <c r="AC79" i="18"/>
  <c r="AC46" i="18"/>
  <c r="AB83" i="18"/>
  <c r="AB113" i="18" s="1"/>
  <c r="AA115" i="18"/>
  <c r="G131" i="18"/>
  <c r="H132" i="18"/>
  <c r="I132" i="18" s="1"/>
  <c r="E155" i="18" s="1"/>
  <c r="AD41" i="18"/>
  <c r="AC78" i="18"/>
  <c r="E31" i="17"/>
  <c r="J30" i="17"/>
  <c r="K30" i="17"/>
  <c r="P31" i="17"/>
  <c r="Q31" i="17" s="1"/>
  <c r="K31" i="17"/>
  <c r="G32" i="17"/>
  <c r="O32" i="17"/>
  <c r="N33" i="17"/>
  <c r="Q30" i="17"/>
  <c r="L22" i="12"/>
  <c r="O22" i="12" s="1"/>
  <c r="M22" i="12"/>
  <c r="I23" i="12" s="1"/>
  <c r="E24" i="12"/>
  <c r="N24" i="12"/>
  <c r="J24" i="12"/>
  <c r="K24" i="12"/>
  <c r="G25" i="12"/>
  <c r="F23" i="12"/>
  <c r="C24" i="12"/>
  <c r="AD78" i="18" l="1"/>
  <c r="AE41" i="18"/>
  <c r="K130" i="18"/>
  <c r="L131" i="18"/>
  <c r="M131" i="18" s="1"/>
  <c r="F154" i="18" s="1"/>
  <c r="G130" i="18"/>
  <c r="H131" i="18"/>
  <c r="I131" i="18" s="1"/>
  <c r="E154" i="18" s="1"/>
  <c r="AF80" i="18"/>
  <c r="AG43" i="18"/>
  <c r="AG80" i="18" s="1"/>
  <c r="AD45" i="18"/>
  <c r="AC82" i="18"/>
  <c r="AD46" i="18"/>
  <c r="AD83" i="18" s="1"/>
  <c r="AC83" i="18"/>
  <c r="AC114" i="18" s="1"/>
  <c r="AE42" i="18"/>
  <c r="AD79" i="18"/>
  <c r="O131" i="18"/>
  <c r="P132" i="18"/>
  <c r="Q132" i="18" s="1"/>
  <c r="G155" i="18" s="1"/>
  <c r="O33" i="17"/>
  <c r="N34" i="17"/>
  <c r="G33" i="17"/>
  <c r="P32" i="17"/>
  <c r="J31" i="17"/>
  <c r="E32" i="17"/>
  <c r="K32" i="17" s="1"/>
  <c r="K25" i="12"/>
  <c r="G26" i="12"/>
  <c r="N25" i="12"/>
  <c r="J25" i="12"/>
  <c r="E25" i="12"/>
  <c r="F24" i="12"/>
  <c r="C25" i="12"/>
  <c r="M23" i="12"/>
  <c r="I24" i="12" s="1"/>
  <c r="L23" i="12"/>
  <c r="O23" i="12" s="1"/>
  <c r="AE79" i="18" l="1"/>
  <c r="AF42" i="18"/>
  <c r="G129" i="18"/>
  <c r="H130" i="18"/>
  <c r="I130" i="18" s="1"/>
  <c r="E153" i="18" s="1"/>
  <c r="K129" i="18"/>
  <c r="L130" i="18"/>
  <c r="M130" i="18" s="1"/>
  <c r="F153" i="18" s="1"/>
  <c r="AC113" i="18"/>
  <c r="AD82" i="18"/>
  <c r="AD113" i="18" s="1"/>
  <c r="AE45" i="18"/>
  <c r="AE82" i="18" s="1"/>
  <c r="AE113" i="18" s="1"/>
  <c r="AE78" i="18"/>
  <c r="AF41" i="18"/>
  <c r="O130" i="18"/>
  <c r="P131" i="18"/>
  <c r="Q131" i="18" s="1"/>
  <c r="G154" i="18" s="1"/>
  <c r="Q32" i="17"/>
  <c r="O34" i="17"/>
  <c r="N35" i="17"/>
  <c r="J32" i="17"/>
  <c r="E33" i="17"/>
  <c r="K33" i="17"/>
  <c r="G34" i="17"/>
  <c r="P33" i="17"/>
  <c r="Q33" i="17" s="1"/>
  <c r="E26" i="12"/>
  <c r="N26" i="12"/>
  <c r="J26" i="12"/>
  <c r="K26" i="12"/>
  <c r="G27" i="12"/>
  <c r="M24" i="12"/>
  <c r="I25" i="12" s="1"/>
  <c r="L24" i="12"/>
  <c r="O24" i="12" s="1"/>
  <c r="F25" i="12"/>
  <c r="C26" i="12"/>
  <c r="AD114" i="18" l="1"/>
  <c r="O129" i="18"/>
  <c r="P130" i="18"/>
  <c r="Q130" i="18" s="1"/>
  <c r="G153" i="18" s="1"/>
  <c r="AF79" i="18"/>
  <c r="AF113" i="18" s="1"/>
  <c r="AG42" i="18"/>
  <c r="K128" i="18"/>
  <c r="L129" i="18"/>
  <c r="M129" i="18" s="1"/>
  <c r="F152" i="18" s="1"/>
  <c r="AF78" i="18"/>
  <c r="AG41" i="18"/>
  <c r="G128" i="18"/>
  <c r="H129" i="18"/>
  <c r="I129" i="18" s="1"/>
  <c r="E152" i="18" s="1"/>
  <c r="J33" i="17"/>
  <c r="E34" i="17"/>
  <c r="K34" i="17"/>
  <c r="P34" i="17"/>
  <c r="Q34" i="17" s="1"/>
  <c r="G35" i="17"/>
  <c r="O35" i="17"/>
  <c r="N36" i="17"/>
  <c r="L25" i="12"/>
  <c r="O25" i="12" s="1"/>
  <c r="M25" i="12"/>
  <c r="I26" i="12" s="1"/>
  <c r="E27" i="12"/>
  <c r="F26" i="12"/>
  <c r="C27" i="12"/>
  <c r="N27" i="12"/>
  <c r="J27" i="12"/>
  <c r="K27" i="12"/>
  <c r="G28" i="12"/>
  <c r="K127" i="18" l="1"/>
  <c r="L128" i="18"/>
  <c r="M128" i="18" s="1"/>
  <c r="F151" i="18" s="1"/>
  <c r="AG79" i="18"/>
  <c r="AH42" i="18"/>
  <c r="AH79" i="18" s="1"/>
  <c r="G127" i="18"/>
  <c r="H128" i="18"/>
  <c r="I128" i="18" s="1"/>
  <c r="E151" i="18" s="1"/>
  <c r="O128" i="18"/>
  <c r="P129" i="18"/>
  <c r="Q129" i="18" s="1"/>
  <c r="G152" i="18" s="1"/>
  <c r="AG78" i="18"/>
  <c r="AH41" i="18"/>
  <c r="O36" i="17"/>
  <c r="N37" i="17"/>
  <c r="G36" i="17"/>
  <c r="P35" i="17"/>
  <c r="E35" i="17"/>
  <c r="J34" i="17"/>
  <c r="F27" i="12"/>
  <c r="C28" i="12"/>
  <c r="E28" i="12"/>
  <c r="K28" i="12"/>
  <c r="G29" i="12"/>
  <c r="N28" i="12"/>
  <c r="J28" i="12"/>
  <c r="L26" i="12"/>
  <c r="O26" i="12" s="1"/>
  <c r="M26" i="12"/>
  <c r="I27" i="12" s="1"/>
  <c r="O127" i="18" l="1"/>
  <c r="P128" i="18"/>
  <c r="Q128" i="18" s="1"/>
  <c r="G151" i="18" s="1"/>
  <c r="G126" i="18"/>
  <c r="H127" i="18"/>
  <c r="I127" i="18" s="1"/>
  <c r="E150" i="18" s="1"/>
  <c r="AI41" i="18"/>
  <c r="AI78" i="18" s="1"/>
  <c r="AH78" i="18"/>
  <c r="AG113" i="18"/>
  <c r="K126" i="18"/>
  <c r="L127" i="18"/>
  <c r="M127" i="18" s="1"/>
  <c r="F150" i="18" s="1"/>
  <c r="E36" i="17"/>
  <c r="J35" i="17"/>
  <c r="K35" i="17"/>
  <c r="O37" i="17"/>
  <c r="N38" i="17"/>
  <c r="Q35" i="17"/>
  <c r="G37" i="17"/>
  <c r="P36" i="17"/>
  <c r="Q36" i="17" s="1"/>
  <c r="K36" i="17"/>
  <c r="K29" i="12"/>
  <c r="N29" i="12"/>
  <c r="J29" i="12"/>
  <c r="G30" i="12"/>
  <c r="E29" i="12"/>
  <c r="L27" i="12"/>
  <c r="O27" i="12" s="1"/>
  <c r="M27" i="12"/>
  <c r="I28" i="12" s="1"/>
  <c r="C29" i="12"/>
  <c r="F28" i="12"/>
  <c r="K125" i="18" l="1"/>
  <c r="L126" i="18"/>
  <c r="M126" i="18" s="1"/>
  <c r="F149" i="18" s="1"/>
  <c r="G125" i="18"/>
  <c r="H126" i="18"/>
  <c r="I126" i="18" s="1"/>
  <c r="E149" i="18" s="1"/>
  <c r="O126" i="18"/>
  <c r="P127" i="18"/>
  <c r="Q127" i="18" s="1"/>
  <c r="G150" i="18" s="1"/>
  <c r="O38" i="17"/>
  <c r="N39" i="17"/>
  <c r="G38" i="17"/>
  <c r="P37" i="17"/>
  <c r="E37" i="17"/>
  <c r="J36" i="17"/>
  <c r="N30" i="12"/>
  <c r="J30" i="12"/>
  <c r="K30" i="12"/>
  <c r="G31" i="12"/>
  <c r="E30" i="12"/>
  <c r="F29" i="12"/>
  <c r="C30" i="12"/>
  <c r="L28" i="12"/>
  <c r="O28" i="12" s="1"/>
  <c r="M28" i="12"/>
  <c r="I29" i="12" s="1"/>
  <c r="O125" i="18" l="1"/>
  <c r="P126" i="18"/>
  <c r="Q126" i="18" s="1"/>
  <c r="G149" i="18" s="1"/>
  <c r="G124" i="18"/>
  <c r="H125" i="18"/>
  <c r="I125" i="18" s="1"/>
  <c r="E148" i="18" s="1"/>
  <c r="L125" i="18"/>
  <c r="M125" i="18" s="1"/>
  <c r="F148" i="18" s="1"/>
  <c r="K124" i="18"/>
  <c r="J37" i="17"/>
  <c r="E38" i="17"/>
  <c r="Q37" i="17"/>
  <c r="K37" i="17"/>
  <c r="P38" i="17"/>
  <c r="Q38" i="17" s="1"/>
  <c r="K38" i="17"/>
  <c r="G39" i="17"/>
  <c r="O39" i="17"/>
  <c r="N40" i="17"/>
  <c r="M29" i="12"/>
  <c r="I30" i="12" s="1"/>
  <c r="L29" i="12"/>
  <c r="O29" i="12" s="1"/>
  <c r="F30" i="12"/>
  <c r="C31" i="12"/>
  <c r="E31" i="12"/>
  <c r="J31" i="12"/>
  <c r="K31" i="12"/>
  <c r="G32" i="12"/>
  <c r="N31" i="12"/>
  <c r="K123" i="18" l="1"/>
  <c r="L124" i="18"/>
  <c r="M124" i="18" s="1"/>
  <c r="F147" i="18" s="1"/>
  <c r="G123" i="18"/>
  <c r="H124" i="18"/>
  <c r="I124" i="18" s="1"/>
  <c r="E147" i="18" s="1"/>
  <c r="O124" i="18"/>
  <c r="P125" i="18"/>
  <c r="Q125" i="18" s="1"/>
  <c r="G148" i="18" s="1"/>
  <c r="E39" i="17"/>
  <c r="J38" i="17"/>
  <c r="P39" i="17"/>
  <c r="Q39" i="17" s="1"/>
  <c r="G40" i="17"/>
  <c r="K39" i="17"/>
  <c r="O40" i="17"/>
  <c r="N41" i="17"/>
  <c r="E32" i="12"/>
  <c r="C32" i="12"/>
  <c r="F31" i="12"/>
  <c r="L30" i="12"/>
  <c r="O30" i="12" s="1"/>
  <c r="M30" i="12"/>
  <c r="I31" i="12" s="1"/>
  <c r="K32" i="12"/>
  <c r="N32" i="12"/>
  <c r="G33" i="12"/>
  <c r="J32" i="12"/>
  <c r="G122" i="18" l="1"/>
  <c r="H123" i="18"/>
  <c r="I123" i="18" s="1"/>
  <c r="E146" i="18" s="1"/>
  <c r="O123" i="18"/>
  <c r="P124" i="18"/>
  <c r="Q124" i="18" s="1"/>
  <c r="G147" i="18" s="1"/>
  <c r="K122" i="18"/>
  <c r="L123" i="18"/>
  <c r="M123" i="18" s="1"/>
  <c r="F146" i="18" s="1"/>
  <c r="O41" i="17"/>
  <c r="N42" i="17"/>
  <c r="G41" i="17"/>
  <c r="P40" i="17"/>
  <c r="J39" i="17"/>
  <c r="E40" i="17"/>
  <c r="L31" i="12"/>
  <c r="O31" i="12" s="1"/>
  <c r="M31" i="12"/>
  <c r="I32" i="12" s="1"/>
  <c r="F32" i="12"/>
  <c r="C33" i="12"/>
  <c r="J33" i="12"/>
  <c r="K33" i="12"/>
  <c r="G34" i="12"/>
  <c r="N33" i="12"/>
  <c r="E33" i="12"/>
  <c r="K121" i="18" l="1"/>
  <c r="L122" i="18"/>
  <c r="M122" i="18" s="1"/>
  <c r="F145" i="18" s="1"/>
  <c r="O122" i="18"/>
  <c r="P123" i="18"/>
  <c r="Q123" i="18" s="1"/>
  <c r="G146" i="18" s="1"/>
  <c r="G121" i="18"/>
  <c r="H122" i="18"/>
  <c r="I122" i="18" s="1"/>
  <c r="E145" i="18" s="1"/>
  <c r="Q40" i="17"/>
  <c r="G42" i="17"/>
  <c r="P41" i="17"/>
  <c r="O42" i="17"/>
  <c r="N43" i="17"/>
  <c r="J40" i="17"/>
  <c r="E41" i="17"/>
  <c r="K40" i="17"/>
  <c r="C34" i="12"/>
  <c r="F33" i="12"/>
  <c r="M32" i="12"/>
  <c r="I33" i="12" s="1"/>
  <c r="L32" i="12"/>
  <c r="O32" i="12" s="1"/>
  <c r="K34" i="12"/>
  <c r="G35" i="12"/>
  <c r="N34" i="12"/>
  <c r="J34" i="12"/>
  <c r="E34" i="12"/>
  <c r="G120" i="18" l="1"/>
  <c r="H120" i="18" s="1"/>
  <c r="I120" i="18" s="1"/>
  <c r="E143" i="18" s="1"/>
  <c r="H121" i="18"/>
  <c r="I121" i="18" s="1"/>
  <c r="E144" i="18" s="1"/>
  <c r="O121" i="18"/>
  <c r="P122" i="18"/>
  <c r="Q122" i="18" s="1"/>
  <c r="G145" i="18" s="1"/>
  <c r="K120" i="18"/>
  <c r="L120" i="18" s="1"/>
  <c r="M120" i="18" s="1"/>
  <c r="F143" i="18" s="1"/>
  <c r="L121" i="18"/>
  <c r="M121" i="18" s="1"/>
  <c r="F144" i="18" s="1"/>
  <c r="O43" i="17"/>
  <c r="N44" i="17"/>
  <c r="J41" i="17"/>
  <c r="E42" i="17"/>
  <c r="K41" i="17"/>
  <c r="Q41" i="17"/>
  <c r="K42" i="17"/>
  <c r="P42" i="17"/>
  <c r="Q42" i="17" s="1"/>
  <c r="G43" i="17"/>
  <c r="K35" i="12"/>
  <c r="N35" i="12"/>
  <c r="G36" i="12"/>
  <c r="J35" i="12"/>
  <c r="M33" i="12"/>
  <c r="I34" i="12" s="1"/>
  <c r="L33" i="12"/>
  <c r="O33" i="12" s="1"/>
  <c r="E35" i="12"/>
  <c r="C35" i="12"/>
  <c r="F34" i="12"/>
  <c r="F162" i="18" l="1"/>
  <c r="O120" i="18"/>
  <c r="P120" i="18" s="1"/>
  <c r="Q120" i="18" s="1"/>
  <c r="G143" i="18" s="1"/>
  <c r="P121" i="18"/>
  <c r="Q121" i="18" s="1"/>
  <c r="G144" i="18" s="1"/>
  <c r="E162" i="18"/>
  <c r="E43" i="17"/>
  <c r="J42" i="17"/>
  <c r="O44" i="17"/>
  <c r="N45" i="17"/>
  <c r="G44" i="17"/>
  <c r="P43" i="17"/>
  <c r="Q43" i="17" s="1"/>
  <c r="K43" i="17"/>
  <c r="L34" i="12"/>
  <c r="O34" i="12" s="1"/>
  <c r="M34" i="12"/>
  <c r="I35" i="12" s="1"/>
  <c r="N36" i="12"/>
  <c r="J36" i="12"/>
  <c r="K36" i="12"/>
  <c r="G37" i="12"/>
  <c r="F35" i="12"/>
  <c r="C36" i="12"/>
  <c r="E36" i="12"/>
  <c r="G162" i="18" l="1"/>
  <c r="O45" i="17"/>
  <c r="N46" i="17"/>
  <c r="G45" i="17"/>
  <c r="P44" i="17"/>
  <c r="E44" i="17"/>
  <c r="J43" i="17"/>
  <c r="F36" i="12"/>
  <c r="C37" i="12"/>
  <c r="E37" i="12"/>
  <c r="L35" i="12"/>
  <c r="O35" i="12" s="1"/>
  <c r="M35" i="12"/>
  <c r="I36" i="12" s="1"/>
  <c r="G38" i="12"/>
  <c r="N37" i="12"/>
  <c r="K37" i="12"/>
  <c r="J37" i="12"/>
  <c r="E45" i="17" l="1"/>
  <c r="J44" i="17"/>
  <c r="K44" i="17"/>
  <c r="G46" i="17"/>
  <c r="P45" i="17"/>
  <c r="Q45" i="17" s="1"/>
  <c r="K45" i="17"/>
  <c r="O46" i="17"/>
  <c r="N47" i="17"/>
  <c r="Q44" i="17"/>
  <c r="G39" i="12"/>
  <c r="J38" i="12"/>
  <c r="N38" i="12"/>
  <c r="K38" i="12"/>
  <c r="E38" i="12"/>
  <c r="L36" i="12"/>
  <c r="O36" i="12" s="1"/>
  <c r="M36" i="12"/>
  <c r="I37" i="12" s="1"/>
  <c r="F37" i="12"/>
  <c r="C38" i="12"/>
  <c r="P46" i="17" l="1"/>
  <c r="G47" i="17"/>
  <c r="O47" i="17"/>
  <c r="N48" i="17"/>
  <c r="J45" i="17"/>
  <c r="E46" i="17"/>
  <c r="E39" i="12"/>
  <c r="L37" i="12"/>
  <c r="O37" i="12" s="1"/>
  <c r="M37" i="12"/>
  <c r="I38" i="12" s="1"/>
  <c r="C39" i="12"/>
  <c r="F38" i="12"/>
  <c r="J39" i="12"/>
  <c r="K39" i="12"/>
  <c r="G40" i="12"/>
  <c r="N39" i="12"/>
  <c r="P47" i="17" l="1"/>
  <c r="G48" i="17"/>
  <c r="J46" i="17"/>
  <c r="E47" i="17"/>
  <c r="O48" i="17"/>
  <c r="N49" i="17"/>
  <c r="K46" i="17"/>
  <c r="Q46" i="17"/>
  <c r="L38" i="12"/>
  <c r="O38" i="12" s="1"/>
  <c r="M38" i="12"/>
  <c r="I39" i="12" s="1"/>
  <c r="E40" i="12"/>
  <c r="C40" i="12"/>
  <c r="F39" i="12"/>
  <c r="J40" i="12"/>
  <c r="N40" i="12"/>
  <c r="G41" i="12"/>
  <c r="K40" i="12"/>
  <c r="J47" i="17" l="1"/>
  <c r="E48" i="17"/>
  <c r="K48" i="17" s="1"/>
  <c r="G49" i="17"/>
  <c r="P48" i="17"/>
  <c r="Q48" i="17" s="1"/>
  <c r="O49" i="17"/>
  <c r="N50" i="17"/>
  <c r="K47" i="17"/>
  <c r="Q47" i="17"/>
  <c r="F40" i="12"/>
  <c r="C41" i="12"/>
  <c r="F41" i="12" s="1"/>
  <c r="L39" i="12"/>
  <c r="O39" i="12" s="1"/>
  <c r="M39" i="12"/>
  <c r="I40" i="12" s="1"/>
  <c r="E41" i="12"/>
  <c r="J41" i="12"/>
  <c r="K41" i="12"/>
  <c r="N41" i="12"/>
  <c r="O50" i="17" l="1"/>
  <c r="N51" i="17"/>
  <c r="G50" i="17"/>
  <c r="P49" i="17"/>
  <c r="J48" i="17"/>
  <c r="E49" i="17"/>
  <c r="M40" i="12"/>
  <c r="I41" i="12" s="1"/>
  <c r="L40" i="12"/>
  <c r="O40" i="12" s="1"/>
  <c r="J49" i="17" l="1"/>
  <c r="E50" i="17"/>
  <c r="K49" i="17"/>
  <c r="K50" i="17"/>
  <c r="P50" i="17"/>
  <c r="Q50" i="17" s="1"/>
  <c r="G51" i="17"/>
  <c r="Q49" i="17"/>
  <c r="O51" i="17"/>
  <c r="N52" i="17"/>
  <c r="M41" i="12"/>
  <c r="L41" i="12"/>
  <c r="O41" i="12" s="1"/>
  <c r="Q26" i="12" s="1"/>
  <c r="G52" i="17" l="1"/>
  <c r="P51" i="17"/>
  <c r="E51" i="17"/>
  <c r="J50" i="17"/>
  <c r="O52" i="17"/>
  <c r="N53" i="17"/>
  <c r="Q30" i="12"/>
  <c r="Q28" i="12"/>
  <c r="Q32" i="12" s="1"/>
  <c r="O53" i="17" l="1"/>
  <c r="N54" i="17"/>
  <c r="E52" i="17"/>
  <c r="J51" i="17"/>
  <c r="K51" i="17"/>
  <c r="Q51" i="17"/>
  <c r="G53" i="17"/>
  <c r="K52" i="17"/>
  <c r="P52" i="17"/>
  <c r="G54" i="17" l="1"/>
  <c r="P53" i="17"/>
  <c r="O54" i="17"/>
  <c r="N55" i="17"/>
  <c r="E53" i="17"/>
  <c r="J52" i="17"/>
  <c r="Q52" i="17"/>
  <c r="J53" i="17" l="1"/>
  <c r="E54" i="17"/>
  <c r="O55" i="17"/>
  <c r="N56" i="17"/>
  <c r="Q53" i="17"/>
  <c r="K53" i="17"/>
  <c r="P54" i="17"/>
  <c r="Q54" i="17" s="1"/>
  <c r="K54" i="17"/>
  <c r="G55" i="17"/>
  <c r="O56" i="17" l="1"/>
  <c r="N57" i="17"/>
  <c r="J54" i="17"/>
  <c r="E55" i="17"/>
  <c r="P55" i="17"/>
  <c r="Q55" i="17" s="1"/>
  <c r="G56" i="17"/>
  <c r="K55" i="17"/>
  <c r="J55" i="17" l="1"/>
  <c r="E56" i="17"/>
  <c r="O57" i="17"/>
  <c r="N58" i="17"/>
  <c r="K56" i="17"/>
  <c r="G57" i="17"/>
  <c r="P56" i="17"/>
  <c r="Q56" i="17" s="1"/>
  <c r="G58" i="17" l="1"/>
  <c r="P57" i="17"/>
  <c r="J56" i="17"/>
  <c r="E57" i="17"/>
  <c r="O58" i="17"/>
  <c r="N59" i="17"/>
  <c r="J57" i="17" l="1"/>
  <c r="E58" i="17"/>
  <c r="Q57" i="17"/>
  <c r="K58" i="17"/>
  <c r="P58" i="17"/>
  <c r="Q58" i="17" s="1"/>
  <c r="G59" i="17"/>
  <c r="O59" i="17"/>
  <c r="N60" i="17"/>
  <c r="K57" i="17"/>
  <c r="O60" i="17" l="1"/>
  <c r="N61" i="17"/>
  <c r="E59" i="17"/>
  <c r="J58" i="17"/>
  <c r="G60" i="17"/>
  <c r="P59" i="17"/>
  <c r="Q59" i="17" s="1"/>
  <c r="K59" i="17"/>
  <c r="G61" i="17" l="1"/>
  <c r="P60" i="17"/>
  <c r="E60" i="17"/>
  <c r="J59" i="17"/>
  <c r="O61" i="17"/>
  <c r="N62" i="17"/>
  <c r="E61" i="17" l="1"/>
  <c r="J60" i="17"/>
  <c r="O62" i="17"/>
  <c r="N63" i="17"/>
  <c r="K60" i="17"/>
  <c r="Q60" i="17"/>
  <c r="G62" i="17"/>
  <c r="P61" i="17"/>
  <c r="Q61" i="17" s="1"/>
  <c r="K61" i="17"/>
  <c r="O63" i="17" l="1"/>
  <c r="N64" i="17"/>
  <c r="P62" i="17"/>
  <c r="G63" i="17"/>
  <c r="J61" i="17"/>
  <c r="E62" i="17"/>
  <c r="K62" i="17" s="1"/>
  <c r="Q62" i="17" l="1"/>
  <c r="E63" i="17"/>
  <c r="J62" i="17"/>
  <c r="O64" i="17"/>
  <c r="N65" i="17"/>
  <c r="P63" i="17"/>
  <c r="Q63" i="17" s="1"/>
  <c r="G64" i="17"/>
  <c r="K63" i="17"/>
  <c r="G65" i="17" l="1"/>
  <c r="P64" i="17"/>
  <c r="O65" i="17"/>
  <c r="N66" i="17"/>
  <c r="J63" i="17"/>
  <c r="E64" i="17"/>
  <c r="J64" i="17" l="1"/>
  <c r="E65" i="17"/>
  <c r="O66" i="17"/>
  <c r="N67" i="17"/>
  <c r="Q64" i="17"/>
  <c r="K65" i="17"/>
  <c r="G66" i="17"/>
  <c r="P65" i="17"/>
  <c r="Q65" i="17" s="1"/>
  <c r="K64" i="17"/>
  <c r="P66" i="17" l="1"/>
  <c r="G67" i="17"/>
  <c r="O67" i="17"/>
  <c r="N68" i="17"/>
  <c r="J65" i="17"/>
  <c r="E66" i="17"/>
  <c r="K66" i="17" s="1"/>
  <c r="E67" i="17" l="1"/>
  <c r="K67" i="17" s="1"/>
  <c r="J66" i="17"/>
  <c r="O68" i="17"/>
  <c r="N69" i="17"/>
  <c r="P67" i="17"/>
  <c r="G68" i="17"/>
  <c r="Q66" i="17"/>
  <c r="G69" i="17" l="1"/>
  <c r="P68" i="17"/>
  <c r="O69" i="17"/>
  <c r="N70" i="17"/>
  <c r="E68" i="17"/>
  <c r="J67" i="17"/>
  <c r="Q67" i="17"/>
  <c r="J68" i="17" l="1"/>
  <c r="E69" i="17"/>
  <c r="Q68" i="17"/>
  <c r="G70" i="17"/>
  <c r="K69" i="17"/>
  <c r="P69" i="17"/>
  <c r="Q69" i="17" s="1"/>
  <c r="O70" i="17"/>
  <c r="N71" i="17"/>
  <c r="K68" i="17"/>
  <c r="O71" i="17" l="1"/>
  <c r="N72" i="17"/>
  <c r="G71" i="17"/>
  <c r="P70" i="17"/>
  <c r="E70" i="17"/>
  <c r="J69" i="17"/>
  <c r="E71" i="17" l="1"/>
  <c r="J70" i="17"/>
  <c r="K70" i="17"/>
  <c r="G72" i="17"/>
  <c r="P71" i="17"/>
  <c r="Q70" i="17"/>
  <c r="O72" i="17"/>
  <c r="N73" i="17"/>
  <c r="O73" i="17" l="1"/>
  <c r="N74" i="17"/>
  <c r="J71" i="17"/>
  <c r="E72" i="17"/>
  <c r="Q71" i="17"/>
  <c r="K71" i="17"/>
  <c r="P72" i="17"/>
  <c r="Q72" i="17" s="1"/>
  <c r="G73" i="17"/>
  <c r="P73" i="17" l="1"/>
  <c r="G74" i="17"/>
  <c r="O74" i="17"/>
  <c r="N75" i="17"/>
  <c r="J72" i="17"/>
  <c r="E73" i="17"/>
  <c r="K72" i="17"/>
  <c r="Q73" i="17" l="1"/>
  <c r="J73" i="17"/>
  <c r="E74" i="17"/>
  <c r="O75" i="17"/>
  <c r="N76" i="17"/>
  <c r="K74" i="17"/>
  <c r="G75" i="17"/>
  <c r="P74" i="17"/>
  <c r="Q74" i="17" s="1"/>
  <c r="K73" i="17"/>
  <c r="P75" i="17" l="1"/>
  <c r="G76" i="17"/>
  <c r="N77" i="17"/>
  <c r="O76" i="17"/>
  <c r="J74" i="17"/>
  <c r="E75" i="17"/>
  <c r="K75" i="17" s="1"/>
  <c r="O77" i="17" l="1"/>
  <c r="N78" i="17"/>
  <c r="G77" i="17"/>
  <c r="P76" i="17"/>
  <c r="J75" i="17"/>
  <c r="E76" i="17"/>
  <c r="K76" i="17" s="1"/>
  <c r="Q75" i="17"/>
  <c r="G78" i="17" l="1"/>
  <c r="P77" i="17"/>
  <c r="E77" i="17"/>
  <c r="K77" i="17" s="1"/>
  <c r="J76" i="17"/>
  <c r="Q76" i="17"/>
  <c r="O78" i="17"/>
  <c r="N79" i="17"/>
  <c r="O79" i="17" l="1"/>
  <c r="N80" i="17"/>
  <c r="E78" i="17"/>
  <c r="J77" i="17"/>
  <c r="Q77" i="17"/>
  <c r="G79" i="17"/>
  <c r="P78" i="17"/>
  <c r="Q78" i="17" s="1"/>
  <c r="K78" i="17"/>
  <c r="G80" i="17" l="1"/>
  <c r="P79" i="17"/>
  <c r="E79" i="17"/>
  <c r="K79" i="17" s="1"/>
  <c r="J78" i="17"/>
  <c r="O80" i="17"/>
  <c r="N81" i="17"/>
  <c r="P80" i="17" l="1"/>
  <c r="G81" i="17"/>
  <c r="O81" i="17"/>
  <c r="N82" i="17"/>
  <c r="J79" i="17"/>
  <c r="E80" i="17"/>
  <c r="Q79" i="17"/>
  <c r="J80" i="17" l="1"/>
  <c r="E81" i="17"/>
  <c r="Q80" i="17"/>
  <c r="P81" i="17"/>
  <c r="Q81" i="17" s="1"/>
  <c r="K81" i="17"/>
  <c r="G82" i="17"/>
  <c r="O82" i="17"/>
  <c r="N83" i="17"/>
  <c r="K80" i="17"/>
  <c r="G83" i="17" l="1"/>
  <c r="P82" i="17"/>
  <c r="O83" i="17"/>
  <c r="N84" i="17"/>
  <c r="J81" i="17"/>
  <c r="E82" i="17"/>
  <c r="K82" i="17" s="1"/>
  <c r="J82" i="17" l="1"/>
  <c r="E83" i="17"/>
  <c r="O84" i="17"/>
  <c r="N85" i="17"/>
  <c r="Q82" i="17"/>
  <c r="K83" i="17"/>
  <c r="P83" i="17"/>
  <c r="Q83" i="17" s="1"/>
  <c r="G84" i="17"/>
  <c r="G85" i="17" l="1"/>
  <c r="P84" i="17"/>
  <c r="O85" i="17"/>
  <c r="N86" i="17"/>
  <c r="J83" i="17"/>
  <c r="E84" i="17"/>
  <c r="K84" i="17" s="1"/>
  <c r="E85" i="17" l="1"/>
  <c r="J84" i="17"/>
  <c r="O86" i="17"/>
  <c r="N87" i="17"/>
  <c r="G86" i="17"/>
  <c r="P85" i="17"/>
  <c r="Q84" i="17"/>
  <c r="O87" i="17" l="1"/>
  <c r="N88" i="17"/>
  <c r="Q85" i="17"/>
  <c r="E86" i="17"/>
  <c r="J85" i="17"/>
  <c r="K85" i="17"/>
  <c r="G87" i="17"/>
  <c r="P86" i="17"/>
  <c r="Q86" i="17" s="1"/>
  <c r="G88" i="17" l="1"/>
  <c r="P87" i="17"/>
  <c r="E87" i="17"/>
  <c r="J86" i="17"/>
  <c r="O88" i="17"/>
  <c r="N89" i="17"/>
  <c r="K86" i="17"/>
  <c r="O89" i="17" l="1"/>
  <c r="N90" i="17"/>
  <c r="E88" i="17"/>
  <c r="J87" i="17"/>
  <c r="Q87" i="17"/>
  <c r="K87" i="17"/>
  <c r="P88" i="17"/>
  <c r="Q88" i="17" s="1"/>
  <c r="G89" i="17"/>
  <c r="P89" i="17" l="1"/>
  <c r="G90" i="17"/>
  <c r="O90" i="17"/>
  <c r="N91" i="17"/>
  <c r="J88" i="17"/>
  <c r="E89" i="17"/>
  <c r="K88" i="17"/>
  <c r="J89" i="17" l="1"/>
  <c r="E90" i="17"/>
  <c r="K89" i="17"/>
  <c r="O91" i="17"/>
  <c r="N92" i="17"/>
  <c r="K90" i="17"/>
  <c r="G91" i="17"/>
  <c r="P90" i="17"/>
  <c r="Q90" i="17" s="1"/>
  <c r="Q89" i="17"/>
  <c r="P91" i="17" l="1"/>
  <c r="G92" i="17"/>
  <c r="O92" i="17"/>
  <c r="N93" i="17"/>
  <c r="J90" i="17"/>
  <c r="E91" i="17"/>
  <c r="O93" i="17" l="1"/>
  <c r="N94" i="17"/>
  <c r="Q91" i="17"/>
  <c r="J91" i="17"/>
  <c r="E92" i="17"/>
  <c r="K92" i="17" s="1"/>
  <c r="G93" i="17"/>
  <c r="P92" i="17"/>
  <c r="Q92" i="17" s="1"/>
  <c r="K91" i="17"/>
  <c r="O94" i="17" l="1"/>
  <c r="N95" i="17"/>
  <c r="G94" i="17"/>
  <c r="P93" i="17"/>
  <c r="E93" i="17"/>
  <c r="K93" i="17" s="1"/>
  <c r="J92" i="17"/>
  <c r="Q93" i="17" l="1"/>
  <c r="O95" i="17"/>
  <c r="N96" i="17"/>
  <c r="E94" i="17"/>
  <c r="J93" i="17"/>
  <c r="G95" i="17"/>
  <c r="P94" i="17"/>
  <c r="Q94" i="17" s="1"/>
  <c r="K94" i="17"/>
  <c r="E95" i="17" l="1"/>
  <c r="J94" i="17"/>
  <c r="O96" i="17"/>
  <c r="N97" i="17"/>
  <c r="G96" i="17"/>
  <c r="P95" i="17"/>
  <c r="Q95" i="17" s="1"/>
  <c r="K95" i="17"/>
  <c r="O97" i="17" l="1"/>
  <c r="N98" i="17"/>
  <c r="P96" i="17"/>
  <c r="G97" i="17"/>
  <c r="E96" i="17"/>
  <c r="K96" i="17" s="1"/>
  <c r="J95" i="17"/>
  <c r="Q96" i="17" l="1"/>
  <c r="J96" i="17"/>
  <c r="E97" i="17"/>
  <c r="P97" i="17"/>
  <c r="Q97" i="17" s="1"/>
  <c r="K97" i="17"/>
  <c r="G98" i="17"/>
  <c r="O98" i="17"/>
  <c r="N99" i="17"/>
  <c r="O99" i="17" l="1"/>
  <c r="N100" i="17"/>
  <c r="G99" i="17"/>
  <c r="P98" i="17"/>
  <c r="J97" i="17"/>
  <c r="E98" i="17"/>
  <c r="Q98" i="17" l="1"/>
  <c r="P99" i="17"/>
  <c r="G100" i="17"/>
  <c r="J98" i="17"/>
  <c r="E99" i="17"/>
  <c r="K98" i="17"/>
  <c r="O100" i="17"/>
  <c r="N101" i="17"/>
  <c r="J99" i="17" l="1"/>
  <c r="E100" i="17"/>
  <c r="Q99" i="17"/>
  <c r="K100" i="17"/>
  <c r="G101" i="17"/>
  <c r="P100" i="17"/>
  <c r="Q100" i="17" s="1"/>
  <c r="K99" i="17"/>
  <c r="O101" i="17"/>
  <c r="N102" i="17"/>
  <c r="G102" i="17" l="1"/>
  <c r="P101" i="17"/>
  <c r="E101" i="17"/>
  <c r="J100" i="17"/>
  <c r="O102" i="17"/>
  <c r="N103" i="17"/>
  <c r="O103" i="17" l="1"/>
  <c r="N104" i="17"/>
  <c r="E102" i="17"/>
  <c r="J101" i="17"/>
  <c r="Q101" i="17"/>
  <c r="K101" i="17"/>
  <c r="P102" i="17"/>
  <c r="Q102" i="17" s="1"/>
  <c r="K102" i="17"/>
  <c r="G103" i="17"/>
  <c r="J102" i="17" l="1"/>
  <c r="E103" i="17"/>
  <c r="O104" i="17"/>
  <c r="N105" i="17"/>
  <c r="K103" i="17"/>
  <c r="G104" i="17"/>
  <c r="P103" i="17"/>
  <c r="Q103" i="17" s="1"/>
  <c r="O105" i="17" l="1"/>
  <c r="N106" i="17"/>
  <c r="P104" i="17"/>
  <c r="G105" i="17"/>
  <c r="J103" i="17"/>
  <c r="E104" i="17"/>
  <c r="J104" i="17" l="1"/>
  <c r="E105" i="17"/>
  <c r="K104" i="17"/>
  <c r="P105" i="17"/>
  <c r="Q105" i="17" s="1"/>
  <c r="K105" i="17"/>
  <c r="G106" i="17"/>
  <c r="Q104" i="17"/>
  <c r="O106" i="17"/>
  <c r="N107" i="17"/>
  <c r="G107" i="17" l="1"/>
  <c r="P106" i="17"/>
  <c r="J105" i="17"/>
  <c r="E106" i="17"/>
  <c r="O107" i="17"/>
  <c r="N108" i="17"/>
  <c r="O108" i="17" l="1"/>
  <c r="N109" i="17"/>
  <c r="J106" i="17"/>
  <c r="E107" i="17"/>
  <c r="Q106" i="17"/>
  <c r="K107" i="17"/>
  <c r="G108" i="17"/>
  <c r="P107" i="17"/>
  <c r="Q107" i="17" s="1"/>
  <c r="K106" i="17"/>
  <c r="G109" i="17" l="1"/>
  <c r="P108" i="17"/>
  <c r="N110" i="17"/>
  <c r="O109" i="17"/>
  <c r="J107" i="17"/>
  <c r="E108" i="17"/>
  <c r="E109" i="17" l="1"/>
  <c r="J108" i="17"/>
  <c r="O110" i="17"/>
  <c r="N111" i="17"/>
  <c r="Q108" i="17"/>
  <c r="G110" i="17"/>
  <c r="P109" i="17"/>
  <c r="Q109" i="17" s="1"/>
  <c r="K109" i="17"/>
  <c r="K108" i="17"/>
  <c r="G111" i="17" l="1"/>
  <c r="P110" i="17"/>
  <c r="O111" i="17"/>
  <c r="N112" i="17"/>
  <c r="E110" i="17"/>
  <c r="J109" i="17"/>
  <c r="E111" i="17" l="1"/>
  <c r="J110" i="17"/>
  <c r="O112" i="17"/>
  <c r="N113" i="17"/>
  <c r="K110" i="17"/>
  <c r="Q110" i="17"/>
  <c r="G112" i="17"/>
  <c r="P111" i="17"/>
  <c r="Q111" i="17" s="1"/>
  <c r="K111" i="17"/>
  <c r="O113" i="17" l="1"/>
  <c r="N114" i="17"/>
  <c r="P112" i="17"/>
  <c r="G113" i="17"/>
  <c r="J111" i="17"/>
  <c r="E112" i="17"/>
  <c r="K112" i="17" s="1"/>
  <c r="N115" i="17" l="1"/>
  <c r="O114" i="17"/>
  <c r="J112" i="17"/>
  <c r="E113" i="17"/>
  <c r="P113" i="17"/>
  <c r="Q113" i="17" s="1"/>
  <c r="K113" i="17"/>
  <c r="G114" i="17"/>
  <c r="Q112" i="17"/>
  <c r="G115" i="17" l="1"/>
  <c r="P114" i="17"/>
  <c r="J113" i="17"/>
  <c r="E114" i="17"/>
  <c r="O115" i="17"/>
  <c r="N116" i="17"/>
  <c r="Q114" i="17" l="1"/>
  <c r="O116" i="17"/>
  <c r="N117" i="17"/>
  <c r="J114" i="17"/>
  <c r="E115" i="17"/>
  <c r="K115" i="17"/>
  <c r="G116" i="17"/>
  <c r="P115" i="17"/>
  <c r="Q115" i="17" s="1"/>
  <c r="K114" i="17"/>
  <c r="G117" i="17" l="1"/>
  <c r="P116" i="17"/>
  <c r="J115" i="17"/>
  <c r="E116" i="17"/>
  <c r="N118" i="17"/>
  <c r="O117" i="17"/>
  <c r="E117" i="17" l="1"/>
  <c r="J116" i="17"/>
  <c r="Q116" i="17"/>
  <c r="O118" i="17"/>
  <c r="N119" i="17"/>
  <c r="G118" i="17"/>
  <c r="P117" i="17"/>
  <c r="Q117" i="17" s="1"/>
  <c r="K117" i="17"/>
  <c r="K116" i="17"/>
  <c r="G119" i="17" l="1"/>
  <c r="P118" i="17"/>
  <c r="O119" i="17"/>
  <c r="N120" i="17"/>
  <c r="E118" i="17"/>
  <c r="K118" i="17" s="1"/>
  <c r="J117" i="17"/>
  <c r="O120" i="17" l="1"/>
  <c r="N121" i="17"/>
  <c r="E119" i="17"/>
  <c r="J118" i="17"/>
  <c r="Q118" i="17"/>
  <c r="G120" i="17"/>
  <c r="P119" i="17"/>
  <c r="Q119" i="17" s="1"/>
  <c r="K119" i="17"/>
  <c r="P120" i="17" l="1"/>
  <c r="G121" i="17"/>
  <c r="J119" i="17"/>
  <c r="E120" i="17"/>
  <c r="O121" i="17"/>
  <c r="N122" i="17"/>
  <c r="J120" i="17" l="1"/>
  <c r="E121" i="17"/>
  <c r="K120" i="17"/>
  <c r="O122" i="17"/>
  <c r="N123" i="17"/>
  <c r="P121" i="17"/>
  <c r="Q121" i="17" s="1"/>
  <c r="K121" i="17"/>
  <c r="G122" i="17"/>
  <c r="Q120" i="17"/>
  <c r="G123" i="17" l="1"/>
  <c r="P122" i="17"/>
  <c r="J121" i="17"/>
  <c r="E122" i="17"/>
  <c r="O123" i="17"/>
  <c r="N124" i="17"/>
  <c r="O124" i="17" l="1"/>
  <c r="N125" i="17"/>
  <c r="J122" i="17"/>
  <c r="E123" i="17"/>
  <c r="Q122" i="17"/>
  <c r="K123" i="17"/>
  <c r="G124" i="17"/>
  <c r="P123" i="17"/>
  <c r="Q123" i="17" s="1"/>
  <c r="K122" i="17"/>
  <c r="G125" i="17" l="1"/>
  <c r="P124" i="17"/>
  <c r="J123" i="17"/>
  <c r="E124" i="17"/>
  <c r="O125" i="17"/>
  <c r="N126" i="17"/>
  <c r="O126" i="17" l="1"/>
  <c r="N127" i="17"/>
  <c r="E125" i="17"/>
  <c r="J124" i="17"/>
  <c r="Q124" i="17"/>
  <c r="G126" i="17"/>
  <c r="P125" i="17"/>
  <c r="Q125" i="17" s="1"/>
  <c r="K125" i="17"/>
  <c r="K124" i="17"/>
  <c r="G127" i="17" l="1"/>
  <c r="P126" i="17"/>
  <c r="E126" i="17"/>
  <c r="J125" i="17"/>
  <c r="O127" i="17"/>
  <c r="N128" i="17"/>
  <c r="O128" i="17" l="1"/>
  <c r="N129" i="17"/>
  <c r="E127" i="17"/>
  <c r="J126" i="17"/>
  <c r="K126" i="17"/>
  <c r="Q126" i="17"/>
  <c r="G128" i="17"/>
  <c r="P127" i="17"/>
  <c r="Q127" i="17" s="1"/>
  <c r="P128" i="17" l="1"/>
  <c r="G129" i="17"/>
  <c r="O129" i="17"/>
  <c r="N130" i="17"/>
  <c r="J127" i="17"/>
  <c r="E128" i="17"/>
  <c r="K127" i="17"/>
  <c r="J128" i="17" l="1"/>
  <c r="E129" i="17"/>
  <c r="N131" i="17"/>
  <c r="O130" i="17"/>
  <c r="P129" i="17"/>
  <c r="Q129" i="17" s="1"/>
  <c r="K129" i="17"/>
  <c r="G130" i="17"/>
  <c r="K128" i="17"/>
  <c r="Q128" i="17"/>
  <c r="O131" i="17" l="1"/>
  <c r="N132" i="17"/>
  <c r="G131" i="17"/>
  <c r="P130" i="17"/>
  <c r="J129" i="17"/>
  <c r="E130" i="17"/>
  <c r="K130" i="17" s="1"/>
  <c r="J130" i="17" l="1"/>
  <c r="E131" i="17"/>
  <c r="K131" i="17" s="1"/>
  <c r="Q130" i="17"/>
  <c r="G132" i="17"/>
  <c r="P131" i="17"/>
  <c r="Q131" i="17" s="1"/>
  <c r="O132" i="17"/>
  <c r="N133" i="17"/>
  <c r="O133" i="17" l="1"/>
  <c r="N134" i="17"/>
  <c r="G133" i="17"/>
  <c r="P132" i="17"/>
  <c r="J131" i="17"/>
  <c r="E132" i="17"/>
  <c r="E133" i="17" l="1"/>
  <c r="J132" i="17"/>
  <c r="K132" i="17"/>
  <c r="Q132" i="17"/>
  <c r="G134" i="17"/>
  <c r="P133" i="17"/>
  <c r="Q133" i="17" s="1"/>
  <c r="K133" i="17"/>
  <c r="O134" i="17"/>
  <c r="N135" i="17"/>
  <c r="G135" i="17" l="1"/>
  <c r="P134" i="17"/>
  <c r="O135" i="17"/>
  <c r="N136" i="17"/>
  <c r="E134" i="17"/>
  <c r="K134" i="17" s="1"/>
  <c r="J133" i="17"/>
  <c r="O136" i="17" l="1"/>
  <c r="N137" i="17"/>
  <c r="E135" i="17"/>
  <c r="J134" i="17"/>
  <c r="Q134" i="17"/>
  <c r="G136" i="17"/>
  <c r="P135" i="17"/>
  <c r="Q135" i="17" s="1"/>
  <c r="K135" i="17"/>
  <c r="J135" i="17" l="1"/>
  <c r="E136" i="17"/>
  <c r="P136" i="17"/>
  <c r="Q136" i="17" s="1"/>
  <c r="K136" i="17"/>
  <c r="G137" i="17"/>
  <c r="O137" i="17"/>
  <c r="N138" i="17"/>
  <c r="O138" i="17" l="1"/>
  <c r="N139" i="17"/>
  <c r="P137" i="17"/>
  <c r="G138" i="17"/>
  <c r="J136" i="17"/>
  <c r="E137" i="17"/>
  <c r="J137" i="17" l="1"/>
  <c r="E138" i="17"/>
  <c r="G139" i="17"/>
  <c r="P138" i="17"/>
  <c r="Q138" i="17" s="1"/>
  <c r="K137" i="17"/>
  <c r="Q137" i="17"/>
  <c r="N140" i="17"/>
  <c r="O139" i="17"/>
  <c r="J138" i="17" l="1"/>
  <c r="E139" i="17"/>
  <c r="O140" i="17"/>
  <c r="N141" i="17"/>
  <c r="K139" i="17"/>
  <c r="G140" i="17"/>
  <c r="P139" i="17"/>
  <c r="Q139" i="17" s="1"/>
  <c r="K138" i="17"/>
  <c r="P140" i="17" l="1"/>
  <c r="G141" i="17"/>
  <c r="O141" i="17"/>
  <c r="N142" i="17"/>
  <c r="J139" i="17"/>
  <c r="E140" i="17"/>
  <c r="E141" i="17" l="1"/>
  <c r="J140" i="17"/>
  <c r="K141" i="17"/>
  <c r="G142" i="17"/>
  <c r="P141" i="17"/>
  <c r="Q141" i="17" s="1"/>
  <c r="O142" i="17"/>
  <c r="N143" i="17"/>
  <c r="Q140" i="17"/>
  <c r="K140" i="17"/>
  <c r="O143" i="17" l="1"/>
  <c r="N144" i="17"/>
  <c r="G143" i="17"/>
  <c r="P142" i="17"/>
  <c r="J141" i="17"/>
  <c r="E142" i="17"/>
  <c r="Q142" i="17" l="1"/>
  <c r="E143" i="17"/>
  <c r="K143" i="17" s="1"/>
  <c r="J142" i="17"/>
  <c r="K142" i="17"/>
  <c r="N145" i="17"/>
  <c r="O144" i="17"/>
  <c r="G144" i="17"/>
  <c r="P143" i="17"/>
  <c r="Q143" i="17" s="1"/>
  <c r="G145" i="17" l="1"/>
  <c r="P144" i="17"/>
  <c r="O145" i="17"/>
  <c r="N146" i="17"/>
  <c r="E144" i="17"/>
  <c r="J143" i="17"/>
  <c r="E145" i="17" l="1"/>
  <c r="J144" i="17"/>
  <c r="K144" i="17"/>
  <c r="O146" i="17"/>
  <c r="N147" i="17"/>
  <c r="Q144" i="17"/>
  <c r="G146" i="17"/>
  <c r="P145" i="17"/>
  <c r="Q145" i="17" s="1"/>
  <c r="K145" i="17"/>
  <c r="O147" i="17" l="1"/>
  <c r="N148" i="17"/>
  <c r="P146" i="17"/>
  <c r="G147" i="17"/>
  <c r="J145" i="17"/>
  <c r="E146" i="17"/>
  <c r="J146" i="17" l="1"/>
  <c r="E147" i="17"/>
  <c r="Q146" i="17"/>
  <c r="P147" i="17"/>
  <c r="K147" i="17"/>
  <c r="G148" i="17"/>
  <c r="K146" i="17"/>
  <c r="O148" i="17"/>
  <c r="N149" i="17"/>
  <c r="Q147" i="17" l="1"/>
  <c r="P148" i="17"/>
  <c r="G149" i="17"/>
  <c r="J147" i="17"/>
  <c r="E148" i="17"/>
  <c r="O149" i="17"/>
  <c r="N150" i="17"/>
  <c r="O150" i="17" l="1"/>
  <c r="N151" i="17"/>
  <c r="J148" i="17"/>
  <c r="E149" i="17"/>
  <c r="K149" i="17" s="1"/>
  <c r="G150" i="17"/>
  <c r="P149" i="17"/>
  <c r="Q149" i="17" s="1"/>
  <c r="Q148" i="17"/>
  <c r="K148" i="17"/>
  <c r="G151" i="17" l="1"/>
  <c r="P150" i="17"/>
  <c r="J149" i="17"/>
  <c r="E150" i="17"/>
  <c r="N152" i="17"/>
  <c r="O151" i="17"/>
  <c r="Q150" i="17" l="1"/>
  <c r="N153" i="17"/>
  <c r="O152" i="17"/>
  <c r="E151" i="17"/>
  <c r="J150" i="17"/>
  <c r="G152" i="17"/>
  <c r="P151" i="17"/>
  <c r="Q151" i="17" s="1"/>
  <c r="K151" i="17"/>
  <c r="K150" i="17"/>
  <c r="G153" i="17" l="1"/>
  <c r="P152" i="17"/>
  <c r="E152" i="17"/>
  <c r="K152" i="17" s="1"/>
  <c r="J151" i="17"/>
  <c r="O153" i="17"/>
  <c r="N154" i="17"/>
  <c r="O154" i="17" l="1"/>
  <c r="N155" i="17"/>
  <c r="E153" i="17"/>
  <c r="J152" i="17"/>
  <c r="Q152" i="17"/>
  <c r="G154" i="17"/>
  <c r="P153" i="17"/>
  <c r="Q153" i="17" s="1"/>
  <c r="K153" i="17"/>
  <c r="P154" i="17" l="1"/>
  <c r="G155" i="17"/>
  <c r="J153" i="17"/>
  <c r="E154" i="17"/>
  <c r="O155" i="17"/>
  <c r="N156" i="17"/>
  <c r="J154" i="17" l="1"/>
  <c r="E155" i="17"/>
  <c r="K154" i="17"/>
  <c r="O156" i="17"/>
  <c r="N157" i="17"/>
  <c r="P155" i="17"/>
  <c r="Q155" i="17" s="1"/>
  <c r="K155" i="17"/>
  <c r="G156" i="17"/>
  <c r="Q154" i="17"/>
  <c r="P156" i="17" l="1"/>
  <c r="G157" i="17"/>
  <c r="O157" i="17"/>
  <c r="N158" i="17"/>
  <c r="J155" i="17"/>
  <c r="E156" i="17"/>
  <c r="O158" i="17" l="1"/>
  <c r="N159" i="17"/>
  <c r="G158" i="17"/>
  <c r="P157" i="17"/>
  <c r="J156" i="17"/>
  <c r="E157" i="17"/>
  <c r="Q156" i="17"/>
  <c r="K156" i="17"/>
  <c r="J157" i="17" l="1"/>
  <c r="E158" i="17"/>
  <c r="G159" i="17"/>
  <c r="P158" i="17"/>
  <c r="Q158" i="17" s="1"/>
  <c r="N160" i="17"/>
  <c r="O159" i="17"/>
  <c r="Q157" i="17"/>
  <c r="K157" i="17"/>
  <c r="E159" i="17" l="1"/>
  <c r="J158" i="17"/>
  <c r="N161" i="17"/>
  <c r="O160" i="17"/>
  <c r="G160" i="17"/>
  <c r="P159" i="17"/>
  <c r="Q159" i="17" s="1"/>
  <c r="K159" i="17"/>
  <c r="K158" i="17"/>
  <c r="G161" i="17" l="1"/>
  <c r="P160" i="17"/>
  <c r="O161" i="17"/>
  <c r="N162" i="17"/>
  <c r="E160" i="17"/>
  <c r="J159" i="17"/>
  <c r="E161" i="17" l="1"/>
  <c r="J160" i="17"/>
  <c r="K160" i="17"/>
  <c r="O162" i="17"/>
  <c r="N163" i="17"/>
  <c r="Q160" i="17"/>
  <c r="G162" i="17"/>
  <c r="P161" i="17"/>
  <c r="Q161" i="17" s="1"/>
  <c r="K161" i="17"/>
  <c r="O163" i="17" l="1"/>
  <c r="N164" i="17"/>
  <c r="P162" i="17"/>
  <c r="G163" i="17"/>
  <c r="J161" i="17"/>
  <c r="E162" i="17"/>
  <c r="Q162" i="17" l="1"/>
  <c r="J162" i="17"/>
  <c r="E163" i="17"/>
  <c r="K163" i="17" s="1"/>
  <c r="P163" i="17"/>
  <c r="Q163" i="17" s="1"/>
  <c r="G164" i="17"/>
  <c r="K162" i="17"/>
  <c r="O164" i="17"/>
  <c r="N165" i="17"/>
  <c r="P164" i="17" l="1"/>
  <c r="G165" i="17"/>
  <c r="J163" i="17"/>
  <c r="E164" i="17"/>
  <c r="O165" i="17"/>
  <c r="N166" i="17"/>
  <c r="O166" i="17" l="1"/>
  <c r="N167" i="17"/>
  <c r="J164" i="17"/>
  <c r="E165" i="17"/>
  <c r="K165" i="17" s="1"/>
  <c r="G166" i="17"/>
  <c r="P165" i="17"/>
  <c r="Q165" i="17" s="1"/>
  <c r="Q164" i="17"/>
  <c r="K164" i="17"/>
  <c r="G167" i="17" l="1"/>
  <c r="P166" i="17"/>
  <c r="N168" i="17"/>
  <c r="O167" i="17"/>
  <c r="J165" i="17"/>
  <c r="E166" i="17"/>
  <c r="N169" i="17" l="1"/>
  <c r="O168" i="17"/>
  <c r="E167" i="17"/>
  <c r="J166" i="17"/>
  <c r="Q166" i="17"/>
  <c r="G168" i="17"/>
  <c r="P167" i="17"/>
  <c r="Q167" i="17" s="1"/>
  <c r="K167" i="17"/>
  <c r="K166" i="17"/>
  <c r="E168" i="17" l="1"/>
  <c r="J167" i="17"/>
  <c r="G169" i="17"/>
  <c r="P168" i="17"/>
  <c r="Q168" i="17" s="1"/>
  <c r="K168" i="17"/>
  <c r="O169" i="17"/>
  <c r="N170" i="17"/>
  <c r="O170" i="17" l="1"/>
  <c r="N171" i="17"/>
  <c r="G170" i="17"/>
  <c r="P169" i="17"/>
  <c r="E169" i="17"/>
  <c r="K169" i="17" s="1"/>
  <c r="J168" i="17"/>
  <c r="P170" i="17" l="1"/>
  <c r="G171" i="17"/>
  <c r="J169" i="17"/>
  <c r="E170" i="17"/>
  <c r="Q169" i="17"/>
  <c r="O171" i="17"/>
  <c r="N172" i="17"/>
  <c r="O172" i="17" l="1"/>
  <c r="N173" i="17"/>
  <c r="J170" i="17"/>
  <c r="E171" i="17"/>
  <c r="P171" i="17"/>
  <c r="Q171" i="17" s="1"/>
  <c r="K171" i="17"/>
  <c r="G172" i="17"/>
  <c r="K170" i="17"/>
  <c r="Q170" i="17"/>
  <c r="P172" i="17" l="1"/>
  <c r="G173" i="17"/>
  <c r="O173" i="17"/>
  <c r="N174" i="17"/>
  <c r="J171" i="17"/>
  <c r="E172" i="17"/>
  <c r="J172" i="17" l="1"/>
  <c r="E173" i="17"/>
  <c r="O174" i="17"/>
  <c r="N175" i="17"/>
  <c r="K173" i="17"/>
  <c r="G174" i="17"/>
  <c r="P173" i="17"/>
  <c r="Q173" i="17" s="1"/>
  <c r="Q172" i="17"/>
  <c r="K172" i="17"/>
  <c r="G175" i="17" l="1"/>
  <c r="P174" i="17"/>
  <c r="N176" i="17"/>
  <c r="O175" i="17"/>
  <c r="J173" i="17"/>
  <c r="E174" i="17"/>
  <c r="N177" i="17" l="1"/>
  <c r="O176" i="17"/>
  <c r="G176" i="17"/>
  <c r="P175" i="17"/>
  <c r="E175" i="17"/>
  <c r="J174" i="17"/>
  <c r="Q174" i="17"/>
  <c r="K174" i="17"/>
  <c r="E176" i="17" l="1"/>
  <c r="J175" i="17"/>
  <c r="K175" i="17"/>
  <c r="Q175" i="17"/>
  <c r="G177" i="17"/>
  <c r="P176" i="17"/>
  <c r="Q176" i="17" s="1"/>
  <c r="K176" i="17"/>
  <c r="O177" i="17"/>
  <c r="N178" i="17"/>
  <c r="G178" i="17" l="1"/>
  <c r="P177" i="17"/>
  <c r="O178" i="17"/>
  <c r="N179" i="17"/>
  <c r="E177" i="17"/>
  <c r="J176" i="17"/>
  <c r="O179" i="17" l="1"/>
  <c r="N180" i="17"/>
  <c r="Q177" i="17"/>
  <c r="J177" i="17"/>
  <c r="E178" i="17"/>
  <c r="K177" i="17"/>
  <c r="P178" i="17"/>
  <c r="Q178" i="17" s="1"/>
  <c r="K178" i="17"/>
  <c r="G179" i="17"/>
  <c r="J178" i="17" l="1"/>
  <c r="E179" i="17"/>
  <c r="O180" i="17"/>
  <c r="N181" i="17"/>
  <c r="P179" i="17"/>
  <c r="Q179" i="17" s="1"/>
  <c r="K179" i="17"/>
  <c r="G180" i="17"/>
  <c r="P180" i="17" l="1"/>
  <c r="G181" i="17"/>
  <c r="O181" i="17"/>
  <c r="N182" i="17"/>
  <c r="J179" i="17"/>
  <c r="E180" i="17"/>
  <c r="J180" i="17" l="1"/>
  <c r="E181" i="17"/>
  <c r="O182" i="17"/>
  <c r="N183" i="17"/>
  <c r="K181" i="17"/>
  <c r="G182" i="17"/>
  <c r="P181" i="17"/>
  <c r="Q181" i="17" s="1"/>
  <c r="Q180" i="17"/>
  <c r="K180" i="17"/>
  <c r="G183" i="17" l="1"/>
  <c r="P182" i="17"/>
  <c r="J181" i="17"/>
  <c r="E182" i="17"/>
  <c r="N184" i="17"/>
  <c r="O183" i="17"/>
  <c r="O184" i="17" l="1"/>
  <c r="N185" i="17"/>
  <c r="E183" i="17"/>
  <c r="J182" i="17"/>
  <c r="Q182" i="17"/>
  <c r="G184" i="17"/>
  <c r="P183" i="17"/>
  <c r="Q183" i="17" s="1"/>
  <c r="K183" i="17"/>
  <c r="K182" i="17"/>
  <c r="G185" i="17" l="1"/>
  <c r="P184" i="17"/>
  <c r="O185" i="17"/>
  <c r="N186" i="17"/>
  <c r="E184" i="17"/>
  <c r="K184" i="17" s="1"/>
  <c r="J183" i="17"/>
  <c r="O186" i="17" l="1"/>
  <c r="N187" i="17"/>
  <c r="E185" i="17"/>
  <c r="J184" i="17"/>
  <c r="Q184" i="17"/>
  <c r="G186" i="17"/>
  <c r="P185" i="17"/>
  <c r="Q185" i="17" s="1"/>
  <c r="K185" i="17"/>
  <c r="P186" i="17" l="1"/>
  <c r="G187" i="17"/>
  <c r="J185" i="17"/>
  <c r="E186" i="17"/>
  <c r="O187" i="17"/>
  <c r="N188" i="17"/>
  <c r="O188" i="17" l="1"/>
  <c r="N189" i="17"/>
  <c r="J186" i="17"/>
  <c r="E187" i="17"/>
  <c r="K186" i="17"/>
  <c r="P187" i="17"/>
  <c r="Q187" i="17" s="1"/>
  <c r="K187" i="17"/>
  <c r="G188" i="17"/>
  <c r="Q186" i="17"/>
  <c r="P188" i="17" l="1"/>
  <c r="G189" i="17"/>
  <c r="N190" i="17"/>
  <c r="O189" i="17"/>
  <c r="J187" i="17"/>
  <c r="E188" i="17"/>
  <c r="G190" i="17" l="1"/>
  <c r="P189" i="17"/>
  <c r="J188" i="17"/>
  <c r="E189" i="17"/>
  <c r="O190" i="17"/>
  <c r="N191" i="17"/>
  <c r="Q188" i="17"/>
  <c r="K188" i="17"/>
  <c r="O191" i="17" l="1"/>
  <c r="N192" i="17"/>
  <c r="Q189" i="17"/>
  <c r="J189" i="17"/>
  <c r="E190" i="17"/>
  <c r="K190" i="17"/>
  <c r="P190" i="17"/>
  <c r="Q190" i="17" s="1"/>
  <c r="G191" i="17"/>
  <c r="K189" i="17"/>
  <c r="O192" i="17" l="1"/>
  <c r="N193" i="17"/>
  <c r="P191" i="17"/>
  <c r="G192" i="17"/>
  <c r="E191" i="17"/>
  <c r="J190" i="17"/>
  <c r="G193" i="17" l="1"/>
  <c r="P192" i="17"/>
  <c r="Q191" i="17"/>
  <c r="J191" i="17"/>
  <c r="E192" i="17"/>
  <c r="K191" i="17"/>
  <c r="N194" i="17"/>
  <c r="O193" i="17"/>
  <c r="J192" i="17" l="1"/>
  <c r="E193" i="17"/>
  <c r="O194" i="17"/>
  <c r="N195" i="17"/>
  <c r="K193" i="17"/>
  <c r="G194" i="17"/>
  <c r="P193" i="17"/>
  <c r="Q193" i="17" s="1"/>
  <c r="Q192" i="17"/>
  <c r="K192" i="17"/>
  <c r="G195" i="17" l="1"/>
  <c r="P194" i="17"/>
  <c r="O195" i="17"/>
  <c r="N196" i="17"/>
  <c r="E194" i="17"/>
  <c r="J193" i="17"/>
  <c r="O196" i="17" l="1"/>
  <c r="N197" i="17"/>
  <c r="Q194" i="17"/>
  <c r="E195" i="17"/>
  <c r="J194" i="17"/>
  <c r="K194" i="17"/>
  <c r="G196" i="17"/>
  <c r="P195" i="17"/>
  <c r="Q195" i="17" s="1"/>
  <c r="G197" i="17" l="1"/>
  <c r="P196" i="17"/>
  <c r="E196" i="17"/>
  <c r="K196" i="17" s="1"/>
  <c r="J195" i="17"/>
  <c r="O197" i="17"/>
  <c r="N198" i="17"/>
  <c r="K195" i="17"/>
  <c r="N199" i="17" l="1"/>
  <c r="O198" i="17"/>
  <c r="J196" i="17"/>
  <c r="E197" i="17"/>
  <c r="Q196" i="17"/>
  <c r="P197" i="17"/>
  <c r="Q197" i="17" s="1"/>
  <c r="K197" i="17"/>
  <c r="G198" i="17"/>
  <c r="P198" i="17" l="1"/>
  <c r="G199" i="17"/>
  <c r="J197" i="17"/>
  <c r="E198" i="17"/>
  <c r="O199" i="17"/>
  <c r="N200" i="17"/>
  <c r="O200" i="17" l="1"/>
  <c r="N201" i="17"/>
  <c r="J198" i="17"/>
  <c r="E199" i="17"/>
  <c r="K198" i="17"/>
  <c r="K199" i="17"/>
  <c r="G200" i="17"/>
  <c r="P199" i="17"/>
  <c r="Q199" i="17" s="1"/>
  <c r="Q198" i="17"/>
  <c r="G201" i="17" l="1"/>
  <c r="P200" i="17"/>
  <c r="J199" i="17"/>
  <c r="E200" i="17"/>
  <c r="N202" i="17"/>
  <c r="O201" i="17"/>
  <c r="O202" i="17" l="1"/>
  <c r="N203" i="17"/>
  <c r="J200" i="17"/>
  <c r="E201" i="17"/>
  <c r="Q200" i="17"/>
  <c r="K201" i="17"/>
  <c r="G202" i="17"/>
  <c r="P201" i="17"/>
  <c r="Q201" i="17" s="1"/>
  <c r="K200" i="17"/>
  <c r="G203" i="17" l="1"/>
  <c r="P202" i="17"/>
  <c r="O203" i="17"/>
  <c r="N204" i="17"/>
  <c r="E202" i="17"/>
  <c r="J201" i="17"/>
  <c r="E203" i="17" l="1"/>
  <c r="J202" i="17"/>
  <c r="K202" i="17"/>
  <c r="O204" i="17"/>
  <c r="N205" i="17"/>
  <c r="Q202" i="17"/>
  <c r="G204" i="17"/>
  <c r="P203" i="17"/>
  <c r="Q203" i="17" s="1"/>
  <c r="K203" i="17"/>
  <c r="G205" i="17" l="1"/>
  <c r="P204" i="17"/>
  <c r="O205" i="17"/>
  <c r="N206" i="17"/>
  <c r="E204" i="17"/>
  <c r="K204" i="17" s="1"/>
  <c r="J203" i="17"/>
  <c r="N207" i="17" l="1"/>
  <c r="O206" i="17"/>
  <c r="J204" i="17"/>
  <c r="E205" i="17"/>
  <c r="Q204" i="17"/>
  <c r="P205" i="17"/>
  <c r="Q205" i="17" s="1"/>
  <c r="K205" i="17"/>
  <c r="G206" i="17"/>
  <c r="P206" i="17" l="1"/>
  <c r="G207" i="17"/>
  <c r="J205" i="17"/>
  <c r="E206" i="17"/>
  <c r="O207" i="17"/>
  <c r="N208" i="17"/>
  <c r="J206" i="17" l="1"/>
  <c r="E207" i="17"/>
  <c r="K206" i="17"/>
  <c r="O208" i="17"/>
  <c r="N209" i="17"/>
  <c r="K207" i="17"/>
  <c r="G208" i="17"/>
  <c r="P207" i="17"/>
  <c r="Q207" i="17" s="1"/>
  <c r="Q206" i="17"/>
  <c r="G209" i="17" l="1"/>
  <c r="P208" i="17"/>
  <c r="J207" i="17"/>
  <c r="E208" i="17"/>
  <c r="O209" i="17"/>
  <c r="N210" i="17"/>
  <c r="O210" i="17" l="1"/>
  <c r="N211" i="17"/>
  <c r="J208" i="17"/>
  <c r="E209" i="17"/>
  <c r="K209" i="17" s="1"/>
  <c r="Q208" i="17"/>
  <c r="G210" i="17"/>
  <c r="P209" i="17"/>
  <c r="Q209" i="17" s="1"/>
  <c r="K208" i="17"/>
  <c r="G211" i="17" l="1"/>
  <c r="P210" i="17"/>
  <c r="E210" i="17"/>
  <c r="J209" i="17"/>
  <c r="O211" i="17"/>
  <c r="N212" i="17"/>
  <c r="Q210" i="17" l="1"/>
  <c r="O212" i="17"/>
  <c r="N213" i="17"/>
  <c r="E211" i="17"/>
  <c r="K211" i="17" s="1"/>
  <c r="J210" i="17"/>
  <c r="K210" i="17"/>
  <c r="G212" i="17"/>
  <c r="P211" i="17"/>
  <c r="Q211" i="17" s="1"/>
  <c r="G213" i="17" l="1"/>
  <c r="P212" i="17"/>
  <c r="E212" i="17"/>
  <c r="K212" i="17" s="1"/>
  <c r="J211" i="17"/>
  <c r="O213" i="17"/>
  <c r="N214" i="17"/>
  <c r="O214" i="17" l="1"/>
  <c r="N215" i="17"/>
  <c r="J212" i="17"/>
  <c r="E213" i="17"/>
  <c r="Q212" i="17"/>
  <c r="P213" i="17"/>
  <c r="Q213" i="17" s="1"/>
  <c r="K213" i="17"/>
  <c r="G214" i="17"/>
  <c r="O215" i="17" l="1"/>
  <c r="N216" i="17"/>
  <c r="P214" i="17"/>
  <c r="G215" i="17"/>
  <c r="J213" i="17"/>
  <c r="E214" i="17"/>
  <c r="J214" i="17" l="1"/>
  <c r="E215" i="17"/>
  <c r="Q214" i="17"/>
  <c r="K215" i="17"/>
  <c r="G216" i="17"/>
  <c r="P215" i="17"/>
  <c r="Q215" i="17" s="1"/>
  <c r="K214" i="17"/>
  <c r="O216" i="17"/>
  <c r="N217" i="17"/>
  <c r="J215" i="17" l="1"/>
  <c r="E216" i="17"/>
  <c r="G217" i="17"/>
  <c r="P216" i="17"/>
  <c r="Q216" i="17" s="1"/>
  <c r="O217" i="17"/>
  <c r="N218" i="17"/>
  <c r="O218" i="17" l="1"/>
  <c r="N219" i="17"/>
  <c r="J216" i="17"/>
  <c r="E217" i="17"/>
  <c r="K217" i="17" s="1"/>
  <c r="G218" i="17"/>
  <c r="P217" i="17"/>
  <c r="Q217" i="17" s="1"/>
  <c r="K216" i="17"/>
  <c r="O219" i="17" l="1"/>
  <c r="N220" i="17"/>
  <c r="G219" i="17"/>
  <c r="P218" i="17"/>
  <c r="E218" i="17"/>
  <c r="K218" i="17" s="1"/>
  <c r="J217" i="17"/>
  <c r="G220" i="17" l="1"/>
  <c r="P219" i="17"/>
  <c r="E219" i="17"/>
  <c r="J218" i="17"/>
  <c r="Q218" i="17"/>
  <c r="O220" i="17"/>
  <c r="N221" i="17"/>
  <c r="O221" i="17" l="1"/>
  <c r="N222" i="17"/>
  <c r="E220" i="17"/>
  <c r="J219" i="17"/>
  <c r="K219" i="17"/>
  <c r="Q219" i="17"/>
  <c r="G221" i="17"/>
  <c r="P220" i="17"/>
  <c r="Q220" i="17" s="1"/>
  <c r="O222" i="17" l="1"/>
  <c r="N223" i="17"/>
  <c r="P221" i="17"/>
  <c r="G222" i="17"/>
  <c r="J220" i="17"/>
  <c r="E221" i="17"/>
  <c r="K220" i="17"/>
  <c r="P222" i="17" l="1"/>
  <c r="G223" i="17"/>
  <c r="Q221" i="17"/>
  <c r="J221" i="17"/>
  <c r="E222" i="17"/>
  <c r="K221" i="17"/>
  <c r="O223" i="17"/>
  <c r="N224" i="17"/>
  <c r="J222" i="17" l="1"/>
  <c r="E223" i="17"/>
  <c r="K222" i="17"/>
  <c r="K223" i="17"/>
  <c r="G224" i="17"/>
  <c r="P223" i="17"/>
  <c r="Q223" i="17" s="1"/>
  <c r="O224" i="17"/>
  <c r="N225" i="17"/>
  <c r="Q222" i="17"/>
  <c r="O225" i="17" l="1"/>
  <c r="N226" i="17"/>
  <c r="G225" i="17"/>
  <c r="P224" i="17"/>
  <c r="J223" i="17"/>
  <c r="E224" i="17"/>
  <c r="J224" i="17" l="1"/>
  <c r="E225" i="17"/>
  <c r="K224" i="17"/>
  <c r="Q224" i="17"/>
  <c r="K225" i="17"/>
  <c r="G226" i="17"/>
  <c r="P225" i="17"/>
  <c r="Q225" i="17" s="1"/>
  <c r="O226" i="17"/>
  <c r="N227" i="17"/>
  <c r="E226" i="17" l="1"/>
  <c r="J225" i="17"/>
  <c r="G227" i="17"/>
  <c r="P226" i="17"/>
  <c r="Q226" i="17" s="1"/>
  <c r="K226" i="17"/>
  <c r="O227" i="17"/>
  <c r="N228" i="17"/>
  <c r="O228" i="17" l="1"/>
  <c r="N229" i="17"/>
  <c r="G228" i="17"/>
  <c r="P227" i="17"/>
  <c r="E227" i="17"/>
  <c r="J226" i="17"/>
  <c r="E228" i="17" l="1"/>
  <c r="J227" i="17"/>
  <c r="K227" i="17"/>
  <c r="G229" i="17"/>
  <c r="P228" i="17"/>
  <c r="Q228" i="17" s="1"/>
  <c r="K228" i="17"/>
  <c r="Q227" i="17"/>
  <c r="O229" i="17"/>
  <c r="N230" i="17"/>
  <c r="P229" i="17" l="1"/>
  <c r="G230" i="17"/>
  <c r="O230" i="17"/>
  <c r="N231" i="17"/>
  <c r="J228" i="17"/>
  <c r="E229" i="17"/>
  <c r="J229" i="17" l="1"/>
  <c r="E230" i="17"/>
  <c r="O231" i="17"/>
  <c r="N232" i="17"/>
  <c r="K229" i="17"/>
  <c r="P230" i="17"/>
  <c r="Q230" i="17" s="1"/>
  <c r="K230" i="17"/>
  <c r="G231" i="17"/>
  <c r="Q229" i="17"/>
  <c r="G232" i="17" l="1"/>
  <c r="P231" i="17"/>
  <c r="J230" i="17"/>
  <c r="E231" i="17"/>
  <c r="O232" i="17"/>
  <c r="N233" i="17"/>
  <c r="O233" i="17" l="1"/>
  <c r="N234" i="17"/>
  <c r="J231" i="17"/>
  <c r="E232" i="17"/>
  <c r="K232" i="17"/>
  <c r="G233" i="17"/>
  <c r="P232" i="17"/>
  <c r="Q232" i="17" s="1"/>
  <c r="Q231" i="17"/>
  <c r="K231" i="17"/>
  <c r="G234" i="17" l="1"/>
  <c r="P233" i="17"/>
  <c r="O234" i="17"/>
  <c r="N235" i="17"/>
  <c r="J232" i="17"/>
  <c r="E233" i="17"/>
  <c r="Q233" i="17" l="1"/>
  <c r="E234" i="17"/>
  <c r="J233" i="17"/>
  <c r="O235" i="17"/>
  <c r="N236" i="17"/>
  <c r="G235" i="17"/>
  <c r="P234" i="17"/>
  <c r="Q234" i="17" s="1"/>
  <c r="K234" i="17"/>
  <c r="K233" i="17"/>
  <c r="O236" i="17" l="1"/>
  <c r="N237" i="17"/>
  <c r="E235" i="17"/>
  <c r="J234" i="17"/>
  <c r="G236" i="17"/>
  <c r="P235" i="17"/>
  <c r="Q235" i="17" s="1"/>
  <c r="K235" i="17"/>
  <c r="E236" i="17" l="1"/>
  <c r="J235" i="17"/>
  <c r="G237" i="17"/>
  <c r="P236" i="17"/>
  <c r="Q236" i="17" s="1"/>
  <c r="K236" i="17"/>
  <c r="O237" i="17"/>
  <c r="N238" i="17"/>
  <c r="O238" i="17" l="1"/>
  <c r="N239" i="17"/>
  <c r="P237" i="17"/>
  <c r="G238" i="17"/>
  <c r="J236" i="17"/>
  <c r="E237" i="17"/>
  <c r="J237" i="17" l="1"/>
  <c r="E238" i="17"/>
  <c r="Q237" i="17"/>
  <c r="P238" i="17"/>
  <c r="Q238" i="17" s="1"/>
  <c r="K238" i="17"/>
  <c r="G239" i="17"/>
  <c r="K237" i="17"/>
  <c r="O239" i="17"/>
  <c r="N240" i="17"/>
  <c r="G240" i="17" l="1"/>
  <c r="P239" i="17"/>
  <c r="J238" i="17"/>
  <c r="E239" i="17"/>
  <c r="O240" i="17"/>
  <c r="N241" i="17"/>
  <c r="Q239" i="17" l="1"/>
  <c r="O241" i="17"/>
  <c r="N242" i="17"/>
  <c r="J239" i="17"/>
  <c r="E240" i="17"/>
  <c r="K240" i="17"/>
  <c r="G241" i="17"/>
  <c r="P240" i="17"/>
  <c r="Q240" i="17" s="1"/>
  <c r="K239" i="17"/>
  <c r="G242" i="17" l="1"/>
  <c r="P241" i="17"/>
  <c r="J240" i="17"/>
  <c r="E241" i="17"/>
  <c r="O242" i="17"/>
  <c r="N243" i="17"/>
  <c r="O243" i="17" l="1"/>
  <c r="N244" i="17"/>
  <c r="E242" i="17"/>
  <c r="J241" i="17"/>
  <c r="Q241" i="17"/>
  <c r="G243" i="17"/>
  <c r="P242" i="17"/>
  <c r="Q242" i="17" s="1"/>
  <c r="K242" i="17"/>
  <c r="K241" i="17"/>
  <c r="O244" i="17" l="1"/>
  <c r="N245" i="17"/>
  <c r="G244" i="17"/>
  <c r="P243" i="17"/>
  <c r="E243" i="17"/>
  <c r="J242" i="17"/>
  <c r="E244" i="17" l="1"/>
  <c r="J243" i="17"/>
  <c r="Q243" i="17"/>
  <c r="K243" i="17"/>
  <c r="G245" i="17"/>
  <c r="P244" i="17"/>
  <c r="Q244" i="17" s="1"/>
  <c r="K244" i="17"/>
  <c r="O245" i="17"/>
  <c r="N246" i="17"/>
  <c r="G246" i="17" l="1"/>
  <c r="P245" i="17"/>
  <c r="O246" i="17"/>
  <c r="N247" i="17"/>
  <c r="J244" i="17"/>
  <c r="E245" i="17"/>
  <c r="J245" i="17" l="1"/>
  <c r="E246" i="17"/>
  <c r="O247" i="17"/>
  <c r="N248" i="17"/>
  <c r="Q245" i="17"/>
  <c r="G247" i="17"/>
  <c r="K246" i="17"/>
  <c r="P246" i="17"/>
  <c r="Q246" i="17" s="1"/>
  <c r="K245" i="17"/>
  <c r="G248" i="17" l="1"/>
  <c r="P247" i="17"/>
  <c r="N249" i="17"/>
  <c r="O248" i="17"/>
  <c r="J246" i="17"/>
  <c r="E247" i="17"/>
  <c r="E248" i="17" l="1"/>
  <c r="J247" i="17"/>
  <c r="K247" i="17"/>
  <c r="O249" i="17"/>
  <c r="N250" i="17"/>
  <c r="Q247" i="17"/>
  <c r="G249" i="17"/>
  <c r="P248" i="17"/>
  <c r="Q248" i="17" s="1"/>
  <c r="K248" i="17"/>
  <c r="N251" i="17" l="1"/>
  <c r="O251" i="17" s="1"/>
  <c r="O10" i="17" s="1"/>
  <c r="O250" i="17"/>
  <c r="P249" i="17"/>
  <c r="G250" i="17"/>
  <c r="J248" i="17"/>
  <c r="E249" i="17"/>
  <c r="P250" i="17" l="1"/>
  <c r="G251" i="17"/>
  <c r="E250" i="17"/>
  <c r="K250" i="17" s="1"/>
  <c r="J249" i="17"/>
  <c r="K249" i="17"/>
  <c r="Q249" i="17"/>
  <c r="J250" i="17" l="1"/>
  <c r="E251" i="17"/>
  <c r="J251" i="17" s="1"/>
  <c r="J10" i="17" s="1"/>
  <c r="B2" i="17" s="1"/>
  <c r="B6" i="17" s="1"/>
  <c r="K251" i="17"/>
  <c r="K10" i="17" s="1"/>
  <c r="P251" i="17"/>
  <c r="Q251" i="17" s="1"/>
  <c r="Q10" i="17" s="1"/>
  <c r="Q250" i="17"/>
  <c r="B7" i="17" l="1"/>
</calcChain>
</file>

<file path=xl/sharedStrings.xml><?xml version="1.0" encoding="utf-8"?>
<sst xmlns="http://schemas.openxmlformats.org/spreadsheetml/2006/main" count="876" uniqueCount="460">
  <si>
    <t>Annual Salary</t>
  </si>
  <si>
    <t>Total</t>
  </si>
  <si>
    <t>ABC's Employee Headcount - 2023</t>
  </si>
  <si>
    <t>Current EI Contribution from ABC</t>
  </si>
  <si>
    <t>$367,944.08 - $305,656.40 = $62,287.68</t>
  </si>
  <si>
    <t xml:space="preserve">And the employer must share 5/12 of the saving with the employees. Therefore, the </t>
  </si>
  <si>
    <t>7/12 * $62,287.68 = $36,334.48</t>
  </si>
  <si>
    <t xml:space="preserve">Finally, the additional cost to ABC to provide the proposed STD plan is the STD premium </t>
  </si>
  <si>
    <t>$193,120.80 - $36,334.48 = $156,786.32</t>
  </si>
  <si>
    <t>Current EI Contribution per Employee</t>
  </si>
  <si>
    <t>Current EI contribution per Employee= min(salary * 1.58%, $952.74)</t>
  </si>
  <si>
    <t>Current EI Contribution from ABC= Current EI contribution per Employee * 1.4</t>
  </si>
  <si>
    <t>Revised EI Contribution from ABC</t>
  </si>
  <si>
    <t>Revised EI Contribution from ABC= Current EI Contribution per Employee * 1.163</t>
  </si>
  <si>
    <t>STD Insurance Volume per Employee</t>
  </si>
  <si>
    <t>STD Monthly Premium per Employee</t>
  </si>
  <si>
    <t>STD Annual Premium per Employee</t>
  </si>
  <si>
    <t>STD Insurance Volume per Employee= min(salary/12*75%, $1,000)</t>
  </si>
  <si>
    <t>STD Monthly Premium per Employee = STD Insurance Volume per Employee * $0.660 / $10</t>
  </si>
  <si>
    <t>less the employer portion of the EI premium reduction, or</t>
  </si>
  <si>
    <t xml:space="preserve">The saving on EI premium due to the implmentation of a STD plan is the reduction </t>
  </si>
  <si>
    <t xml:space="preserve">in the EI contribution from ABC, or </t>
  </si>
  <si>
    <t>Employee portion of the EI premium savings is 5/12 of the EI premium reduction, or</t>
  </si>
  <si>
    <t>5/12 * $62,287.68 = $25,953.20</t>
  </si>
  <si>
    <t>EI Premium Reduction per Employee</t>
  </si>
  <si>
    <t>Revised Annual Salary</t>
  </si>
  <si>
    <t>Current CPP Contribution</t>
  </si>
  <si>
    <t>Current Income Tax</t>
  </si>
  <si>
    <t>Current EI Contribution</t>
  </si>
  <si>
    <t>Revised CPP Contribution</t>
  </si>
  <si>
    <t>Revised EI Contribution</t>
  </si>
  <si>
    <t>Revised Income Tax</t>
  </si>
  <si>
    <t>Change in Annual Income</t>
  </si>
  <si>
    <t>Revised Net Income</t>
  </si>
  <si>
    <t>Current Net Income</t>
  </si>
  <si>
    <t>Current CPP Contribution= (min(salary, $66,600) - $3,500) * 5.95%</t>
  </si>
  <si>
    <t>Current EI Contribution= min(salary*1.58%, $952.74)</t>
  </si>
  <si>
    <t>Current Income Tax= salary * 30%</t>
  </si>
  <si>
    <t xml:space="preserve">Please note, while the employer portion of the EI contribution reduced due to the implmentation of </t>
  </si>
  <si>
    <t xml:space="preserve">STD plan, the employee portion (i.e., 1.58%) of the EI contribution reminded the same. </t>
  </si>
  <si>
    <t>Net Income= Annual Salary, less CPP Contribution, less EI Contribution, less Income Tax</t>
  </si>
  <si>
    <t>Total cash rebate on a net  basis is $16,392.32</t>
  </si>
  <si>
    <t>actual savings (on EI premium) for the employer is 7/12 of $62,287.68, or</t>
  </si>
  <si>
    <t>Question 4</t>
  </si>
  <si>
    <t xml:space="preserve">You have been engaged by company ABC to conduct a benefits review. ABC is considering adding the following Short-Term Disability (STD) plan on a fully insured basis </t>
  </si>
  <si>
    <t xml:space="preserve">for which ABC will pay 100% of the premiums: </t>
  </si>
  <si>
    <t>Provisions</t>
  </si>
  <si>
    <t>Monthly premium rate</t>
  </si>
  <si>
    <t>Basis</t>
  </si>
  <si>
    <t>75% of weekly salary up to $1,000</t>
  </si>
  <si>
    <t>Per $10 of weekly benefit</t>
  </si>
  <si>
    <t>3-day elimination period</t>
  </si>
  <si>
    <t>26-week benefit period</t>
  </si>
  <si>
    <t>You are given the following:</t>
  </si>
  <si>
    <t>o     ABC is proceeding under the presumption that the plan qualifies for the EI PRP</t>
  </si>
  <si>
    <t>o     Employees pay EI premiums at a rate of 1.58% of salary to a maximum of $952.74 annually</t>
  </si>
  <si>
    <t>o     The employer currently pays 1.400 times total employee EI premiums, but this would reduce to 1.163 under the EI PRP if the proposed STD plan was implemented</t>
  </si>
  <si>
    <t>o     Employee salaries and headcounts are as follows:</t>
  </si>
  <si>
    <t>ABC's Employee Headcount</t>
  </si>
  <si>
    <t>(b)             (3 points)  Calculate the additional cost to ABC to provide the proposed STD plan.  State any assumptions and show your work.</t>
  </si>
  <si>
    <t xml:space="preserve">(c)             (2 points)  </t>
  </si>
  <si>
    <r>
      <t>(i)</t>
    </r>
    <r>
      <rPr>
        <sz val="7"/>
        <color theme="1"/>
        <rFont val="Times New Roman"/>
        <family val="1"/>
      </rPr>
      <t xml:space="preserve">              </t>
    </r>
    <r>
      <rPr>
        <sz val="12"/>
        <color theme="1"/>
        <rFont val="Times New Roman"/>
        <family val="1"/>
      </rPr>
      <t>Calculate the minimum amount of EI savings that need to be returned to employees.  State any assumptions and show your work.</t>
    </r>
  </si>
  <si>
    <t xml:space="preserve">ABC considers returning the employee’s portion of the EI PRP savings as a cash rebate.  The rebate will be the same for all employees before taxes.  You are provided </t>
  </si>
  <si>
    <t xml:space="preserve">with the following assumptions: </t>
  </si>
  <si>
    <t>o     Marginal income tax rate for all employees: 30%</t>
  </si>
  <si>
    <t>o     CPP information:</t>
  </si>
  <si>
    <t>Contribution rate</t>
  </si>
  <si>
    <t>Yearly Basic Exemption (YBE)</t>
  </si>
  <si>
    <t>Yearly Maximum Pensionable Earnings (YMPE)</t>
  </si>
  <si>
    <t>(d)             (2 points)  Calculate the total cash rebate on a net basis for all employees. State any assumptions and show your work.</t>
  </si>
  <si>
    <t>Part (b)</t>
  </si>
  <si>
    <t>Part (c)</t>
  </si>
  <si>
    <t>Part (d)</t>
  </si>
  <si>
    <t xml:space="preserve">       (iii)  9-month average completion ratios</t>
  </si>
  <si>
    <t xml:space="preserve">       (ii)  6-month average completion ratios</t>
  </si>
  <si>
    <t xml:space="preserve">       (i)  3-month average completion ratios</t>
  </si>
  <si>
    <t xml:space="preserve">       Show your work.</t>
  </si>
  <si>
    <t>(c)             (3 points)  Calculate the unpaid claim liabilities as of 8/1/20X2 using a development method that addresses the enrollment decline for the following completion ratios.</t>
  </si>
  <si>
    <t>over the last few years. Assume claims are fully complete by 18 months.</t>
  </si>
  <si>
    <t>In the Excel spreadsheet, Exhibits 1 and 2 provide enrollment and a history of paid claims by month for a block of small group dental business that has been declining in enrollment</t>
  </si>
  <si>
    <t xml:space="preserve">       (ii)  Recommend the hospital IBNR that you would record at 6/30/20X2. Justify your answer and show your work.</t>
  </si>
  <si>
    <t xml:space="preserve">       (i)  Critique the intern’s IBNR estimate</t>
  </si>
  <si>
    <t>(b)             (3 points)  Calculate the following. Show your work.</t>
  </si>
  <si>
    <t>Hospital IBNR</t>
  </si>
  <si>
    <t>-Total Paid Claims</t>
  </si>
  <si>
    <t>Total Incurred Claims</t>
  </si>
  <si>
    <t>x Average Member Months</t>
  </si>
  <si>
    <t>Cost Per Admission</t>
  </si>
  <si>
    <t>Hospital Paid Claims</t>
  </si>
  <si>
    <t>Physician Paid Claims</t>
  </si>
  <si>
    <t>Revenue</t>
  </si>
  <si>
    <t>Pre-Authorized Admission</t>
  </si>
  <si>
    <t>Members</t>
  </si>
  <si>
    <t>6/1/20X2</t>
  </si>
  <si>
    <t>5/1/20X2</t>
  </si>
  <si>
    <t>4/1/20X2</t>
  </si>
  <si>
    <t>3/1/20X2</t>
  </si>
  <si>
    <t>2/1/20X2</t>
  </si>
  <si>
    <t>1/1/20X2</t>
  </si>
  <si>
    <t>Intern's estimate of small group hospital IBNR at 6/1/20X2</t>
  </si>
  <si>
    <t>Question 1</t>
  </si>
  <si>
    <t>8/1/20X2</t>
  </si>
  <si>
    <t>7/1/20X2</t>
  </si>
  <si>
    <t>12/1/20X1</t>
  </si>
  <si>
    <t>11/1/20X1</t>
  </si>
  <si>
    <t>10/1/20X1</t>
  </si>
  <si>
    <t>9/1/20X1</t>
  </si>
  <si>
    <t>8/1/20X1</t>
  </si>
  <si>
    <t>7/1/20X1</t>
  </si>
  <si>
    <t>6/1/20X1</t>
  </si>
  <si>
    <t>5/1/20X1</t>
  </si>
  <si>
    <t>4/1/20X1</t>
  </si>
  <si>
    <t>3/1/20X1</t>
  </si>
  <si>
    <t>2/1/20X1</t>
  </si>
  <si>
    <t>1/1/20X1</t>
  </si>
  <si>
    <t>12/1/20X0</t>
  </si>
  <si>
    <t>11/1/20X0</t>
  </si>
  <si>
    <t>10/1/20X0</t>
  </si>
  <si>
    <t>9/1/20X0</t>
  </si>
  <si>
    <t>8/1/20X0</t>
  </si>
  <si>
    <t>7/1/20X0</t>
  </si>
  <si>
    <t>6/1/20X0</t>
  </si>
  <si>
    <t>5/1/20X0</t>
  </si>
  <si>
    <t>4/1/20X0</t>
  </si>
  <si>
    <t>3/1/20X0</t>
  </si>
  <si>
    <t>2/1/20X0</t>
  </si>
  <si>
    <t>1/1/20X0</t>
  </si>
  <si>
    <t>Incurral Month</t>
  </si>
  <si>
    <t>Exhibit 1 - Claims by Payment Month</t>
  </si>
  <si>
    <t>Enrollment</t>
  </si>
  <si>
    <t>Exhibit 2 - Enrollment by Incurral Month</t>
  </si>
  <si>
    <r>
      <t>(d)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(2</t>
    </r>
    <r>
      <rPr>
        <i/>
        <sz val="12"/>
        <color theme="1"/>
        <rFont val="Times New Roman"/>
        <family val="1"/>
      </rPr>
      <t xml:space="preserve"> points</t>
    </r>
    <r>
      <rPr>
        <sz val="12"/>
        <color theme="1"/>
        <rFont val="Times New Roman"/>
        <family val="1"/>
      </rPr>
      <t>)  Construct a reconciliation of the DBO under IAS 19 for 20X2.  State any assumptions and show your work.</t>
    </r>
  </si>
  <si>
    <t>Gain</t>
  </si>
  <si>
    <t>Update to discount rate assumption</t>
  </si>
  <si>
    <t>Update to mortality assumption</t>
  </si>
  <si>
    <t>Loss</t>
  </si>
  <si>
    <t>Update to health care cost trend rates</t>
  </si>
  <si>
    <t>Update to claims cost assumption</t>
  </si>
  <si>
    <t>Gain or Loss</t>
  </si>
  <si>
    <t>Impact</t>
  </si>
  <si>
    <t xml:space="preserve">At December 31, 20X2, some of the actuarial assumptions have changed.  Their impact on the DBO as of December 31, 20X2 is as follows:  </t>
  </si>
  <si>
    <t>Expected benefit payments for 20X2</t>
  </si>
  <si>
    <t>Current service cost (excluding interest) for 20X2</t>
  </si>
  <si>
    <t>DBO as of December 31, 20X1</t>
  </si>
  <si>
    <t xml:space="preserve">You determined the following financials for the entire employee population:  </t>
  </si>
  <si>
    <t xml:space="preserve">State any assumptions and show your work.  </t>
  </si>
  <si>
    <r>
      <t>(iii)</t>
    </r>
    <r>
      <rPr>
        <sz val="7"/>
        <color theme="1"/>
        <rFont val="Times New Roman"/>
        <family val="1"/>
      </rPr>
      <t xml:space="preserve">           </t>
    </r>
    <r>
      <rPr>
        <sz val="12"/>
        <color theme="1"/>
        <rFont val="Times New Roman"/>
        <family val="1"/>
      </rPr>
      <t>Interest expense for 20X2</t>
    </r>
  </si>
  <si>
    <r>
      <t>(ii)</t>
    </r>
    <r>
      <rPr>
        <sz val="7"/>
        <color theme="1"/>
        <rFont val="Times New Roman"/>
        <family val="1"/>
      </rPr>
      <t xml:space="preserve">            </t>
    </r>
    <r>
      <rPr>
        <sz val="12"/>
        <color theme="1"/>
        <rFont val="Times New Roman"/>
        <family val="1"/>
      </rPr>
      <t>Current service cost for 20X2</t>
    </r>
  </si>
  <si>
    <r>
      <t>(i)</t>
    </r>
    <r>
      <rPr>
        <sz val="7"/>
        <color theme="1"/>
        <rFont val="Times New Roman"/>
        <family val="1"/>
      </rPr>
      <t xml:space="preserve">              </t>
    </r>
    <r>
      <rPr>
        <sz val="12"/>
        <color theme="1"/>
        <rFont val="Times New Roman"/>
        <family val="1"/>
      </rPr>
      <t>Defined Benefit Obligation (DBO) as of December 31, 20X1</t>
    </r>
  </si>
  <si>
    <r>
      <t>(c)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5 points</t>
    </r>
    <r>
      <rPr>
        <sz val="12"/>
        <color theme="1"/>
        <rFont val="Times New Roman"/>
        <family val="1"/>
      </rPr>
      <t>)  Calculate the following metrics under IAS 19 for an employee age 45 with 15 years of service as of December 31, 20X1:</t>
    </r>
  </si>
  <si>
    <t>o     The Excel spreadsheet provides the valuation assumptions as of December 31, 20X1.</t>
  </si>
  <si>
    <t>Benefits cease at the earlier of the retiree’s death or age 80. Benefits do not continue to surviving spouses.</t>
  </si>
  <si>
    <t>Benefit period</t>
  </si>
  <si>
    <t>Coverage extends to spouses</t>
  </si>
  <si>
    <t>Dependent coverage</t>
  </si>
  <si>
    <t>Age 65 (no minimum service requirement)</t>
  </si>
  <si>
    <t xml:space="preserve">Eligibility criteria </t>
  </si>
  <si>
    <t>Plan provisions:</t>
  </si>
  <si>
    <t>You are provided with the following information:</t>
  </si>
  <si>
    <t>its balance sheet as of December 31, 20X1.</t>
  </si>
  <si>
    <t>You design a post-retirement benefits plan, and you are in the process of determining the Defined Benefit Obligation (DBO) that your client would need to recognize on</t>
  </si>
  <si>
    <t>Question 5</t>
  </si>
  <si>
    <t>30+</t>
  </si>
  <si>
    <t>Uniform over the year</t>
  </si>
  <si>
    <t>Timing of benefit payments</t>
  </si>
  <si>
    <t>Mid-year</t>
  </si>
  <si>
    <t>Timing of decrements</t>
  </si>
  <si>
    <t>100% at age 65</t>
  </si>
  <si>
    <t>Retirement rates</t>
  </si>
  <si>
    <t>As provided in the Excel spreadsheet</t>
  </si>
  <si>
    <t>Withdrawal rates</t>
  </si>
  <si>
    <t>Mortality rates</t>
  </si>
  <si>
    <t>70% of future retirees are assumed to elect family coverage, with the spouse being the same age as the retiree</t>
  </si>
  <si>
    <t>Dependent assumptions</t>
  </si>
  <si>
    <t>7.0% in 20X2 grading down by 0.2% per year to an ultimate rate of 4.0%</t>
  </si>
  <si>
    <t>Health care cost trend</t>
  </si>
  <si>
    <t>Rate</t>
  </si>
  <si>
    <t>Years of Service</t>
  </si>
  <si>
    <t>Age</t>
  </si>
  <si>
    <t>No aging is assumed</t>
  </si>
  <si>
    <t>Aging</t>
  </si>
  <si>
    <t>Based on service at beginning of year</t>
  </si>
  <si>
    <t>Based on age at beginning of year</t>
  </si>
  <si>
    <t>$600 (single coverage); $1,200 (family coverage), including all applicable expenses and taxes</t>
  </si>
  <si>
    <t>Claims cost at age 65 (in 20X2 dollars)</t>
  </si>
  <si>
    <t>5.0% per year</t>
  </si>
  <si>
    <t>Discount rate</t>
  </si>
  <si>
    <t>Withdrawal rates (assume these rates are uniform throughout the year)</t>
  </si>
  <si>
    <t>Mortality rates (assume these rates are uniform throughout the year)</t>
  </si>
  <si>
    <t>Valuation assumptions as of December 31, 20X1:</t>
  </si>
  <si>
    <t>IC = 5.0% * ($4,130.75 + $275.38) = $220.31</t>
  </si>
  <si>
    <t xml:space="preserve">Interest Cost is calculated as (Interest Rate) * (DBO + SC - 0.5 * Benefit Expense). Since Benefit Expense is nil (employee is still actively at work), </t>
  </si>
  <si>
    <t>SC = $9,638.41 / 35 = $275.38</t>
  </si>
  <si>
    <t>Current Service Cost is calculated as PV of Benefits / Attribution Period</t>
  </si>
  <si>
    <t>DBO = $9,638.41 * 15 / 35 = $4,130.75</t>
  </si>
  <si>
    <t>Attribution Period = 35 (15 + 65 - 45)</t>
  </si>
  <si>
    <t>Accured Services = 15</t>
  </si>
  <si>
    <t>PV of Benefits = $9,638.41</t>
  </si>
  <si>
    <t>Defined Benefits Obligation (DBO) is calculated as PV of Benefits * Accured Services / Attribution Period, where</t>
  </si>
  <si>
    <t>Present value of benefit is calculated as (Claims Cost) * (Discount to Today) * (Survival to Mid-Year) * (Retirement Indicator)</t>
  </si>
  <si>
    <t xml:space="preserve">future benefit paymens covers only from age 65 to 79. </t>
  </si>
  <si>
    <t>It is given that all employees retire at age 65 and the benefits ceases at age 80 (or death, whichever is earlier), present value of</t>
  </si>
  <si>
    <t>Survival to Mid-Year is calculated as (Survival at BOY) * ((1-Mort)^0.5)*(1-Withdrawal)^0.5)</t>
  </si>
  <si>
    <t>Discount rate is calculated as (1+5.0%) ^ - (Year - 2024 + 0.5)</t>
  </si>
  <si>
    <t xml:space="preserve">and survival rate should be taken at mid year. For example, </t>
  </si>
  <si>
    <t xml:space="preserve">Sicne the timing of benefit payment is uniform over the year and the timing of decrement  is mid-year, both discount rate </t>
  </si>
  <si>
    <t>On average, the claims cost per employee in 2024 is 0.3*$600+0.7*$1,200 = $1,020</t>
  </si>
  <si>
    <t>Assume 20X2 is 2024 and December 31, 20X1 is December 31, 2023</t>
  </si>
  <si>
    <t>PV of Benefit</t>
  </si>
  <si>
    <t>Retirement Indicator</t>
  </si>
  <si>
    <t>Survival to end of year</t>
  </si>
  <si>
    <t>Survival to mid-year</t>
  </si>
  <si>
    <t>Withdrawal</t>
  </si>
  <si>
    <t>Mortality</t>
  </si>
  <si>
    <t>Survival at beginning of year</t>
  </si>
  <si>
    <t>Service</t>
  </si>
  <si>
    <t>Discount to Today</t>
  </si>
  <si>
    <t>Trended Claims Cost</t>
  </si>
  <si>
    <t>Trend Rates</t>
  </si>
  <si>
    <t>Year</t>
  </si>
  <si>
    <t>Gain/Loss from change in Financial Assumption include Trend Change and Discount Rate Change</t>
  </si>
  <si>
    <t>Gain/Loss from change in Demographic Assumption include Claims Change and Mortality Change</t>
  </si>
  <si>
    <t>5.0% * ($2,500,000 + $200,000 - 0.5 * $10,000) = $134,750</t>
  </si>
  <si>
    <t>Interest Expense is calculated as (Interest Rate) * (DBO + SC - 0.5*Benefit Expense), or</t>
  </si>
  <si>
    <t>DBO at the end of the period</t>
  </si>
  <si>
    <t>Actuarial (gains)/losses from changes due to experience</t>
  </si>
  <si>
    <t>Trend change + discount rate change are financial assumptions</t>
  </si>
  <si>
    <t>Actuarial (gains)/losses from changes in financial assumptions</t>
  </si>
  <si>
    <t>Claims change + mortality change are demographic assumptions</t>
  </si>
  <si>
    <t>Actuarial (gains)/losses from changes in demographic assumptions</t>
  </si>
  <si>
    <t>Expected DBO at end of Period</t>
  </si>
  <si>
    <t>If interest is excluded from SC, it must be included here</t>
  </si>
  <si>
    <t>Interest Expense</t>
  </si>
  <si>
    <t>Settlements</t>
  </si>
  <si>
    <t>Past Service Cost</t>
  </si>
  <si>
    <t>Some may show this as a positive number; which is ok as long as the DBO and interest expense are done properly</t>
  </si>
  <si>
    <t>Expected Benefit Payments</t>
  </si>
  <si>
    <t>Interest may be included in here</t>
  </si>
  <si>
    <t>Current Service Cost</t>
  </si>
  <si>
    <t>DBO at start of period</t>
  </si>
  <si>
    <t>FY 2024</t>
  </si>
  <si>
    <t>Reconcilation of Defined Benefit Obligation</t>
  </si>
  <si>
    <t>State any assumptions and show your work.</t>
  </si>
  <si>
    <t xml:space="preserve">(d)             (1 point)  Calculate the additional amount each member will receive above the Assuris guaranteed amount calculated in (c).  </t>
  </si>
  <si>
    <t xml:space="preserve">The liquidator sold the block at a value that will allow the insured members to recover 90% of the value of their insured benefits.  </t>
  </si>
  <si>
    <t xml:space="preserve">the best value for policyholders.  </t>
  </si>
  <si>
    <t xml:space="preserve">The insurance company that covers the two members filed for bankruptcy and appointed a liquidator to sell the assets and transfer the liabilities with the aim of getting </t>
  </si>
  <si>
    <t>(c)             (1 point)  Calculate the Assuris guaranteed amount for each member.  State any assumptions and show your work.</t>
  </si>
  <si>
    <t>o     The health benefit plan has 70% coinsurance with no deductible and no annual maximum.</t>
  </si>
  <si>
    <t>N/A</t>
  </si>
  <si>
    <t>Health Claim Allowed Amount</t>
  </si>
  <si>
    <t>Monthly Disability Income Benefit</t>
  </si>
  <si>
    <t>Death Benefit</t>
  </si>
  <si>
    <t>Member</t>
  </si>
  <si>
    <t>You are given the following information on two group insurance members:</t>
  </si>
  <si>
    <t>Question 7</t>
  </si>
  <si>
    <t>Member 2</t>
  </si>
  <si>
    <t>Member 1</t>
  </si>
  <si>
    <t>Monthly Disability Insurance Claim</t>
  </si>
  <si>
    <t>Life Insurance Claim</t>
  </si>
  <si>
    <t>Difference</t>
  </si>
  <si>
    <t>* Under new protection amounts, Assuris is providing 90% protection so no additional amount will be received above Assuris guaranteed amount.</t>
  </si>
  <si>
    <t>Recover Amount (Max of 90% x Coverage and $60,000)</t>
  </si>
  <si>
    <t>Original Insurance Coverage Amount</t>
  </si>
  <si>
    <t>Member Coinsurance (30%)</t>
  </si>
  <si>
    <t>Recover Amount (Max of 90% x Coverage or $2,000)</t>
  </si>
  <si>
    <t>Recover amount (Max of 90% x Coverage or $200,000)</t>
  </si>
  <si>
    <t>Assuris Payment for Health (Max of 90% x Coverage and $250,000)</t>
  </si>
  <si>
    <t>Assuris LTD Insurance Payment (Max of 90% x Coverage or $5,000)</t>
  </si>
  <si>
    <t>Assuris Life Insurance Payment (Max of 90% x Coverage or $1,000,000)</t>
  </si>
  <si>
    <t>Assuris Payment for Health (Max of 85% x Coverage and $60,000)</t>
  </si>
  <si>
    <t>Assuris LTD Insurance Payment (Max of 85% x Coverage or $2,000)</t>
  </si>
  <si>
    <t>Assuris Life Insurance Payment (Max of 85% x Coverage or $200,000)</t>
  </si>
  <si>
    <t>Solution under new Assuris protection amounts</t>
  </si>
  <si>
    <t>Solution under old Assuris protection amounts</t>
  </si>
  <si>
    <t>(ii)             Expense risk</t>
  </si>
  <si>
    <t xml:space="preserve">(i)              Morbidity risk </t>
  </si>
  <si>
    <t>(b)             (4 points)  Calculate the value of total components for the following risks in LICAT as of December 31, 20X1:</t>
  </si>
  <si>
    <t xml:space="preserve">Spot discount rate  </t>
  </si>
  <si>
    <t>$75 per month, increasing 0.2% per month</t>
  </si>
  <si>
    <t>Maintenance expenses</t>
  </si>
  <si>
    <t>No indexation and no offset</t>
  </si>
  <si>
    <t>Payable at the end of the month</t>
  </si>
  <si>
    <t>$2,000 per month, up to age 65</t>
  </si>
  <si>
    <t>Monthly benefit</t>
  </si>
  <si>
    <t>1% per month, no morbidity improvement</t>
  </si>
  <si>
    <t>Best estimate probability of claim termination</t>
  </si>
  <si>
    <t>100, all age 45</t>
  </si>
  <si>
    <t>Number of disabled lives in the closed block</t>
  </si>
  <si>
    <t>You are given the following information on a closed block of Group Long-Term Disability (LTD) policies as of December 31, 20X1:</t>
  </si>
  <si>
    <t>Question 8</t>
  </si>
  <si>
    <t>Shocked Etpxvt</t>
  </si>
  <si>
    <t>Shocked E</t>
  </si>
  <si>
    <t>Shocked Rtpxvt</t>
  </si>
  <si>
    <t>shocked tpx</t>
  </si>
  <si>
    <t>shocked px</t>
  </si>
  <si>
    <t>shocked qx</t>
  </si>
  <si>
    <t>Etpxvt</t>
  </si>
  <si>
    <t>Rtpxvt</t>
  </si>
  <si>
    <t>vt</t>
  </si>
  <si>
    <t>v</t>
  </si>
  <si>
    <t>E</t>
  </si>
  <si>
    <t>R</t>
  </si>
  <si>
    <t>tpx</t>
  </si>
  <si>
    <t>px</t>
  </si>
  <si>
    <t>qx</t>
  </si>
  <si>
    <t>Month</t>
  </si>
  <si>
    <t>*** Shocked CFs ***</t>
  </si>
  <si>
    <t>*** Cashflows for a single disabled lives ***</t>
  </si>
  <si>
    <t>Expense Risk</t>
  </si>
  <si>
    <t>Morbidity Risk</t>
  </si>
  <si>
    <t>trend risk = 0 because no morbidity improvement is used</t>
  </si>
  <si>
    <t>catastrophe risk = 0  (1  time shock to 1st year incidence for active lives)</t>
  </si>
  <si>
    <t>volatility risk = 0 (1  time shock to 1st year incidence for active lives)</t>
  </si>
  <si>
    <t>level risk</t>
  </si>
  <si>
    <t>Spot Discount Rate Canada</t>
  </si>
  <si>
    <t>9 Month Average</t>
  </si>
  <si>
    <t>6 Month Average</t>
  </si>
  <si>
    <t>3 Month Average</t>
  </si>
  <si>
    <t>Employees</t>
  </si>
  <si>
    <t>IBNR Reserve Calculation</t>
  </si>
  <si>
    <t>Claim Liability</t>
  </si>
  <si>
    <t>Incurred Amt</t>
  </si>
  <si>
    <t>% Complete</t>
  </si>
  <si>
    <t>Lag Ratio</t>
  </si>
  <si>
    <t>Paid thru 8/1/22</t>
  </si>
  <si>
    <t>Months of Runout</t>
  </si>
  <si>
    <t>9-Month Average</t>
  </si>
  <si>
    <t>6-Month Average</t>
  </si>
  <si>
    <t>3-Month Average</t>
  </si>
  <si>
    <t>Completion Factors</t>
  </si>
  <si>
    <t>9 month</t>
  </si>
  <si>
    <t>6 month</t>
  </si>
  <si>
    <t>3 month</t>
  </si>
  <si>
    <t>Averages</t>
  </si>
  <si>
    <t>Average Completion Ratios</t>
  </si>
  <si>
    <t>Completion Ratios</t>
  </si>
  <si>
    <t>Cumulative Claims PEPM by Payment Month</t>
  </si>
  <si>
    <t>Claims PEPM by Payment Month</t>
  </si>
  <si>
    <t>Question 6</t>
  </si>
  <si>
    <t xml:space="preserve">You are given the latest information on internal and industry pooling mechanisms: </t>
  </si>
  <si>
    <t>EP3 Thresholds (per certificate)</t>
  </si>
  <si>
    <t>20X1</t>
  </si>
  <si>
    <t>20X2</t>
  </si>
  <si>
    <t>20X3</t>
  </si>
  <si>
    <t>EP3 Pooling Threshold</t>
  </si>
  <si>
    <t>Canadian Drug Insurance Pooling Corporation (CDIPC)</t>
  </si>
  <si>
    <t xml:space="preserve"> </t>
  </si>
  <si>
    <t>Initial Threshold</t>
  </si>
  <si>
    <t>Ongoing Threshold</t>
  </si>
  <si>
    <t>Coinsurance (amount pooled)</t>
  </si>
  <si>
    <t>Maximum Pooled Amount</t>
  </si>
  <si>
    <t>Quebec Drug Insurance Pooling Corporation (QDIPC) – 20X3</t>
  </si>
  <si>
    <t>Size of Group</t>
  </si>
  <si>
    <t>Pooling threshold</t>
  </si>
  <si>
    <t>Annual factor</t>
  </si>
  <si>
    <t>Annual factor -  With dependants</t>
  </si>
  <si>
    <t>(number of certificates)</t>
  </si>
  <si>
    <t>- Without dependants</t>
  </si>
  <si>
    <t>Fewer than 25</t>
  </si>
  <si>
    <t>Between 25 and 49</t>
  </si>
  <si>
    <t>Between 50 and 124</t>
  </si>
  <si>
    <t>Between 125 and 249</t>
  </si>
  <si>
    <t>Between 250 and 499</t>
  </si>
  <si>
    <t>Between 500 and 999</t>
  </si>
  <si>
    <t>Between 1,000 and 3,999</t>
  </si>
  <si>
    <t>Between 4,000 and 5,999</t>
  </si>
  <si>
    <t>6,000 and over</t>
  </si>
  <si>
    <t>n/a</t>
  </si>
  <si>
    <t>You are given the following drug claim amounts for XYZ, a small client of ABC, having 6 employees all located in Nova Scotia:</t>
  </si>
  <si>
    <t>Certificate</t>
  </si>
  <si>
    <t>Employee</t>
  </si>
  <si>
    <t>Spouse</t>
  </si>
  <si>
    <t>Child</t>
  </si>
  <si>
    <t>(d)             (2 points)  Calculate the claim amounts for 20X3 assumed by:</t>
  </si>
  <si>
    <t>(i)              Industry pooling mechanisms</t>
  </si>
  <si>
    <t>(ii)            XYZ</t>
  </si>
  <si>
    <t>(iii)           ABC</t>
  </si>
  <si>
    <t>(e)             (1 point)  Calculate the claim amounts in (d) assuming that this group’s employees were located in Quebec.  State any assumptions and show your work.</t>
  </si>
  <si>
    <t>Solution:</t>
  </si>
  <si>
    <t>(d)</t>
  </si>
  <si>
    <t>Cert</t>
  </si>
  <si>
    <t>202X</t>
  </si>
  <si>
    <t>202X+1</t>
  </si>
  <si>
    <t>202X+2</t>
  </si>
  <si>
    <t>CDIPC</t>
  </si>
  <si>
    <t>XYZ</t>
  </si>
  <si>
    <t>ABC</t>
  </si>
  <si>
    <t>(e)</t>
  </si>
  <si>
    <t>QDIPC</t>
  </si>
  <si>
    <t>Free amount</t>
  </si>
  <si>
    <t>Exam GHVRU: Spring 2024</t>
  </si>
  <si>
    <t>Group and Health Valuation and Regulation Exam - U.S.</t>
  </si>
  <si>
    <t>Question 2</t>
  </si>
  <si>
    <t>Excerpt from question:</t>
  </si>
  <si>
    <t>Provide anwser here for part (c).  Show and lable all work</t>
  </si>
  <si>
    <t>Portwater Health is considering a potential merger with Carabelle Insurance Company.</t>
  </si>
  <si>
    <t>(c)   (1 point) Calculate the following performance metrics for Portwater and Carabelle separately. Show your work.</t>
  </si>
  <si>
    <t>(d)   (1 point) Calculate the two annual profit margin ratios most commonly used by financial analysts for Carabelle and Portwater.</t>
  </si>
  <si>
    <r>
      <t xml:space="preserve">                          </t>
    </r>
    <r>
      <rPr>
        <sz val="12"/>
        <color theme="1"/>
        <rFont val="Times New Roman"/>
        <family val="1"/>
      </rPr>
      <t>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Total Asset Turnover</t>
    </r>
  </si>
  <si>
    <t xml:space="preserve">        separately. Show your work.</t>
  </si>
  <si>
    <t>In the Excel spreadsheet, you are provided with the financial information for both companies in Exhibit 1.</t>
  </si>
  <si>
    <r>
      <t xml:space="preserve">                        </t>
    </r>
    <r>
      <rPr>
        <sz val="12"/>
        <color theme="1"/>
        <rFont val="Times New Roman"/>
        <family val="1"/>
      </rPr>
      <t>ii.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Return on Assets</t>
    </r>
  </si>
  <si>
    <r>
      <t xml:space="preserve">                      </t>
    </r>
    <r>
      <rPr>
        <sz val="12"/>
        <color theme="1"/>
        <rFont val="Times New Roman"/>
        <family val="1"/>
      </rPr>
      <t>iii.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Total Leverage Ratio</t>
    </r>
  </si>
  <si>
    <r>
      <t xml:space="preserve">                      </t>
    </r>
    <r>
      <rPr>
        <sz val="12"/>
        <color theme="1"/>
        <rFont val="Times New Roman"/>
        <family val="1"/>
      </rPr>
      <t>iv.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Return on Equity</t>
    </r>
  </si>
  <si>
    <t>Carabelle</t>
  </si>
  <si>
    <t>Portwater Health</t>
  </si>
  <si>
    <t>Revenues</t>
  </si>
  <si>
    <t>Net income</t>
  </si>
  <si>
    <t>Total Assets</t>
  </si>
  <si>
    <t>Shareholder Equity</t>
  </si>
  <si>
    <t>Operating revenues</t>
  </si>
  <si>
    <t>Operating profits</t>
  </si>
  <si>
    <t>Exhibit 1 - Financial Statements</t>
  </si>
  <si>
    <t>(In thousands)</t>
  </si>
  <si>
    <t>Ending December 31, 20X2</t>
  </si>
  <si>
    <t>Portwater</t>
  </si>
  <si>
    <t>Premium Income</t>
  </si>
  <si>
    <t>Total Asset Turnover</t>
  </si>
  <si>
    <t>Net Profit Margin</t>
  </si>
  <si>
    <t>Administrative Fees Income</t>
  </si>
  <si>
    <t>Return on Assets</t>
  </si>
  <si>
    <t>Operating Profit Margin</t>
  </si>
  <si>
    <t>Other revenue</t>
  </si>
  <si>
    <t>Total Leverage Ratio</t>
  </si>
  <si>
    <t>Total Operating Revenue</t>
  </si>
  <si>
    <t>Return on Equity</t>
  </si>
  <si>
    <t>Net Investment Income</t>
  </si>
  <si>
    <t>Net Realized Gains (Lossess) on Investments</t>
  </si>
  <si>
    <t>Total Revenues</t>
  </si>
  <si>
    <t>Expenses</t>
  </si>
  <si>
    <t>Benefit Expenses</t>
  </si>
  <si>
    <t>Commissions</t>
  </si>
  <si>
    <t>General and Administrative Expense</t>
  </si>
  <si>
    <t>Premium Taxes</t>
  </si>
  <si>
    <t>Amortization of Other Intangible Assets</t>
  </si>
  <si>
    <t>Total Expenses</t>
  </si>
  <si>
    <t>Income Before Income Tax Expense</t>
  </si>
  <si>
    <t>Income Tax Expense</t>
  </si>
  <si>
    <t>Net Income</t>
  </si>
  <si>
    <t>Assets</t>
  </si>
  <si>
    <t>Current Assets</t>
  </si>
  <si>
    <t>Total Current Assets</t>
  </si>
  <si>
    <t>Long-Term Investments</t>
  </si>
  <si>
    <t>Liabilities and Shareholder's Equity</t>
  </si>
  <si>
    <t>Liabilities</t>
  </si>
  <si>
    <t>Actuarial and Policy Liabilities</t>
  </si>
  <si>
    <t>Amounts on deposit</t>
  </si>
  <si>
    <t>Deferred Gains</t>
  </si>
  <si>
    <t>Long-Term Debt</t>
  </si>
  <si>
    <t>Other Liabilities</t>
  </si>
  <si>
    <t>Total Liabilities</t>
  </si>
  <si>
    <t>Shareholder's Equity</t>
  </si>
  <si>
    <t>Preferred Stock</t>
  </si>
  <si>
    <t>Common Stock</t>
  </si>
  <si>
    <t>Additional Paid-in Capital</t>
  </si>
  <si>
    <t>Retained Earnings</t>
  </si>
  <si>
    <t>Accumulated Income</t>
  </si>
  <si>
    <t>Total Shareholder's Equity</t>
  </si>
  <si>
    <t>Total Liabilities and Shareholder's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</si>
</sst>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&quot;$&quot;* #,##0_-;\-&quot;$&quot;* #,##0_-;_-&quot;$&quot;* &quot;-&quot;??_-;_-@_-"/>
    <numFmt numFmtId="166" formatCode="&quot;$&quot;0.000"/>
    <numFmt numFmtId="167" formatCode="#,##0.00\ &quot;$&quot;"/>
    <numFmt numFmtId="168" formatCode="&quot;$&quot;#,##0.00"/>
    <numFmt numFmtId="169" formatCode="&quot;$&quot;#,##0"/>
    <numFmt numFmtId="170" formatCode="0.0000"/>
    <numFmt numFmtId="171" formatCode="_(* #,##0.000_);_(* \(#,##0.000\);_(* &quot;-&quot;??_);_(@_)"/>
    <numFmt numFmtId="172" formatCode="_(* #,##0_);_(* \(#,##0\);_(* &quot;-&quot;??_);_(@_)"/>
    <numFmt numFmtId="173" formatCode="0.00000"/>
    <numFmt numFmtId="174" formatCode="&quot;$&quot;#,##0;[Red]\-&quot;$&quot;#,##0"/>
    <numFmt numFmtId="175" formatCode="0.0000%"/>
    <numFmt numFmtId="176" formatCode="0.0%"/>
    <numFmt numFmtId="177" formatCode="0.000"/>
    <numFmt numFmtId="178" formatCode="#,##0_);\(#,##0\);\-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7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0" xfId="0" applyFill="1"/>
    <xf numFmtId="165" fontId="0" fillId="2" borderId="4" xfId="2" applyNumberFormat="1" applyFont="1" applyFill="1" applyBorder="1"/>
    <xf numFmtId="37" fontId="1" fillId="2" borderId="2" xfId="1" applyNumberFormat="1" applyFont="1" applyFill="1" applyBorder="1" applyAlignment="1">
      <alignment horizontal="center"/>
    </xf>
    <xf numFmtId="164" fontId="0" fillId="2" borderId="4" xfId="2" applyFont="1" applyFill="1" applyBorder="1"/>
    <xf numFmtId="164" fontId="0" fillId="2" borderId="4" xfId="0" applyNumberFormat="1" applyFill="1" applyBorder="1"/>
    <xf numFmtId="165" fontId="0" fillId="2" borderId="5" xfId="2" applyNumberFormat="1" applyFont="1" applyFill="1" applyBorder="1"/>
    <xf numFmtId="164" fontId="0" fillId="2" borderId="5" xfId="2" applyFont="1" applyFill="1" applyBorder="1"/>
    <xf numFmtId="164" fontId="0" fillId="2" borderId="5" xfId="0" applyNumberFormat="1" applyFill="1" applyBorder="1"/>
    <xf numFmtId="165" fontId="0" fillId="2" borderId="6" xfId="2" applyNumberFormat="1" applyFont="1" applyFill="1" applyBorder="1"/>
    <xf numFmtId="37" fontId="1" fillId="2" borderId="3" xfId="1" applyNumberFormat="1" applyFont="1" applyFill="1" applyBorder="1" applyAlignment="1">
      <alignment horizontal="center"/>
    </xf>
    <xf numFmtId="164" fontId="0" fillId="2" borderId="6" xfId="2" applyFont="1" applyFill="1" applyBorder="1"/>
    <xf numFmtId="164" fontId="0" fillId="2" borderId="6" xfId="0" applyNumberFormat="1" applyFill="1" applyBorder="1"/>
    <xf numFmtId="0" fontId="0" fillId="2" borderId="0" xfId="0" applyFill="1" applyAlignment="1">
      <alignment horizontal="center"/>
    </xf>
    <xf numFmtId="164" fontId="2" fillId="2" borderId="0" xfId="2" applyFont="1" applyFill="1"/>
    <xf numFmtId="164" fontId="0" fillId="2" borderId="0" xfId="0" applyNumberFormat="1" applyFill="1"/>
    <xf numFmtId="0" fontId="0" fillId="2" borderId="0" xfId="0" applyFill="1" applyAlignment="1">
      <alignment horizontal="left"/>
    </xf>
    <xf numFmtId="0" fontId="0" fillId="2" borderId="0" xfId="0" quotePrefix="1" applyFill="1"/>
    <xf numFmtId="37" fontId="0" fillId="2" borderId="0" xfId="0" applyNumberFormat="1" applyFill="1" applyAlignment="1">
      <alignment horizontal="center"/>
    </xf>
    <xf numFmtId="164" fontId="0" fillId="2" borderId="0" xfId="2" applyFont="1" applyFill="1"/>
    <xf numFmtId="37" fontId="1" fillId="2" borderId="4" xfId="1" applyNumberFormat="1" applyFont="1" applyFill="1" applyBorder="1" applyAlignment="1">
      <alignment horizontal="center"/>
    </xf>
    <xf numFmtId="37" fontId="1" fillId="2" borderId="5" xfId="1" applyNumberFormat="1" applyFont="1" applyFill="1" applyBorder="1" applyAlignment="1">
      <alignment horizontal="center"/>
    </xf>
    <xf numFmtId="37" fontId="1" fillId="2" borderId="6" xfId="1" applyNumberFormat="1" applyFont="1" applyFill="1" applyBorder="1" applyAlignment="1">
      <alignment horizontal="center"/>
    </xf>
    <xf numFmtId="165" fontId="0" fillId="2" borderId="0" xfId="2" applyNumberFormat="1" applyFont="1" applyFill="1" applyBorder="1"/>
    <xf numFmtId="164" fontId="0" fillId="2" borderId="0" xfId="2" applyFont="1" applyFill="1" applyBorder="1"/>
    <xf numFmtId="0" fontId="3" fillId="3" borderId="0" xfId="0" quotePrefix="1" applyFont="1" applyFill="1" applyAlignment="1">
      <alignment horizontal="left"/>
    </xf>
    <xf numFmtId="0" fontId="0" fillId="3" borderId="0" xfId="0" applyFill="1"/>
    <xf numFmtId="0" fontId="4" fillId="3" borderId="0" xfId="0" applyFont="1" applyFill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4" fillId="2" borderId="9" xfId="0" applyFont="1" applyFill="1" applyBorder="1" applyAlignment="1">
      <alignment vertical="center"/>
    </xf>
    <xf numFmtId="167" fontId="0" fillId="3" borderId="0" xfId="0" applyNumberFormat="1" applyFill="1"/>
    <xf numFmtId="0" fontId="4" fillId="2" borderId="11" xfId="0" applyFont="1" applyFill="1" applyBorder="1" applyAlignment="1">
      <alignment vertical="center" wrapText="1"/>
    </xf>
    <xf numFmtId="0" fontId="4" fillId="3" borderId="0" xfId="0" applyFont="1" applyFill="1"/>
    <xf numFmtId="0" fontId="5" fillId="3" borderId="0" xfId="0" quotePrefix="1" applyFont="1" applyFill="1" applyAlignment="1">
      <alignment horizontal="left"/>
    </xf>
    <xf numFmtId="0" fontId="7" fillId="4" borderId="12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4" fillId="0" borderId="0" xfId="0" applyFont="1"/>
    <xf numFmtId="6" fontId="6" fillId="4" borderId="13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6" fontId="4" fillId="3" borderId="0" xfId="0" applyNumberFormat="1" applyFont="1" applyFill="1"/>
    <xf numFmtId="6" fontId="6" fillId="4" borderId="14" xfId="0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4" fillId="3" borderId="0" xfId="0" quotePrefix="1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6" fillId="4" borderId="15" xfId="0" applyFont="1" applyFill="1" applyBorder="1" applyAlignment="1">
      <alignment vertical="center"/>
    </xf>
    <xf numFmtId="10" fontId="6" fillId="4" borderId="10" xfId="0" applyNumberFormat="1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vertical="center"/>
    </xf>
    <xf numFmtId="6" fontId="6" fillId="4" borderId="9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6" fontId="6" fillId="4" borderId="11" xfId="0" applyNumberFormat="1" applyFont="1" applyFill="1" applyBorder="1" applyAlignment="1">
      <alignment horizontal="center" vertical="center"/>
    </xf>
    <xf numFmtId="0" fontId="10" fillId="0" borderId="0" xfId="0" applyFont="1"/>
    <xf numFmtId="0" fontId="10" fillId="3" borderId="0" xfId="0" applyFont="1" applyFill="1"/>
    <xf numFmtId="0" fontId="4" fillId="3" borderId="0" xfId="0" quotePrefix="1" applyFont="1" applyFill="1" applyAlignment="1">
      <alignment horizontal="left"/>
    </xf>
    <xf numFmtId="7" fontId="4" fillId="3" borderId="0" xfId="0" applyNumberFormat="1" applyFont="1" applyFill="1"/>
    <xf numFmtId="7" fontId="4" fillId="3" borderId="16" xfId="0" applyNumberFormat="1" applyFont="1" applyFill="1" applyBorder="1"/>
    <xf numFmtId="0" fontId="4" fillId="3" borderId="16" xfId="0" applyFont="1" applyFill="1" applyBorder="1"/>
    <xf numFmtId="0" fontId="4" fillId="3" borderId="0" xfId="0" quotePrefix="1" applyFont="1" applyFill="1"/>
    <xf numFmtId="39" fontId="4" fillId="3" borderId="16" xfId="0" applyNumberFormat="1" applyFont="1" applyFill="1" applyBorder="1"/>
    <xf numFmtId="5" fontId="4" fillId="3" borderId="0" xfId="0" applyNumberFormat="1" applyFont="1" applyFill="1"/>
    <xf numFmtId="168" fontId="4" fillId="3" borderId="0" xfId="0" applyNumberFormat="1" applyFont="1" applyFill="1"/>
    <xf numFmtId="5" fontId="4" fillId="0" borderId="1" xfId="0" applyNumberFormat="1" applyFont="1" applyBorder="1"/>
    <xf numFmtId="0" fontId="4" fillId="0" borderId="1" xfId="0" applyFont="1" applyBorder="1"/>
    <xf numFmtId="37" fontId="4" fillId="0" borderId="1" xfId="0" applyNumberFormat="1" applyFont="1" applyBorder="1"/>
    <xf numFmtId="0" fontId="4" fillId="0" borderId="1" xfId="0" applyFont="1" applyBorder="1" applyAlignment="1">
      <alignment horizontal="center"/>
    </xf>
    <xf numFmtId="0" fontId="5" fillId="3" borderId="0" xfId="0" applyFont="1" applyFill="1"/>
    <xf numFmtId="169" fontId="2" fillId="0" borderId="0" xfId="0" applyNumberFormat="1" applyFont="1"/>
    <xf numFmtId="14" fontId="2" fillId="0" borderId="0" xfId="0" applyNumberFormat="1" applyFont="1" applyAlignment="1">
      <alignment horizontal="right"/>
    </xf>
    <xf numFmtId="170" fontId="0" fillId="0" borderId="0" xfId="0" applyNumberFormat="1"/>
    <xf numFmtId="5" fontId="0" fillId="0" borderId="0" xfId="0" applyNumberFormat="1"/>
    <xf numFmtId="0" fontId="0" fillId="0" borderId="0" xfId="0" applyAlignment="1">
      <alignment horizontal="center"/>
    </xf>
    <xf numFmtId="14" fontId="2" fillId="0" borderId="0" xfId="0" applyNumberFormat="1" applyFont="1"/>
    <xf numFmtId="14" fontId="2" fillId="0" borderId="0" xfId="0" applyNumberFormat="1" applyFont="1" applyAlignment="1">
      <alignment horizontal="center"/>
    </xf>
    <xf numFmtId="0" fontId="2" fillId="0" borderId="0" xfId="0" applyFont="1"/>
    <xf numFmtId="171" fontId="0" fillId="0" borderId="0" xfId="0" applyNumberFormat="1"/>
    <xf numFmtId="172" fontId="0" fillId="0" borderId="0" xfId="1" quotePrefix="1" applyNumberFormat="1" applyFont="1"/>
    <xf numFmtId="14" fontId="0" fillId="0" borderId="0" xfId="0" applyNumberFormat="1" applyAlignment="1">
      <alignment horizontal="center"/>
    </xf>
    <xf numFmtId="172" fontId="0" fillId="0" borderId="0" xfId="0" applyNumberFormat="1"/>
    <xf numFmtId="0" fontId="2" fillId="0" borderId="0" xfId="0" applyFont="1" applyAlignment="1">
      <alignment horizontal="center"/>
    </xf>
    <xf numFmtId="6" fontId="0" fillId="3" borderId="0" xfId="0" applyNumberFormat="1" applyFill="1"/>
    <xf numFmtId="0" fontId="6" fillId="4" borderId="7" xfId="0" applyFont="1" applyFill="1" applyBorder="1" applyAlignment="1">
      <alignment horizontal="center" vertical="center" wrapText="1"/>
    </xf>
    <xf numFmtId="6" fontId="6" fillId="4" borderId="7" xfId="0" applyNumberFormat="1" applyFont="1" applyFill="1" applyBorder="1" applyAlignment="1">
      <alignment horizontal="center" vertical="center"/>
    </xf>
    <xf numFmtId="6" fontId="6" fillId="4" borderId="7" xfId="0" applyNumberFormat="1" applyFont="1" applyFill="1" applyBorder="1" applyAlignment="1">
      <alignment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6" fontId="6" fillId="4" borderId="7" xfId="0" applyNumberFormat="1" applyFont="1" applyFill="1" applyBorder="1" applyAlignment="1">
      <alignment horizontal="right" vertical="center"/>
    </xf>
    <xf numFmtId="0" fontId="6" fillId="0" borderId="11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4" borderId="7" xfId="0" applyFont="1" applyFill="1" applyBorder="1" applyAlignment="1">
      <alignment vertical="center" wrapText="1"/>
    </xf>
    <xf numFmtId="0" fontId="5" fillId="3" borderId="0" xfId="0" quotePrefix="1" applyFont="1" applyFill="1" applyAlignment="1">
      <alignment horizontal="left" vertical="center"/>
    </xf>
    <xf numFmtId="9" fontId="0" fillId="0" borderId="0" xfId="0" applyNumberFormat="1"/>
    <xf numFmtId="173" fontId="0" fillId="0" borderId="0" xfId="0" applyNumberFormat="1"/>
    <xf numFmtId="173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73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11" xfId="0" applyNumberFormat="1" applyBorder="1" applyAlignment="1">
      <alignment horizontal="center"/>
    </xf>
    <xf numFmtId="0" fontId="0" fillId="0" borderId="11" xfId="0" quotePrefix="1" applyBorder="1" applyAlignment="1">
      <alignment horizontal="center"/>
    </xf>
    <xf numFmtId="9" fontId="0" fillId="0" borderId="9" xfId="0" applyNumberFormat="1" applyBorder="1" applyAlignment="1">
      <alignment horizontal="center"/>
    </xf>
    <xf numFmtId="0" fontId="4" fillId="0" borderId="7" xfId="0" applyFont="1" applyBorder="1" applyAlignment="1">
      <alignment vertical="center"/>
    </xf>
    <xf numFmtId="9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73" fontId="0" fillId="0" borderId="10" xfId="0" applyNumberFormat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2" borderId="0" xfId="0" applyFont="1" applyFill="1"/>
    <xf numFmtId="2" fontId="0" fillId="2" borderId="0" xfId="0" applyNumberFormat="1" applyFill="1"/>
    <xf numFmtId="0" fontId="0" fillId="2" borderId="0" xfId="0" applyFill="1" applyAlignment="1">
      <alignment horizontal="right"/>
    </xf>
    <xf numFmtId="170" fontId="0" fillId="2" borderId="0" xfId="0" applyNumberFormat="1" applyFill="1"/>
    <xf numFmtId="10" fontId="0" fillId="2" borderId="0" xfId="3" applyNumberFormat="1" applyFont="1" applyFill="1"/>
    <xf numFmtId="164" fontId="0" fillId="3" borderId="0" xfId="2" applyFont="1" applyFill="1"/>
    <xf numFmtId="170" fontId="0" fillId="3" borderId="0" xfId="0" applyNumberFormat="1" applyFill="1"/>
    <xf numFmtId="0" fontId="0" fillId="3" borderId="0" xfId="0" applyFill="1" applyAlignment="1">
      <alignment horizontal="center"/>
    </xf>
    <xf numFmtId="10" fontId="0" fillId="3" borderId="0" xfId="3" applyNumberFormat="1" applyFont="1" applyFill="1"/>
    <xf numFmtId="10" fontId="0" fillId="2" borderId="0" xfId="0" applyNumberFormat="1" applyFill="1"/>
    <xf numFmtId="0" fontId="2" fillId="2" borderId="16" xfId="0" applyFont="1" applyFill="1" applyBorder="1" applyAlignment="1">
      <alignment horizontal="center" wrapText="1"/>
    </xf>
    <xf numFmtId="0" fontId="0" fillId="0" borderId="0" xfId="0" quotePrefix="1"/>
    <xf numFmtId="6" fontId="0" fillId="0" borderId="16" xfId="0" applyNumberFormat="1" applyBorder="1" applyAlignment="1">
      <alignment horizontal="center"/>
    </xf>
    <xf numFmtId="0" fontId="0" fillId="0" borderId="16" xfId="0" applyBorder="1"/>
    <xf numFmtId="6" fontId="0" fillId="0" borderId="0" xfId="0" applyNumberFormat="1" applyAlignment="1">
      <alignment horizontal="center"/>
    </xf>
    <xf numFmtId="6" fontId="0" fillId="0" borderId="19" xfId="0" applyNumberFormat="1" applyBorder="1" applyAlignment="1">
      <alignment horizontal="center"/>
    </xf>
    <xf numFmtId="0" fontId="0" fillId="0" borderId="19" xfId="0" applyBorder="1"/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/>
    <xf numFmtId="0" fontId="12" fillId="3" borderId="0" xfId="0" applyFont="1" applyFill="1"/>
    <xf numFmtId="6" fontId="4" fillId="0" borderId="7" xfId="0" applyNumberFormat="1" applyFont="1" applyBorder="1" applyAlignment="1">
      <alignment horizontal="right"/>
    </xf>
    <xf numFmtId="9" fontId="4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5" fillId="0" borderId="7" xfId="0" applyFont="1" applyBorder="1" applyAlignment="1">
      <alignment horizontal="right" wrapText="1"/>
    </xf>
    <xf numFmtId="0" fontId="5" fillId="0" borderId="7" xfId="0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13" fillId="0" borderId="0" xfId="0" applyFont="1"/>
    <xf numFmtId="0" fontId="9" fillId="0" borderId="0" xfId="0" applyFont="1"/>
    <xf numFmtId="0" fontId="14" fillId="0" borderId="0" xfId="0" applyFont="1"/>
    <xf numFmtId="3" fontId="13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0" xfId="0" applyFont="1"/>
    <xf numFmtId="174" fontId="15" fillId="0" borderId="1" xfId="0" applyNumberFormat="1" applyFont="1" applyBorder="1" applyAlignment="1">
      <alignment horizontal="center" vertical="center" wrapText="1"/>
    </xf>
    <xf numFmtId="12" fontId="13" fillId="0" borderId="0" xfId="0" applyNumberFormat="1" applyFont="1" applyAlignment="1">
      <alignment horizontal="center"/>
    </xf>
    <xf numFmtId="10" fontId="0" fillId="3" borderId="0" xfId="0" applyNumberFormat="1" applyFill="1"/>
    <xf numFmtId="10" fontId="6" fillId="2" borderId="20" xfId="0" applyNumberFormat="1" applyFont="1" applyFill="1" applyBorder="1" applyAlignment="1">
      <alignment horizontal="left" vertical="center"/>
    </xf>
    <xf numFmtId="0" fontId="6" fillId="2" borderId="11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vertical="center"/>
    </xf>
    <xf numFmtId="0" fontId="6" fillId="2" borderId="17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vertical="center"/>
    </xf>
    <xf numFmtId="0" fontId="6" fillId="2" borderId="20" xfId="0" applyFont="1" applyFill="1" applyBorder="1" applyAlignment="1">
      <alignment horizontal="left" vertical="center"/>
    </xf>
    <xf numFmtId="164" fontId="0" fillId="0" borderId="0" xfId="0" applyNumberFormat="1"/>
    <xf numFmtId="165" fontId="0" fillId="0" borderId="0" xfId="4" applyNumberFormat="1" applyFont="1"/>
    <xf numFmtId="2" fontId="0" fillId="0" borderId="0" xfId="0" applyNumberFormat="1"/>
    <xf numFmtId="165" fontId="0" fillId="0" borderId="0" xfId="4" applyNumberFormat="1" applyFont="1" applyFill="1"/>
    <xf numFmtId="164" fontId="0" fillId="0" borderId="0" xfId="4" applyFont="1" applyFill="1"/>
    <xf numFmtId="165" fontId="0" fillId="0" borderId="0" xfId="0" applyNumberFormat="1"/>
    <xf numFmtId="164" fontId="0" fillId="0" borderId="0" xfId="4" applyFont="1"/>
    <xf numFmtId="175" fontId="0" fillId="0" borderId="0" xfId="3" applyNumberFormat="1" applyFont="1"/>
    <xf numFmtId="10" fontId="0" fillId="0" borderId="0" xfId="0" applyNumberFormat="1"/>
    <xf numFmtId="169" fontId="2" fillId="0" borderId="0" xfId="0" applyNumberFormat="1" applyFont="1" applyAlignment="1">
      <alignment horizontal="right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72" fontId="0" fillId="0" borderId="0" xfId="1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/>
    <xf numFmtId="168" fontId="0" fillId="0" borderId="3" xfId="0" applyNumberFormat="1" applyBorder="1" applyAlignment="1">
      <alignment horizontal="center"/>
    </xf>
    <xf numFmtId="168" fontId="0" fillId="0" borderId="16" xfId="0" applyNumberFormat="1" applyBorder="1" applyAlignment="1">
      <alignment horizontal="center"/>
    </xf>
    <xf numFmtId="176" fontId="18" fillId="0" borderId="16" xfId="3" applyNumberFormat="1" applyFont="1" applyFill="1" applyBorder="1"/>
    <xf numFmtId="177" fontId="1" fillId="0" borderId="21" xfId="3" quotePrefix="1" applyNumberFormat="1" applyFont="1" applyFill="1" applyBorder="1"/>
    <xf numFmtId="177" fontId="1" fillId="0" borderId="16" xfId="3" quotePrefix="1" applyNumberFormat="1" applyFont="1" applyFill="1" applyBorder="1"/>
    <xf numFmtId="168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8" fontId="0" fillId="0" borderId="2" xfId="0" applyNumberFormat="1" applyBorder="1" applyAlignment="1">
      <alignment horizontal="center"/>
    </xf>
    <xf numFmtId="176" fontId="1" fillId="0" borderId="0" xfId="3" applyNumberFormat="1" applyFont="1" applyBorder="1"/>
    <xf numFmtId="177" fontId="1" fillId="0" borderId="22" xfId="3" quotePrefix="1" applyNumberFormat="1" applyFont="1" applyFill="1" applyBorder="1"/>
    <xf numFmtId="177" fontId="1" fillId="0" borderId="0" xfId="3" quotePrefix="1" applyNumberFormat="1" applyFont="1" applyFill="1" applyBorder="1"/>
    <xf numFmtId="176" fontId="1" fillId="0" borderId="0" xfId="3" applyNumberFormat="1" applyFont="1" applyFill="1" applyBorder="1"/>
    <xf numFmtId="176" fontId="1" fillId="0" borderId="22" xfId="3" applyNumberFormat="1" applyFont="1" applyFill="1" applyBorder="1"/>
    <xf numFmtId="0" fontId="2" fillId="5" borderId="2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177" fontId="0" fillId="0" borderId="0" xfId="0" applyNumberFormat="1" applyAlignment="1">
      <alignment horizontal="center"/>
    </xf>
    <xf numFmtId="177" fontId="0" fillId="0" borderId="0" xfId="0" quotePrefix="1" applyNumberFormat="1" applyAlignment="1">
      <alignment horizontal="center"/>
    </xf>
    <xf numFmtId="1" fontId="2" fillId="7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77" fontId="0" fillId="0" borderId="0" xfId="0" applyNumberFormat="1"/>
    <xf numFmtId="168" fontId="2" fillId="0" borderId="0" xfId="0" applyNumberFormat="1" applyFont="1"/>
    <xf numFmtId="168" fontId="0" fillId="0" borderId="0" xfId="0" quotePrefix="1" applyNumberFormat="1" applyAlignment="1">
      <alignment horizontal="center"/>
    </xf>
    <xf numFmtId="168" fontId="2" fillId="0" borderId="0" xfId="0" applyNumberFormat="1" applyFont="1" applyAlignment="1">
      <alignment horizontal="center"/>
    </xf>
    <xf numFmtId="0" fontId="7" fillId="4" borderId="11" xfId="0" applyFont="1" applyFill="1" applyBorder="1" applyAlignment="1">
      <alignment vertical="center"/>
    </xf>
    <xf numFmtId="0" fontId="7" fillId="4" borderId="28" xfId="0" applyFont="1" applyFill="1" applyBorder="1" applyAlignment="1">
      <alignment horizontal="right" vertical="center"/>
    </xf>
    <xf numFmtId="0" fontId="7" fillId="4" borderId="11" xfId="0" applyFont="1" applyFill="1" applyBorder="1" applyAlignment="1">
      <alignment horizontal="right" vertical="center"/>
    </xf>
    <xf numFmtId="0" fontId="7" fillId="4" borderId="20" xfId="0" applyFont="1" applyFill="1" applyBorder="1" applyAlignment="1">
      <alignment horizontal="right" vertical="center"/>
    </xf>
    <xf numFmtId="0" fontId="6" fillId="4" borderId="11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right" vertical="center"/>
    </xf>
    <xf numFmtId="9" fontId="0" fillId="0" borderId="7" xfId="0" applyNumberFormat="1" applyBorder="1" applyAlignment="1">
      <alignment horizontal="right"/>
    </xf>
    <xf numFmtId="0" fontId="7" fillId="4" borderId="31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right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right" vertical="top" wrapText="1"/>
    </xf>
    <xf numFmtId="0" fontId="6" fillId="4" borderId="33" xfId="0" applyFont="1" applyFill="1" applyBorder="1" applyAlignment="1">
      <alignment vertical="center"/>
    </xf>
    <xf numFmtId="0" fontId="0" fillId="0" borderId="11" xfId="0" applyBorder="1" applyAlignment="1">
      <alignment horizontal="right" vertical="center"/>
    </xf>
    <xf numFmtId="0" fontId="5" fillId="0" borderId="7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19" fillId="0" borderId="0" xfId="0" applyFont="1"/>
    <xf numFmtId="2" fontId="20" fillId="0" borderId="0" xfId="0" applyNumberFormat="1" applyFont="1"/>
    <xf numFmtId="0" fontId="0" fillId="0" borderId="1" xfId="0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3" fontId="0" fillId="0" borderId="37" xfId="0" applyNumberFormat="1" applyBorder="1" applyAlignment="1">
      <alignment horizontal="center"/>
    </xf>
    <xf numFmtId="0" fontId="13" fillId="0" borderId="0" xfId="0" quotePrefix="1" applyFont="1"/>
    <xf numFmtId="0" fontId="0" fillId="9" borderId="0" xfId="0" applyFill="1"/>
    <xf numFmtId="0" fontId="21" fillId="3" borderId="0" xfId="0" quotePrefix="1" applyFont="1" applyFill="1" applyAlignment="1">
      <alignment horizontal="left"/>
    </xf>
    <xf numFmtId="0" fontId="4" fillId="3" borderId="0" xfId="0" applyFont="1" applyFill="1" applyAlignment="1">
      <alignment horizontal="left" vertical="center" indent="5"/>
    </xf>
    <xf numFmtId="0" fontId="8" fillId="3" borderId="0" xfId="0" applyFont="1" applyFill="1" applyAlignment="1">
      <alignment horizontal="left" vertical="center" indent="8"/>
    </xf>
    <xf numFmtId="0" fontId="0" fillId="0" borderId="0" xfId="0" applyAlignment="1">
      <alignment horizontal="centerContinuous"/>
    </xf>
    <xf numFmtId="3" fontId="0" fillId="0" borderId="0" xfId="0" applyNumberFormat="1"/>
    <xf numFmtId="0" fontId="22" fillId="3" borderId="12" xfId="0" applyFont="1" applyFill="1" applyBorder="1" applyAlignment="1">
      <alignment horizontal="centerContinuous"/>
    </xf>
    <xf numFmtId="0" fontId="22" fillId="3" borderId="26" xfId="0" applyFont="1" applyFill="1" applyBorder="1" applyAlignment="1">
      <alignment horizontal="centerContinuous"/>
    </xf>
    <xf numFmtId="0" fontId="22" fillId="3" borderId="8" xfId="0" applyFont="1" applyFill="1" applyBorder="1" applyAlignment="1">
      <alignment horizontal="centerContinuous"/>
    </xf>
    <xf numFmtId="0" fontId="22" fillId="3" borderId="0" xfId="0" applyFont="1" applyFill="1" applyAlignment="1">
      <alignment horizontal="centerContinuous"/>
    </xf>
    <xf numFmtId="0" fontId="23" fillId="3" borderId="13" xfId="0" applyFont="1" applyFill="1" applyBorder="1"/>
    <xf numFmtId="0" fontId="23" fillId="3" borderId="17" xfId="0" applyFont="1" applyFill="1" applyBorder="1" applyAlignment="1">
      <alignment horizontal="right"/>
    </xf>
    <xf numFmtId="0" fontId="23" fillId="3" borderId="0" xfId="0" applyFont="1" applyFill="1" applyAlignment="1">
      <alignment horizontal="right"/>
    </xf>
    <xf numFmtId="0" fontId="22" fillId="3" borderId="15" xfId="0" applyFont="1" applyFill="1" applyBorder="1" applyAlignment="1">
      <alignment horizontal="left"/>
    </xf>
    <xf numFmtId="0" fontId="22" fillId="3" borderId="29" xfId="0" applyFont="1" applyFill="1" applyBorder="1" applyAlignment="1">
      <alignment horizontal="left"/>
    </xf>
    <xf numFmtId="0" fontId="22" fillId="3" borderId="29" xfId="0" applyFont="1" applyFill="1" applyBorder="1" applyAlignment="1">
      <alignment horizontal="right"/>
    </xf>
    <xf numFmtId="0" fontId="22" fillId="3" borderId="18" xfId="0" applyFont="1" applyFill="1" applyBorder="1" applyAlignment="1">
      <alignment horizontal="right"/>
    </xf>
    <xf numFmtId="0" fontId="22" fillId="3" borderId="0" xfId="0" applyFont="1" applyFill="1" applyAlignment="1">
      <alignment horizontal="right"/>
    </xf>
    <xf numFmtId="0" fontId="24" fillId="0" borderId="0" xfId="0" applyFont="1"/>
    <xf numFmtId="10" fontId="0" fillId="0" borderId="0" xfId="3" applyNumberFormat="1" applyFont="1"/>
    <xf numFmtId="0" fontId="0" fillId="3" borderId="13" xfId="0" applyFill="1" applyBorder="1"/>
    <xf numFmtId="0" fontId="0" fillId="3" borderId="25" xfId="0" applyFill="1" applyBorder="1"/>
    <xf numFmtId="178" fontId="0" fillId="3" borderId="1" xfId="0" applyNumberFormat="1" applyFill="1" applyBorder="1"/>
    <xf numFmtId="178" fontId="0" fillId="3" borderId="38" xfId="0" applyNumberFormat="1" applyFill="1" applyBorder="1"/>
    <xf numFmtId="178" fontId="0" fillId="3" borderId="0" xfId="0" applyNumberFormat="1" applyFill="1"/>
    <xf numFmtId="177" fontId="0" fillId="10" borderId="0" xfId="0" applyNumberFormat="1" applyFill="1"/>
    <xf numFmtId="10" fontId="0" fillId="10" borderId="0" xfId="3" applyNumberFormat="1" applyFont="1" applyFill="1"/>
    <xf numFmtId="0" fontId="0" fillId="3" borderId="22" xfId="0" applyFill="1" applyBorder="1"/>
    <xf numFmtId="2" fontId="0" fillId="10" borderId="0" xfId="0" applyNumberFormat="1" applyFill="1"/>
    <xf numFmtId="0" fontId="25" fillId="3" borderId="25" xfId="0" applyFont="1" applyFill="1" applyBorder="1"/>
    <xf numFmtId="178" fontId="25" fillId="3" borderId="1" xfId="0" applyNumberFormat="1" applyFont="1" applyFill="1" applyBorder="1"/>
    <xf numFmtId="178" fontId="25" fillId="3" borderId="38" xfId="0" applyNumberFormat="1" applyFont="1" applyFill="1" applyBorder="1"/>
    <xf numFmtId="178" fontId="25" fillId="3" borderId="0" xfId="0" applyNumberFormat="1" applyFont="1" applyFill="1"/>
    <xf numFmtId="0" fontId="2" fillId="3" borderId="39" xfId="0" applyFont="1" applyFill="1" applyBorder="1"/>
    <xf numFmtId="178" fontId="2" fillId="3" borderId="40" xfId="0" applyNumberFormat="1" applyFont="1" applyFill="1" applyBorder="1"/>
    <xf numFmtId="178" fontId="2" fillId="3" borderId="41" xfId="0" applyNumberFormat="1" applyFont="1" applyFill="1" applyBorder="1"/>
    <xf numFmtId="178" fontId="2" fillId="3" borderId="0" xfId="0" applyNumberFormat="1" applyFont="1" applyFill="1"/>
    <xf numFmtId="0" fontId="0" fillId="3" borderId="17" xfId="0" applyFill="1" applyBorder="1"/>
    <xf numFmtId="0" fontId="22" fillId="3" borderId="13" xfId="0" applyFont="1" applyFill="1" applyBorder="1" applyAlignment="1">
      <alignment horizontal="left"/>
    </xf>
    <xf numFmtId="0" fontId="22" fillId="3" borderId="0" xfId="0" applyFont="1" applyFill="1" applyAlignment="1">
      <alignment horizontal="left"/>
    </xf>
    <xf numFmtId="0" fontId="22" fillId="3" borderId="17" xfId="0" applyFont="1" applyFill="1" applyBorder="1" applyAlignment="1">
      <alignment horizontal="right"/>
    </xf>
    <xf numFmtId="0" fontId="2" fillId="3" borderId="42" xfId="0" applyFont="1" applyFill="1" applyBorder="1"/>
    <xf numFmtId="178" fontId="2" fillId="3" borderId="43" xfId="0" applyNumberFormat="1" applyFont="1" applyFill="1" applyBorder="1"/>
    <xf numFmtId="0" fontId="0" fillId="3" borderId="44" xfId="0" applyFill="1" applyBorder="1"/>
    <xf numFmtId="178" fontId="0" fillId="3" borderId="45" xfId="0" applyNumberFormat="1" applyFill="1" applyBorder="1"/>
    <xf numFmtId="178" fontId="0" fillId="3" borderId="46" xfId="0" applyNumberFormat="1" applyFill="1" applyBorder="1"/>
    <xf numFmtId="0" fontId="0" fillId="3" borderId="21" xfId="0" applyFill="1" applyBorder="1"/>
    <xf numFmtId="178" fontId="0" fillId="3" borderId="16" xfId="0" applyNumberFormat="1" applyFill="1" applyBorder="1"/>
    <xf numFmtId="178" fontId="0" fillId="3" borderId="47" xfId="0" applyNumberFormat="1" applyFill="1" applyBorder="1"/>
    <xf numFmtId="0" fontId="22" fillId="3" borderId="48" xfId="0" applyFont="1" applyFill="1" applyBorder="1" applyAlignment="1">
      <alignment horizontal="left"/>
    </xf>
    <xf numFmtId="0" fontId="22" fillId="3" borderId="24" xfId="0" applyFont="1" applyFill="1" applyBorder="1" applyAlignment="1">
      <alignment horizontal="left"/>
    </xf>
    <xf numFmtId="178" fontId="22" fillId="3" borderId="24" xfId="0" applyNumberFormat="1" applyFont="1" applyFill="1" applyBorder="1" applyAlignment="1">
      <alignment horizontal="right"/>
    </xf>
    <xf numFmtId="178" fontId="22" fillId="3" borderId="49" xfId="0" applyNumberFormat="1" applyFont="1" applyFill="1" applyBorder="1" applyAlignment="1">
      <alignment horizontal="right"/>
    </xf>
    <xf numFmtId="178" fontId="22" fillId="3" borderId="0" xfId="0" applyNumberFormat="1" applyFont="1" applyFill="1" applyAlignment="1">
      <alignment horizontal="right"/>
    </xf>
    <xf numFmtId="0" fontId="25" fillId="3" borderId="48" xfId="0" applyFont="1" applyFill="1" applyBorder="1"/>
    <xf numFmtId="0" fontId="25" fillId="3" borderId="24" xfId="0" applyFont="1" applyFill="1" applyBorder="1"/>
    <xf numFmtId="178" fontId="25" fillId="3" borderId="24" xfId="0" applyNumberFormat="1" applyFont="1" applyFill="1" applyBorder="1"/>
    <xf numFmtId="178" fontId="25" fillId="3" borderId="49" xfId="0" applyNumberFormat="1" applyFont="1" applyFill="1" applyBorder="1"/>
    <xf numFmtId="0" fontId="25" fillId="3" borderId="13" xfId="0" applyFont="1" applyFill="1" applyBorder="1"/>
    <xf numFmtId="0" fontId="25" fillId="3" borderId="0" xfId="0" applyFont="1" applyFill="1"/>
    <xf numFmtId="178" fontId="25" fillId="3" borderId="17" xfId="0" applyNumberFormat="1" applyFont="1" applyFill="1" applyBorder="1"/>
    <xf numFmtId="0" fontId="0" fillId="3" borderId="0" xfId="0" applyFill="1" applyAlignment="1">
      <alignment horizontal="left"/>
    </xf>
    <xf numFmtId="178" fontId="0" fillId="3" borderId="17" xfId="0" applyNumberFormat="1" applyFill="1" applyBorder="1"/>
    <xf numFmtId="0" fontId="26" fillId="3" borderId="50" xfId="0" applyFont="1" applyFill="1" applyBorder="1"/>
    <xf numFmtId="0" fontId="12" fillId="3" borderId="43" xfId="0" applyFont="1" applyFill="1" applyBorder="1"/>
    <xf numFmtId="178" fontId="26" fillId="3" borderId="43" xfId="0" applyNumberFormat="1" applyFont="1" applyFill="1" applyBorder="1"/>
    <xf numFmtId="178" fontId="26" fillId="3" borderId="41" xfId="0" applyNumberFormat="1" applyFont="1" applyFill="1" applyBorder="1"/>
    <xf numFmtId="178" fontId="26" fillId="3" borderId="0" xfId="0" applyNumberFormat="1" applyFont="1" applyFill="1"/>
    <xf numFmtId="0" fontId="27" fillId="3" borderId="13" xfId="0" applyFont="1" applyFill="1" applyBorder="1"/>
    <xf numFmtId="0" fontId="2" fillId="3" borderId="48" xfId="0" applyFont="1" applyFill="1" applyBorder="1"/>
    <xf numFmtId="0" fontId="0" fillId="3" borderId="24" xfId="0" applyFill="1" applyBorder="1"/>
    <xf numFmtId="178" fontId="2" fillId="3" borderId="24" xfId="0" applyNumberFormat="1" applyFont="1" applyFill="1" applyBorder="1"/>
    <xf numFmtId="178" fontId="2" fillId="3" borderId="49" xfId="0" applyNumberFormat="1" applyFont="1" applyFill="1" applyBorder="1"/>
    <xf numFmtId="0" fontId="2" fillId="3" borderId="13" xfId="0" applyFont="1" applyFill="1" applyBorder="1"/>
    <xf numFmtId="178" fontId="2" fillId="3" borderId="17" xfId="0" applyNumberFormat="1" applyFont="1" applyFill="1" applyBorder="1"/>
    <xf numFmtId="0" fontId="0" fillId="3" borderId="14" xfId="0" applyFill="1" applyBorder="1"/>
    <xf numFmtId="0" fontId="0" fillId="3" borderId="28" xfId="0" applyFill="1" applyBorder="1"/>
    <xf numFmtId="0" fontId="0" fillId="3" borderId="20" xfId="0" applyFill="1" applyBorder="1"/>
    <xf numFmtId="0" fontId="2" fillId="6" borderId="25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166" fontId="6" fillId="4" borderId="10" xfId="0" applyNumberFormat="1" applyFont="1" applyFill="1" applyBorder="1" applyAlignment="1">
      <alignment horizontal="left" vertical="center" wrapText="1"/>
    </xf>
    <xf numFmtId="166" fontId="0" fillId="0" borderId="9" xfId="0" applyNumberFormat="1" applyBorder="1" applyAlignment="1">
      <alignment horizontal="left" vertical="center" wrapText="1"/>
    </xf>
    <xf numFmtId="166" fontId="0" fillId="0" borderId="11" xfId="0" applyNumberFormat="1" applyBorder="1" applyAlignment="1">
      <alignment horizontal="left" vertical="center" wrapText="1"/>
    </xf>
    <xf numFmtId="0" fontId="4" fillId="2" borderId="10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2" fillId="3" borderId="15" xfId="0" applyFont="1" applyFill="1" applyBorder="1" applyAlignment="1">
      <alignment horizontal="center" wrapText="1"/>
    </xf>
    <xf numFmtId="0" fontId="0" fillId="3" borderId="18" xfId="0" applyFill="1" applyBorder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3" borderId="17" xfId="0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right" vertical="center" wrapText="1"/>
    </xf>
    <xf numFmtId="0" fontId="7" fillId="4" borderId="34" xfId="0" applyFont="1" applyFill="1" applyBorder="1" applyAlignment="1">
      <alignment horizontal="right" vertical="center" wrapText="1"/>
    </xf>
    <xf numFmtId="0" fontId="7" fillId="4" borderId="32" xfId="0" applyFont="1" applyFill="1" applyBorder="1" applyAlignment="1">
      <alignment horizontal="right" vertical="center" wrapText="1"/>
    </xf>
    <xf numFmtId="0" fontId="17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5">
    <cellStyle name="Comma" xfId="1" builtinId="3"/>
    <cellStyle name="Currency" xfId="2" builtinId="4"/>
    <cellStyle name="Currency 4" xfId="4" xr:uid="{D109B4D9-6F4D-4845-A220-A9A613014DFE}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7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85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90" Type="http://schemas.openxmlformats.org/officeDocument/2006/relationships/externalLink" Target="externalLinks/externalLink73.xml"/><Relationship Id="rId95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86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mcglobalcan-my.sharepoint.com/CIA/RPEC/BackTest%20HMDv33C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wada\AppData\Local\Temp\wz3453\GH%20VRC%20Solutions%20Spring%202024%20Question%201.xlsx" TargetMode="External"/><Relationship Id="rId1" Type="http://schemas.openxmlformats.org/officeDocument/2006/relationships/externalLinkPath" Target="file:///C:\Users\cwada\AppData\Local\Temp\wz3453\GH%20VRC%20Solutions%20Spring%202024%20Quest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0</v>
          </cell>
        </row>
        <row r="66">
          <cell r="AC66">
            <v>0</v>
          </cell>
        </row>
        <row r="67">
          <cell r="AC67">
            <v>0</v>
          </cell>
        </row>
        <row r="68">
          <cell r="AC68">
            <v>0</v>
          </cell>
        </row>
        <row r="69">
          <cell r="AC69">
            <v>0</v>
          </cell>
        </row>
        <row r="70">
          <cell r="AC70">
            <v>0</v>
          </cell>
        </row>
        <row r="71">
          <cell r="AC71">
            <v>0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>
        <row r="1">
          <cell r="B1" t="str">
            <v>I.  Final Claim Cost by Rating Tier Worksheet (Steps 44-49)</v>
          </cell>
        </row>
        <row r="4">
          <cell r="I4" t="str">
            <v>Final</v>
          </cell>
          <cell r="M4" t="str">
            <v>Final</v>
          </cell>
          <cell r="Q4" t="str">
            <v>Final</v>
          </cell>
        </row>
        <row r="5">
          <cell r="E5" t="str">
            <v>Final</v>
          </cell>
          <cell r="G5" t="str">
            <v>COB</v>
          </cell>
          <cell r="I5" t="str">
            <v>Adjusted</v>
          </cell>
          <cell r="M5" t="str">
            <v>Revenue</v>
          </cell>
          <cell r="O5" t="str">
            <v>Loading</v>
          </cell>
          <cell r="Q5" t="str">
            <v>Premium Rate</v>
          </cell>
        </row>
        <row r="6">
          <cell r="E6" t="str">
            <v>Claim Cost</v>
          </cell>
          <cell r="G6" t="str">
            <v>Adjustment</v>
          </cell>
          <cell r="I6" t="str">
            <v>Claim Cost</v>
          </cell>
          <cell r="K6" t="str">
            <v>Retention</v>
          </cell>
          <cell r="M6" t="str">
            <v>Per Member</v>
          </cell>
          <cell r="O6" t="str">
            <v>Factor</v>
          </cell>
          <cell r="Q6" t="str">
            <v>by Tier</v>
          </cell>
        </row>
        <row r="7">
          <cell r="E7" t="str">
            <v>(Step 43)</v>
          </cell>
          <cell r="G7" t="str">
            <v>(Step 44)</v>
          </cell>
          <cell r="I7" t="str">
            <v>(Step 45)</v>
          </cell>
          <cell r="K7" t="str">
            <v>(Step 46)</v>
          </cell>
          <cell r="M7" t="str">
            <v>(Step 47)</v>
          </cell>
          <cell r="O7" t="str">
            <v>(Step 48)</v>
          </cell>
          <cell r="Q7" t="str">
            <v>(Step 49)</v>
          </cell>
        </row>
        <row r="9">
          <cell r="B9" t="str">
            <v>Two-Tier Basis</v>
          </cell>
        </row>
        <row r="10">
          <cell r="C10" t="str">
            <v>Single</v>
          </cell>
          <cell r="E10">
            <v>0</v>
          </cell>
          <cell r="G10">
            <v>1</v>
          </cell>
          <cell r="I10">
            <v>0</v>
          </cell>
          <cell r="K10">
            <v>0</v>
          </cell>
          <cell r="M10">
            <v>0</v>
          </cell>
          <cell r="O10">
            <v>1</v>
          </cell>
          <cell r="Q10">
            <v>0</v>
          </cell>
        </row>
        <row r="11">
          <cell r="C11" t="str">
            <v>Family</v>
          </cell>
          <cell r="E11">
            <v>0</v>
          </cell>
          <cell r="G11">
            <v>1</v>
          </cell>
          <cell r="I11">
            <v>0</v>
          </cell>
          <cell r="K11">
            <v>0</v>
          </cell>
          <cell r="M11">
            <v>0</v>
          </cell>
          <cell r="O11">
            <v>1</v>
          </cell>
          <cell r="Q11">
            <v>0</v>
          </cell>
        </row>
        <row r="13">
          <cell r="B13" t="str">
            <v>Three-Tier Basis</v>
          </cell>
        </row>
        <row r="14">
          <cell r="C14" t="str">
            <v>Single</v>
          </cell>
          <cell r="E14">
            <v>0</v>
          </cell>
          <cell r="G14">
            <v>1</v>
          </cell>
          <cell r="I14">
            <v>0</v>
          </cell>
          <cell r="K14">
            <v>0</v>
          </cell>
          <cell r="M14">
            <v>0</v>
          </cell>
          <cell r="O14">
            <v>1</v>
          </cell>
          <cell r="Q14">
            <v>0</v>
          </cell>
        </row>
        <row r="15">
          <cell r="C15" t="str">
            <v>Two-Party</v>
          </cell>
          <cell r="E15">
            <v>0</v>
          </cell>
          <cell r="G15">
            <v>1</v>
          </cell>
          <cell r="I15">
            <v>0</v>
          </cell>
          <cell r="K15">
            <v>0</v>
          </cell>
          <cell r="M15">
            <v>0</v>
          </cell>
          <cell r="O15">
            <v>1</v>
          </cell>
          <cell r="Q15">
            <v>0</v>
          </cell>
        </row>
        <row r="16">
          <cell r="C16" t="str">
            <v>Family</v>
          </cell>
          <cell r="E16">
            <v>0</v>
          </cell>
          <cell r="G16">
            <v>1</v>
          </cell>
          <cell r="I16">
            <v>0</v>
          </cell>
          <cell r="K16">
            <v>0</v>
          </cell>
          <cell r="M16">
            <v>0</v>
          </cell>
          <cell r="O16">
            <v>1</v>
          </cell>
          <cell r="Q16">
            <v>0</v>
          </cell>
        </row>
        <row r="18">
          <cell r="B18" t="str">
            <v>Four-Tier Basis</v>
          </cell>
        </row>
        <row r="19">
          <cell r="C19" t="str">
            <v>Single</v>
          </cell>
          <cell r="E19">
            <v>0</v>
          </cell>
          <cell r="G19">
            <v>1</v>
          </cell>
          <cell r="I19">
            <v>0</v>
          </cell>
          <cell r="K19">
            <v>0</v>
          </cell>
          <cell r="M19">
            <v>0</v>
          </cell>
          <cell r="O19">
            <v>1</v>
          </cell>
          <cell r="Q19">
            <v>0</v>
          </cell>
        </row>
        <row r="20">
          <cell r="C20" t="str">
            <v>Employee &amp; Spouse</v>
          </cell>
          <cell r="E20">
            <v>0</v>
          </cell>
          <cell r="G20">
            <v>1</v>
          </cell>
          <cell r="I20">
            <v>0</v>
          </cell>
          <cell r="K20">
            <v>0</v>
          </cell>
          <cell r="M20">
            <v>0</v>
          </cell>
          <cell r="O20">
            <v>1</v>
          </cell>
          <cell r="Q20">
            <v>0</v>
          </cell>
        </row>
        <row r="21">
          <cell r="C21" t="str">
            <v>Employee &amp; Child(ren)</v>
          </cell>
          <cell r="E21">
            <v>0</v>
          </cell>
          <cell r="G21">
            <v>1</v>
          </cell>
          <cell r="I21">
            <v>0</v>
          </cell>
          <cell r="K21">
            <v>0</v>
          </cell>
          <cell r="M21">
            <v>0</v>
          </cell>
          <cell r="O21">
            <v>1</v>
          </cell>
          <cell r="Q21">
            <v>0</v>
          </cell>
        </row>
        <row r="22">
          <cell r="C22" t="str">
            <v>Family</v>
          </cell>
          <cell r="E22">
            <v>0</v>
          </cell>
          <cell r="G22">
            <v>1</v>
          </cell>
          <cell r="I22">
            <v>0</v>
          </cell>
          <cell r="K22">
            <v>0</v>
          </cell>
          <cell r="M22">
            <v>0</v>
          </cell>
          <cell r="O22">
            <v>1</v>
          </cell>
          <cell r="Q22">
            <v>0</v>
          </cell>
        </row>
        <row r="24">
          <cell r="B24" t="str">
            <v>Five-Tier Basis</v>
          </cell>
        </row>
        <row r="25">
          <cell r="C25" t="str">
            <v>Single</v>
          </cell>
          <cell r="E25">
            <v>0</v>
          </cell>
          <cell r="G25">
            <v>1</v>
          </cell>
          <cell r="I25">
            <v>0</v>
          </cell>
          <cell r="K25">
            <v>0</v>
          </cell>
          <cell r="M25">
            <v>0</v>
          </cell>
          <cell r="O25">
            <v>1</v>
          </cell>
          <cell r="Q25">
            <v>0</v>
          </cell>
        </row>
        <row r="26">
          <cell r="C26" t="str">
            <v>Employee &amp; Spouse</v>
          </cell>
          <cell r="E26">
            <v>0</v>
          </cell>
          <cell r="G26">
            <v>1</v>
          </cell>
          <cell r="I26">
            <v>0</v>
          </cell>
          <cell r="K26">
            <v>0</v>
          </cell>
          <cell r="M26">
            <v>0</v>
          </cell>
          <cell r="O26">
            <v>1</v>
          </cell>
          <cell r="Q26">
            <v>0</v>
          </cell>
        </row>
        <row r="27">
          <cell r="C27" t="str">
            <v>Employee &amp; Child</v>
          </cell>
          <cell r="E27">
            <v>0</v>
          </cell>
          <cell r="G27">
            <v>1</v>
          </cell>
          <cell r="I27">
            <v>0</v>
          </cell>
          <cell r="K27">
            <v>0</v>
          </cell>
          <cell r="M27">
            <v>0</v>
          </cell>
          <cell r="O27">
            <v>1</v>
          </cell>
          <cell r="Q27">
            <v>0</v>
          </cell>
        </row>
        <row r="28">
          <cell r="C28" t="str">
            <v>Employee &amp; Children</v>
          </cell>
          <cell r="E28">
            <v>0</v>
          </cell>
          <cell r="G28">
            <v>1</v>
          </cell>
          <cell r="I28">
            <v>0</v>
          </cell>
          <cell r="K28">
            <v>0</v>
          </cell>
          <cell r="M28">
            <v>0</v>
          </cell>
          <cell r="O28">
            <v>1</v>
          </cell>
          <cell r="Q28">
            <v>0</v>
          </cell>
        </row>
        <row r="29">
          <cell r="C29" t="str">
            <v>Family</v>
          </cell>
          <cell r="E29">
            <v>0</v>
          </cell>
          <cell r="G29">
            <v>1</v>
          </cell>
          <cell r="I29">
            <v>0</v>
          </cell>
          <cell r="K29">
            <v>0</v>
          </cell>
          <cell r="M29">
            <v>0</v>
          </cell>
          <cell r="O29">
            <v>1</v>
          </cell>
          <cell r="Q29">
            <v>0</v>
          </cell>
        </row>
      </sheetData>
      <sheetData sheetId="13" refreshError="1">
        <row r="1">
          <cell r="B1" t="str">
            <v>J1.  Age/Gender Factor Worksheet (Non-Maternity)</v>
          </cell>
        </row>
        <row r="3">
          <cell r="B3" t="str">
            <v>This worksheet is used for each non-maternity benefit.  The age/gender factors for columns (4) and (5)</v>
          </cell>
        </row>
        <row r="4">
          <cell r="B4" t="str">
            <v>are taken from the Basic Tables (Section 5).</v>
          </cell>
        </row>
        <row r="7">
          <cell r="K7" t="str">
            <v>Benefit Category</v>
          </cell>
        </row>
        <row r="8">
          <cell r="E8" t="str">
            <v>Number of Members</v>
          </cell>
          <cell r="K8" t="str">
            <v>Age/Gender Factors</v>
          </cell>
        </row>
        <row r="9">
          <cell r="E9" t="str">
            <v>(1)</v>
          </cell>
          <cell r="G9" t="str">
            <v>(2)</v>
          </cell>
          <cell r="I9" t="str">
            <v>(3)</v>
          </cell>
          <cell r="K9" t="str">
            <v>(4)</v>
          </cell>
          <cell r="M9" t="str">
            <v>(5)</v>
          </cell>
        </row>
        <row r="11">
          <cell r="B11" t="str">
            <v>Age Bracket</v>
          </cell>
          <cell r="E11" t="str">
            <v>Employees</v>
          </cell>
          <cell r="G11" t="str">
            <v>Dependents</v>
          </cell>
          <cell r="I11" t="str">
            <v>Total</v>
          </cell>
          <cell r="K11" t="str">
            <v>Utilization</v>
          </cell>
          <cell r="M11" t="str">
            <v>Claim Cost</v>
          </cell>
        </row>
        <row r="13">
          <cell r="B13" t="str">
            <v>Adult Male</v>
          </cell>
          <cell r="C13" t="str">
            <v>to  25</v>
          </cell>
          <cell r="E13">
            <v>0</v>
          </cell>
          <cell r="G13">
            <v>0</v>
          </cell>
          <cell r="I13">
            <v>0</v>
          </cell>
          <cell r="K13">
            <v>1</v>
          </cell>
          <cell r="M13">
            <v>1</v>
          </cell>
        </row>
        <row r="14">
          <cell r="C14" t="str">
            <v>25-29</v>
          </cell>
          <cell r="E14">
            <v>0</v>
          </cell>
          <cell r="G14">
            <v>0</v>
          </cell>
          <cell r="I14">
            <v>0</v>
          </cell>
          <cell r="K14">
            <v>1</v>
          </cell>
          <cell r="M14">
            <v>1</v>
          </cell>
        </row>
        <row r="15">
          <cell r="C15" t="str">
            <v>30-34</v>
          </cell>
          <cell r="E15">
            <v>0</v>
          </cell>
          <cell r="G15">
            <v>0</v>
          </cell>
          <cell r="I15">
            <v>0</v>
          </cell>
          <cell r="K15">
            <v>1</v>
          </cell>
          <cell r="M15">
            <v>1</v>
          </cell>
        </row>
        <row r="16">
          <cell r="C16" t="str">
            <v>35-39</v>
          </cell>
          <cell r="E16">
            <v>0</v>
          </cell>
          <cell r="G16">
            <v>0</v>
          </cell>
          <cell r="I16">
            <v>0</v>
          </cell>
          <cell r="K16">
            <v>1</v>
          </cell>
          <cell r="M16">
            <v>1</v>
          </cell>
        </row>
        <row r="17">
          <cell r="C17" t="str">
            <v>40-44</v>
          </cell>
          <cell r="E17">
            <v>0</v>
          </cell>
          <cell r="G17">
            <v>0</v>
          </cell>
          <cell r="I17">
            <v>0</v>
          </cell>
          <cell r="K17">
            <v>1</v>
          </cell>
          <cell r="M17">
            <v>1</v>
          </cell>
        </row>
        <row r="18">
          <cell r="C18" t="str">
            <v>45-49</v>
          </cell>
          <cell r="E18">
            <v>0</v>
          </cell>
          <cell r="G18">
            <v>0</v>
          </cell>
          <cell r="I18">
            <v>0</v>
          </cell>
          <cell r="K18">
            <v>1</v>
          </cell>
          <cell r="M18">
            <v>1</v>
          </cell>
        </row>
        <row r="19">
          <cell r="C19" t="str">
            <v>50-54</v>
          </cell>
          <cell r="E19">
            <v>0</v>
          </cell>
          <cell r="G19">
            <v>0</v>
          </cell>
          <cell r="I19">
            <v>0</v>
          </cell>
          <cell r="K19">
            <v>1</v>
          </cell>
          <cell r="M19">
            <v>1</v>
          </cell>
        </row>
        <row r="20">
          <cell r="C20" t="str">
            <v>55-59</v>
          </cell>
          <cell r="E20">
            <v>0</v>
          </cell>
          <cell r="G20">
            <v>0</v>
          </cell>
          <cell r="I20">
            <v>0</v>
          </cell>
          <cell r="K20">
            <v>1</v>
          </cell>
          <cell r="M20">
            <v>1</v>
          </cell>
        </row>
        <row r="21">
          <cell r="C21" t="str">
            <v>60-64</v>
          </cell>
          <cell r="E21">
            <v>0</v>
          </cell>
          <cell r="G21">
            <v>0</v>
          </cell>
          <cell r="I21">
            <v>0</v>
          </cell>
          <cell r="K21">
            <v>1</v>
          </cell>
          <cell r="M21">
            <v>1</v>
          </cell>
        </row>
        <row r="22">
          <cell r="C22" t="str">
            <v>65 +</v>
          </cell>
          <cell r="E22">
            <v>0</v>
          </cell>
          <cell r="G22">
            <v>0</v>
          </cell>
          <cell r="I22">
            <v>0</v>
          </cell>
          <cell r="K22">
            <v>1</v>
          </cell>
          <cell r="M22">
            <v>1</v>
          </cell>
        </row>
        <row r="24">
          <cell r="B24" t="str">
            <v>Adult Female</v>
          </cell>
          <cell r="C24" t="str">
            <v>to  25</v>
          </cell>
          <cell r="E24">
            <v>0</v>
          </cell>
          <cell r="G24">
            <v>0</v>
          </cell>
          <cell r="I24">
            <v>0</v>
          </cell>
          <cell r="K24">
            <v>1</v>
          </cell>
          <cell r="M24">
            <v>1</v>
          </cell>
        </row>
        <row r="25">
          <cell r="C25" t="str">
            <v>25-29</v>
          </cell>
          <cell r="E25">
            <v>0</v>
          </cell>
          <cell r="G25">
            <v>0</v>
          </cell>
          <cell r="I25">
            <v>0</v>
          </cell>
          <cell r="K25">
            <v>1</v>
          </cell>
          <cell r="M25">
            <v>1</v>
          </cell>
        </row>
        <row r="26">
          <cell r="C26" t="str">
            <v>30-34</v>
          </cell>
          <cell r="E26">
            <v>0</v>
          </cell>
          <cell r="G26">
            <v>0</v>
          </cell>
          <cell r="I26">
            <v>0</v>
          </cell>
          <cell r="K26">
            <v>1</v>
          </cell>
          <cell r="M26">
            <v>1</v>
          </cell>
        </row>
        <row r="27">
          <cell r="C27" t="str">
            <v>35-39</v>
          </cell>
          <cell r="E27">
            <v>0</v>
          </cell>
          <cell r="G27">
            <v>0</v>
          </cell>
          <cell r="I27">
            <v>0</v>
          </cell>
          <cell r="K27">
            <v>1</v>
          </cell>
          <cell r="M27">
            <v>1</v>
          </cell>
        </row>
        <row r="28">
          <cell r="C28" t="str">
            <v>40-44</v>
          </cell>
          <cell r="E28">
            <v>0</v>
          </cell>
          <cell r="G28">
            <v>0</v>
          </cell>
          <cell r="I28">
            <v>0</v>
          </cell>
          <cell r="K28">
            <v>1</v>
          </cell>
          <cell r="M28">
            <v>1</v>
          </cell>
        </row>
        <row r="29">
          <cell r="C29" t="str">
            <v>45-49</v>
          </cell>
          <cell r="E29">
            <v>0</v>
          </cell>
          <cell r="G29">
            <v>0</v>
          </cell>
          <cell r="I29">
            <v>0</v>
          </cell>
          <cell r="K29">
            <v>1</v>
          </cell>
          <cell r="M29">
            <v>1</v>
          </cell>
        </row>
        <row r="30">
          <cell r="C30" t="str">
            <v>50-54</v>
          </cell>
          <cell r="E30">
            <v>0</v>
          </cell>
          <cell r="G30">
            <v>0</v>
          </cell>
          <cell r="I30">
            <v>0</v>
          </cell>
          <cell r="K30">
            <v>1</v>
          </cell>
          <cell r="M30">
            <v>1</v>
          </cell>
        </row>
        <row r="31">
          <cell r="C31" t="str">
            <v>55-59</v>
          </cell>
          <cell r="E31">
            <v>0</v>
          </cell>
          <cell r="G31">
            <v>0</v>
          </cell>
          <cell r="I31">
            <v>0</v>
          </cell>
          <cell r="K31">
            <v>1</v>
          </cell>
          <cell r="M31">
            <v>1</v>
          </cell>
        </row>
        <row r="32">
          <cell r="C32" t="str">
            <v>60-64</v>
          </cell>
          <cell r="E32">
            <v>0</v>
          </cell>
          <cell r="G32">
            <v>0</v>
          </cell>
          <cell r="I32">
            <v>0</v>
          </cell>
          <cell r="K32">
            <v>1</v>
          </cell>
          <cell r="M32">
            <v>1</v>
          </cell>
        </row>
        <row r="33">
          <cell r="C33" t="str">
            <v>65 +</v>
          </cell>
          <cell r="E33">
            <v>0</v>
          </cell>
          <cell r="G33">
            <v>0</v>
          </cell>
          <cell r="I33">
            <v>0</v>
          </cell>
          <cell r="K33">
            <v>1</v>
          </cell>
          <cell r="M33">
            <v>1</v>
          </cell>
        </row>
        <row r="35">
          <cell r="B35" t="str">
            <v>Total Adults</v>
          </cell>
          <cell r="E35">
            <v>0</v>
          </cell>
          <cell r="G35">
            <v>0</v>
          </cell>
          <cell r="I35">
            <v>0</v>
          </cell>
        </row>
        <row r="37">
          <cell r="B37" t="str">
            <v>Child</v>
          </cell>
          <cell r="C37" t="str">
            <v>0-1</v>
          </cell>
          <cell r="G37">
            <v>0</v>
          </cell>
          <cell r="I37">
            <v>0</v>
          </cell>
          <cell r="K37">
            <v>1</v>
          </cell>
          <cell r="M37">
            <v>1</v>
          </cell>
        </row>
        <row r="38">
          <cell r="C38" t="str">
            <v>2-6</v>
          </cell>
          <cell r="G38">
            <v>0</v>
          </cell>
          <cell r="I38">
            <v>0</v>
          </cell>
          <cell r="K38">
            <v>1</v>
          </cell>
          <cell r="M38">
            <v>1</v>
          </cell>
        </row>
        <row r="39">
          <cell r="C39" t="str">
            <v>7-18</v>
          </cell>
          <cell r="G39">
            <v>0</v>
          </cell>
          <cell r="I39">
            <v>0</v>
          </cell>
          <cell r="K39">
            <v>1</v>
          </cell>
          <cell r="M39">
            <v>1</v>
          </cell>
        </row>
        <row r="40">
          <cell r="C40" t="str">
            <v>19-22</v>
          </cell>
          <cell r="G40">
            <v>0</v>
          </cell>
          <cell r="I40">
            <v>0</v>
          </cell>
          <cell r="K40">
            <v>1</v>
          </cell>
          <cell r="M40">
            <v>1</v>
          </cell>
        </row>
        <row r="42">
          <cell r="B42" t="str">
            <v>Total Children</v>
          </cell>
          <cell r="G42">
            <v>0</v>
          </cell>
          <cell r="I42">
            <v>0</v>
          </cell>
        </row>
        <row r="44">
          <cell r="B44" t="str">
            <v>Total Members</v>
          </cell>
          <cell r="E44">
            <v>0</v>
          </cell>
          <cell r="G44">
            <v>0</v>
          </cell>
          <cell r="I44">
            <v>0</v>
          </cell>
          <cell r="K44">
            <v>1</v>
          </cell>
          <cell r="M44">
            <v>1</v>
          </cell>
        </row>
        <row r="47">
          <cell r="B47" t="str">
            <v>Composite Factor Formulas</v>
          </cell>
        </row>
        <row r="49">
          <cell r="B49" t="str">
            <v xml:space="preserve">  Utilization Age/Gender Factor = Sum of [Column (3) x Column (4)] / Sum of Column (3)</v>
          </cell>
        </row>
        <row r="51">
          <cell r="B51" t="str">
            <v xml:space="preserve">  Claim Cost Age/Gender Factor = Sum of [Column (3) x Column (5)] / Sum of Column (3)</v>
          </cell>
        </row>
        <row r="53">
          <cell r="B53" t="str">
            <v xml:space="preserve">  Average Charge Age/Gender Factor = Claim Cost Factor / Utilization Factor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"/>
      <sheetName val="Exhibit 1"/>
      <sheetName val="Exhibit 2"/>
    </sheetNames>
    <sheetDataSet>
      <sheetData sheetId="0"/>
      <sheetData sheetId="1">
        <row r="4">
          <cell r="C4">
            <v>113543425.02</v>
          </cell>
          <cell r="D4">
            <v>243842641.03</v>
          </cell>
          <cell r="E4">
            <v>117194648.17</v>
          </cell>
          <cell r="F4">
            <v>50620048.350000001</v>
          </cell>
          <cell r="G4">
            <v>26425911.710000001</v>
          </cell>
          <cell r="H4">
            <v>15661763.58</v>
          </cell>
          <cell r="I4">
            <v>10689051.75</v>
          </cell>
          <cell r="J4">
            <v>7920304.79</v>
          </cell>
          <cell r="K4">
            <v>5657484.3600000003</v>
          </cell>
          <cell r="L4">
            <v>4540521.8600000003</v>
          </cell>
          <cell r="M4">
            <v>3329638.47</v>
          </cell>
          <cell r="N4">
            <v>2943599.96</v>
          </cell>
          <cell r="O4">
            <v>1592481.93</v>
          </cell>
          <cell r="P4">
            <v>347047.07</v>
          </cell>
          <cell r="Q4">
            <v>141045.48000000001</v>
          </cell>
          <cell r="R4">
            <v>38247.379999999997</v>
          </cell>
          <cell r="S4">
            <v>6051.68</v>
          </cell>
          <cell r="T4">
            <v>380.58</v>
          </cell>
          <cell r="U4">
            <v>121.98</v>
          </cell>
          <cell r="V4">
            <v>23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D5">
            <v>105413552.76000001</v>
          </cell>
          <cell r="E5">
            <v>261411698.56</v>
          </cell>
          <cell r="F5">
            <v>93402048.189999998</v>
          </cell>
          <cell r="G5">
            <v>43690676</v>
          </cell>
          <cell r="H5">
            <v>25270134.739999998</v>
          </cell>
          <cell r="I5">
            <v>19392192.469999999</v>
          </cell>
          <cell r="J5">
            <v>9042780.1300000008</v>
          </cell>
          <cell r="K5">
            <v>8256311.0599999996</v>
          </cell>
          <cell r="L5">
            <v>5845842.2000000002</v>
          </cell>
          <cell r="M5">
            <v>2669921.4700000002</v>
          </cell>
          <cell r="N5">
            <v>4858867.6100000003</v>
          </cell>
          <cell r="O5">
            <v>3440513.74</v>
          </cell>
          <cell r="P5">
            <v>1263310.82</v>
          </cell>
          <cell r="Q5">
            <v>648133.31000000006</v>
          </cell>
          <cell r="R5">
            <v>78613.02</v>
          </cell>
          <cell r="S5">
            <v>59967.71</v>
          </cell>
          <cell r="T5">
            <v>770.26</v>
          </cell>
          <cell r="U5">
            <v>356.93</v>
          </cell>
          <cell r="V5">
            <v>229.44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E6">
            <v>125076858.62</v>
          </cell>
          <cell r="F6">
            <v>200067909.97999999</v>
          </cell>
          <cell r="G6">
            <v>73218065.129999995</v>
          </cell>
          <cell r="H6">
            <v>39613383.039999999</v>
          </cell>
          <cell r="I6">
            <v>26107766.18</v>
          </cell>
          <cell r="J6">
            <v>13956575.380000001</v>
          </cell>
          <cell r="K6">
            <v>8930675.4800000004</v>
          </cell>
          <cell r="L6">
            <v>7226636.7800000003</v>
          </cell>
          <cell r="M6">
            <v>4389489.05</v>
          </cell>
          <cell r="N6">
            <v>6424737.2699999996</v>
          </cell>
          <cell r="O6">
            <v>3297911.43</v>
          </cell>
          <cell r="P6">
            <v>2094734.07</v>
          </cell>
          <cell r="Q6">
            <v>1300234.97</v>
          </cell>
          <cell r="R6">
            <v>549389.06000000006</v>
          </cell>
          <cell r="S6">
            <v>133802.56</v>
          </cell>
          <cell r="T6">
            <v>18932.27</v>
          </cell>
          <cell r="U6">
            <v>7488.34</v>
          </cell>
          <cell r="V6">
            <v>190.93</v>
          </cell>
          <cell r="W6">
            <v>57.11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F7">
            <v>65620367.729999997</v>
          </cell>
          <cell r="G7">
            <v>145147762.93000001</v>
          </cell>
          <cell r="H7">
            <v>63627605.259999998</v>
          </cell>
          <cell r="I7">
            <v>31826810.34</v>
          </cell>
          <cell r="J7">
            <v>14196967.310000001</v>
          </cell>
          <cell r="K7">
            <v>8153911.8600000003</v>
          </cell>
          <cell r="L7">
            <v>6109972.54</v>
          </cell>
          <cell r="M7">
            <v>3347650.55</v>
          </cell>
          <cell r="N7">
            <v>4219103.6500000004</v>
          </cell>
          <cell r="O7">
            <v>2358691.73</v>
          </cell>
          <cell r="P7">
            <v>1764616.1</v>
          </cell>
          <cell r="Q7">
            <v>1447662.04</v>
          </cell>
          <cell r="R7">
            <v>529818.73</v>
          </cell>
          <cell r="S7">
            <v>366056.68</v>
          </cell>
          <cell r="T7">
            <v>30360.5</v>
          </cell>
          <cell r="U7">
            <v>34945.269999999997</v>
          </cell>
          <cell r="V7">
            <v>5041.76</v>
          </cell>
          <cell r="W7">
            <v>715.91</v>
          </cell>
          <cell r="X7">
            <v>233.34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G8">
            <v>71907133.430000007</v>
          </cell>
          <cell r="H8">
            <v>198052932.63999999</v>
          </cell>
          <cell r="I8">
            <v>84607663.640000001</v>
          </cell>
          <cell r="J8">
            <v>38254447.420000002</v>
          </cell>
          <cell r="K8">
            <v>21568557.800000001</v>
          </cell>
          <cell r="L8">
            <v>13479766.869999999</v>
          </cell>
          <cell r="M8">
            <v>7752586.6399999997</v>
          </cell>
          <cell r="N8">
            <v>6137752.5300000003</v>
          </cell>
          <cell r="O8">
            <v>5493460.4299999997</v>
          </cell>
          <cell r="P8">
            <v>2955626.53</v>
          </cell>
          <cell r="Q8">
            <v>2947997.14</v>
          </cell>
          <cell r="R8">
            <v>1463590.44</v>
          </cell>
          <cell r="S8">
            <v>1801818.06</v>
          </cell>
          <cell r="T8">
            <v>316368.43</v>
          </cell>
          <cell r="U8">
            <v>125683.8</v>
          </cell>
          <cell r="V8">
            <v>31687.82</v>
          </cell>
          <cell r="W8">
            <v>1907.43</v>
          </cell>
          <cell r="X8">
            <v>512.79999999999995</v>
          </cell>
          <cell r="Y8">
            <v>124.25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H9">
            <v>96126520.629999995</v>
          </cell>
          <cell r="I9">
            <v>241141796.71000001</v>
          </cell>
          <cell r="J9">
            <v>103792228.98999999</v>
          </cell>
          <cell r="K9">
            <v>52441829.759999998</v>
          </cell>
          <cell r="L9">
            <v>28867282.550000001</v>
          </cell>
          <cell r="M9">
            <v>14065874.369999999</v>
          </cell>
          <cell r="N9">
            <v>12197214.18</v>
          </cell>
          <cell r="O9">
            <v>10034466.73</v>
          </cell>
          <cell r="P9">
            <v>5545170.7199999997</v>
          </cell>
          <cell r="Q9">
            <v>4665146.62</v>
          </cell>
          <cell r="R9">
            <v>3032394.66</v>
          </cell>
          <cell r="S9">
            <v>2158227.41</v>
          </cell>
          <cell r="T9">
            <v>1648371.18</v>
          </cell>
          <cell r="U9">
            <v>419163.88</v>
          </cell>
          <cell r="V9">
            <v>74375.05</v>
          </cell>
          <cell r="W9">
            <v>72366.740000000005</v>
          </cell>
          <cell r="X9">
            <v>5672.56</v>
          </cell>
          <cell r="Y9">
            <v>843.6</v>
          </cell>
          <cell r="Z9">
            <v>155.29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I10">
            <v>96718737.189999998</v>
          </cell>
          <cell r="J10">
            <v>237990555.50999999</v>
          </cell>
          <cell r="K10">
            <v>114307373.92</v>
          </cell>
          <cell r="L10">
            <v>59034848.829999998</v>
          </cell>
          <cell r="M10">
            <v>29532772.789999999</v>
          </cell>
          <cell r="N10">
            <v>19636654.789999999</v>
          </cell>
          <cell r="O10">
            <v>13896699.59</v>
          </cell>
          <cell r="P10">
            <v>9047432.0399999991</v>
          </cell>
          <cell r="Q10">
            <v>7907114.4100000001</v>
          </cell>
          <cell r="R10">
            <v>5267976.41</v>
          </cell>
          <cell r="S10">
            <v>2818992.67</v>
          </cell>
          <cell r="T10">
            <v>1794454.74</v>
          </cell>
          <cell r="U10">
            <v>1867336.2</v>
          </cell>
          <cell r="V10">
            <v>558966.81000000006</v>
          </cell>
          <cell r="W10">
            <v>143138.79999999999</v>
          </cell>
          <cell r="X10">
            <v>64574.63</v>
          </cell>
          <cell r="Y10">
            <v>11733.13</v>
          </cell>
          <cell r="Z10">
            <v>850.05</v>
          </cell>
          <cell r="AA10">
            <v>254.13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J11">
            <v>93231693.060000002</v>
          </cell>
          <cell r="K11">
            <v>228720153.31999999</v>
          </cell>
          <cell r="L11">
            <v>125774156.66</v>
          </cell>
          <cell r="M11">
            <v>50485342.759999998</v>
          </cell>
          <cell r="N11">
            <v>31159844.109999999</v>
          </cell>
          <cell r="O11">
            <v>18547856.620000001</v>
          </cell>
          <cell r="P11">
            <v>12798547.449999999</v>
          </cell>
          <cell r="Q11">
            <v>10737004.34</v>
          </cell>
          <cell r="R11">
            <v>6445893.3099999996</v>
          </cell>
          <cell r="S11">
            <v>5930393.0499999998</v>
          </cell>
          <cell r="T11">
            <v>5196020.0199999996</v>
          </cell>
          <cell r="U11">
            <v>3212040.65</v>
          </cell>
          <cell r="V11">
            <v>1864606.43</v>
          </cell>
          <cell r="W11">
            <v>483756.24</v>
          </cell>
          <cell r="X11">
            <v>195268.2</v>
          </cell>
          <cell r="Y11">
            <v>83161.25</v>
          </cell>
          <cell r="Z11">
            <v>23791.439999999999</v>
          </cell>
          <cell r="AA11">
            <v>1280.79</v>
          </cell>
          <cell r="AB11">
            <v>55.29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K12">
            <v>88068092.290000007</v>
          </cell>
          <cell r="L12">
            <v>242057145.47999999</v>
          </cell>
          <cell r="M12">
            <v>103071516.40000001</v>
          </cell>
          <cell r="N12">
            <v>62074393.310000002</v>
          </cell>
          <cell r="O12">
            <v>34081974.539999999</v>
          </cell>
          <cell r="P12">
            <v>19368469.109999999</v>
          </cell>
          <cell r="Q12">
            <v>16234675.220000001</v>
          </cell>
          <cell r="R12">
            <v>9516382.2899999991</v>
          </cell>
          <cell r="S12">
            <v>7377122.0599999996</v>
          </cell>
          <cell r="T12">
            <v>8244631.9000000004</v>
          </cell>
          <cell r="U12">
            <v>7213019.8600000003</v>
          </cell>
          <cell r="V12">
            <v>3139408.58</v>
          </cell>
          <cell r="W12">
            <v>1663870.42</v>
          </cell>
          <cell r="X12">
            <v>815783.31</v>
          </cell>
          <cell r="Y12">
            <v>187768.37</v>
          </cell>
          <cell r="Z12">
            <v>111508.75</v>
          </cell>
          <cell r="AA12">
            <v>8307.2800000000007</v>
          </cell>
          <cell r="AB12">
            <v>1511.93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L13">
            <v>93366393.650000006</v>
          </cell>
          <cell r="M13">
            <v>227767982.72999999</v>
          </cell>
          <cell r="N13">
            <v>126938461.36</v>
          </cell>
          <cell r="O13">
            <v>69840144.579999998</v>
          </cell>
          <cell r="P13">
            <v>37440868.920000002</v>
          </cell>
          <cell r="Q13">
            <v>26881643.68</v>
          </cell>
          <cell r="R13">
            <v>14227493.810000001</v>
          </cell>
          <cell r="S13">
            <v>9620743.4100000001</v>
          </cell>
          <cell r="T13">
            <v>9505781.5</v>
          </cell>
          <cell r="U13">
            <v>6819215.2999999998</v>
          </cell>
          <cell r="V13">
            <v>4813566.84</v>
          </cell>
          <cell r="W13">
            <v>2897255.25</v>
          </cell>
          <cell r="X13">
            <v>1599274.68</v>
          </cell>
          <cell r="Y13">
            <v>725880.73</v>
          </cell>
          <cell r="Z13">
            <v>272004.55</v>
          </cell>
          <cell r="AA13">
            <v>68122.27</v>
          </cell>
          <cell r="AB13">
            <v>17773.48</v>
          </cell>
          <cell r="AC13">
            <v>1064.49</v>
          </cell>
          <cell r="AD13">
            <v>215.55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M14">
            <v>75201501.959999993</v>
          </cell>
          <cell r="N14">
            <v>238385921.34999999</v>
          </cell>
          <cell r="O14">
            <v>127683316.16</v>
          </cell>
          <cell r="P14">
            <v>62280295.890000001</v>
          </cell>
          <cell r="Q14">
            <v>39184551.850000001</v>
          </cell>
          <cell r="R14">
            <v>25730509.109999999</v>
          </cell>
          <cell r="S14">
            <v>16886138.18</v>
          </cell>
          <cell r="T14">
            <v>15229153.640000001</v>
          </cell>
          <cell r="U14">
            <v>9765459.2799999993</v>
          </cell>
          <cell r="V14">
            <v>7726041.2999999998</v>
          </cell>
          <cell r="W14">
            <v>6361824.5499999998</v>
          </cell>
          <cell r="X14">
            <v>3438214.99</v>
          </cell>
          <cell r="Y14">
            <v>2019089.41</v>
          </cell>
          <cell r="Z14">
            <v>830511.1</v>
          </cell>
          <cell r="AA14">
            <v>221068.66</v>
          </cell>
          <cell r="AB14">
            <v>108629.61</v>
          </cell>
          <cell r="AC14">
            <v>12943.7</v>
          </cell>
          <cell r="AD14">
            <v>969.46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N15">
            <v>99775646.420000002</v>
          </cell>
          <cell r="O15">
            <v>274362121.82999998</v>
          </cell>
          <cell r="P15">
            <v>122470761.44</v>
          </cell>
          <cell r="Q15">
            <v>78654013.469999999</v>
          </cell>
          <cell r="R15">
            <v>41569152.890000001</v>
          </cell>
          <cell r="S15">
            <v>28368163.390000001</v>
          </cell>
          <cell r="T15">
            <v>22276808.32</v>
          </cell>
          <cell r="U15">
            <v>13356410.890000001</v>
          </cell>
          <cell r="V15">
            <v>13205171.199999999</v>
          </cell>
          <cell r="W15">
            <v>7247179.25</v>
          </cell>
          <cell r="X15">
            <v>6962421.54</v>
          </cell>
          <cell r="Y15">
            <v>5695518.5999999996</v>
          </cell>
          <cell r="Z15">
            <v>2792254.89</v>
          </cell>
          <cell r="AA15">
            <v>642679.41</v>
          </cell>
          <cell r="AB15">
            <v>291651.40999999997</v>
          </cell>
          <cell r="AC15">
            <v>131255.96</v>
          </cell>
          <cell r="AD15">
            <v>14256.43</v>
          </cell>
          <cell r="AE15">
            <v>1881.04</v>
          </cell>
          <cell r="AF15">
            <v>0</v>
          </cell>
          <cell r="AG15">
            <v>0</v>
          </cell>
          <cell r="AH15">
            <v>0</v>
          </cell>
        </row>
        <row r="16">
          <cell r="O16">
            <v>77430688.870000005</v>
          </cell>
          <cell r="P16">
            <v>196438370.12</v>
          </cell>
          <cell r="Q16">
            <v>134327779.74000001</v>
          </cell>
          <cell r="R16">
            <v>59386387.270000003</v>
          </cell>
          <cell r="S16">
            <v>29803158.010000002</v>
          </cell>
          <cell r="T16">
            <v>23418669.760000002</v>
          </cell>
          <cell r="U16">
            <v>13820975.060000001</v>
          </cell>
          <cell r="V16">
            <v>17376552.649999999</v>
          </cell>
          <cell r="W16">
            <v>9640386.9199999999</v>
          </cell>
          <cell r="X16">
            <v>9238337.5299999993</v>
          </cell>
          <cell r="Y16">
            <v>6827063.5700000003</v>
          </cell>
          <cell r="Z16">
            <v>4367344.4400000004</v>
          </cell>
          <cell r="AA16">
            <v>1829160.77</v>
          </cell>
          <cell r="AB16">
            <v>876917.19</v>
          </cell>
          <cell r="AC16">
            <v>150026.29</v>
          </cell>
          <cell r="AD16">
            <v>91187.47</v>
          </cell>
          <cell r="AE16">
            <v>12130.47</v>
          </cell>
          <cell r="AF16">
            <v>1516.95</v>
          </cell>
          <cell r="AG16">
            <v>324.60000000000002</v>
          </cell>
          <cell r="AH16">
            <v>0</v>
          </cell>
        </row>
        <row r="17">
          <cell r="P17">
            <v>71097410.879999995</v>
          </cell>
          <cell r="Q17">
            <v>218524387.61000001</v>
          </cell>
          <cell r="R17">
            <v>98245268.109999999</v>
          </cell>
          <cell r="S17">
            <v>49009534.340000004</v>
          </cell>
          <cell r="T17">
            <v>30182139.620000001</v>
          </cell>
          <cell r="U17">
            <v>20107232.690000001</v>
          </cell>
          <cell r="V17">
            <v>18676533.870000001</v>
          </cell>
          <cell r="W17">
            <v>11039059.640000001</v>
          </cell>
          <cell r="X17">
            <v>9779079.6799999997</v>
          </cell>
          <cell r="Y17">
            <v>7336432.0800000001</v>
          </cell>
          <cell r="Z17">
            <v>5128916.1900000004</v>
          </cell>
          <cell r="AA17">
            <v>3503424.99</v>
          </cell>
          <cell r="AB17">
            <v>2177608.62</v>
          </cell>
          <cell r="AC17">
            <v>824831.43</v>
          </cell>
          <cell r="AD17">
            <v>157153.04</v>
          </cell>
          <cell r="AE17">
            <v>42234.75</v>
          </cell>
          <cell r="AF17">
            <v>8550.33</v>
          </cell>
          <cell r="AG17">
            <v>691.28</v>
          </cell>
          <cell r="AH17">
            <v>0</v>
          </cell>
        </row>
        <row r="18">
          <cell r="Q18">
            <v>110006090.06999999</v>
          </cell>
          <cell r="R18">
            <v>257449970.69</v>
          </cell>
          <cell r="S18">
            <v>111190239.17</v>
          </cell>
          <cell r="T18">
            <v>59561696.299999997</v>
          </cell>
          <cell r="U18">
            <v>30956851.699999999</v>
          </cell>
          <cell r="V18">
            <v>29817357.920000002</v>
          </cell>
          <cell r="W18">
            <v>19130415.699999999</v>
          </cell>
          <cell r="X18">
            <v>13445580.369999999</v>
          </cell>
          <cell r="Y18">
            <v>12127269.1</v>
          </cell>
          <cell r="Z18">
            <v>9976679.75</v>
          </cell>
          <cell r="AA18">
            <v>6194346.6200000001</v>
          </cell>
          <cell r="AB18">
            <v>4496843.57</v>
          </cell>
          <cell r="AC18">
            <v>3038770.61</v>
          </cell>
          <cell r="AD18">
            <v>546286.74</v>
          </cell>
          <cell r="AE18">
            <v>229267.53</v>
          </cell>
          <cell r="AF18">
            <v>84826.84</v>
          </cell>
          <cell r="AG18">
            <v>10670.26</v>
          </cell>
          <cell r="AH18">
            <v>591.79</v>
          </cell>
        </row>
        <row r="19">
          <cell r="R19">
            <v>104760385.97</v>
          </cell>
          <cell r="S19">
            <v>252625139.47999999</v>
          </cell>
          <cell r="T19">
            <v>110338923.78</v>
          </cell>
          <cell r="U19">
            <v>53422469.079999998</v>
          </cell>
          <cell r="V19">
            <v>35864598.82</v>
          </cell>
          <cell r="W19">
            <v>25972376.550000001</v>
          </cell>
          <cell r="X19">
            <v>17210993.390000001</v>
          </cell>
          <cell r="Y19">
            <v>15398156.51</v>
          </cell>
          <cell r="Z19">
            <v>13148792.18</v>
          </cell>
          <cell r="AA19">
            <v>7762904.6699999999</v>
          </cell>
          <cell r="AB19">
            <v>6074834.0300000003</v>
          </cell>
          <cell r="AC19">
            <v>5245508.38</v>
          </cell>
          <cell r="AD19">
            <v>2267586.17</v>
          </cell>
          <cell r="AE19">
            <v>327980.63</v>
          </cell>
          <cell r="AF19">
            <v>122368.36</v>
          </cell>
          <cell r="AG19">
            <v>52081.49</v>
          </cell>
          <cell r="AH19">
            <v>8311.4500000000007</v>
          </cell>
        </row>
        <row r="20">
          <cell r="S20">
            <v>90104570.719999999</v>
          </cell>
          <cell r="T20">
            <v>249237082.53</v>
          </cell>
          <cell r="U20">
            <v>98817910.260000005</v>
          </cell>
          <cell r="V20">
            <v>46171360.979999997</v>
          </cell>
          <cell r="W20">
            <v>37021539.079999998</v>
          </cell>
          <cell r="X20">
            <v>21878669.420000002</v>
          </cell>
          <cell r="Y20">
            <v>18664825.059999999</v>
          </cell>
          <cell r="Z20">
            <v>14146602.140000001</v>
          </cell>
          <cell r="AA20">
            <v>8976252.9700000007</v>
          </cell>
          <cell r="AB20">
            <v>8409730.9900000002</v>
          </cell>
          <cell r="AC20">
            <v>6645304.8499999996</v>
          </cell>
          <cell r="AD20">
            <v>4455693.34</v>
          </cell>
          <cell r="AE20">
            <v>1482735.29</v>
          </cell>
          <cell r="AF20">
            <v>623698.11</v>
          </cell>
          <cell r="AG20">
            <v>134617.51999999999</v>
          </cell>
          <cell r="AH20">
            <v>21237.200000000001</v>
          </cell>
        </row>
        <row r="21">
          <cell r="T21">
            <v>98808409.319999993</v>
          </cell>
          <cell r="U21">
            <v>241337197.34</v>
          </cell>
          <cell r="V21">
            <v>100944946.48</v>
          </cell>
          <cell r="W21">
            <v>51812959.579999998</v>
          </cell>
          <cell r="X21">
            <v>37614255.189999998</v>
          </cell>
          <cell r="Y21">
            <v>27584021.579999998</v>
          </cell>
          <cell r="Z21">
            <v>22107472.079999998</v>
          </cell>
          <cell r="AA21">
            <v>12417981.91</v>
          </cell>
          <cell r="AB21">
            <v>11041189.789999999</v>
          </cell>
          <cell r="AC21">
            <v>7703432.3099999996</v>
          </cell>
          <cell r="AD21">
            <v>6301702.96</v>
          </cell>
          <cell r="AE21">
            <v>2849260.48</v>
          </cell>
          <cell r="AF21">
            <v>1755854.39</v>
          </cell>
          <cell r="AG21">
            <v>579630.79</v>
          </cell>
          <cell r="AH21">
            <v>88060.5</v>
          </cell>
        </row>
        <row r="22">
          <cell r="U22">
            <v>87906786.530000001</v>
          </cell>
          <cell r="V22">
            <v>242429195.00999999</v>
          </cell>
          <cell r="W22">
            <v>92294704.659999996</v>
          </cell>
          <cell r="X22">
            <v>55000063.93</v>
          </cell>
          <cell r="Y22">
            <v>37032744.590000004</v>
          </cell>
          <cell r="Z22">
            <v>31471713.84</v>
          </cell>
          <cell r="AA22">
            <v>17859479.440000001</v>
          </cell>
          <cell r="AB22">
            <v>14346198.24</v>
          </cell>
          <cell r="AC22">
            <v>11532165.550000001</v>
          </cell>
          <cell r="AD22">
            <v>7298959.7800000003</v>
          </cell>
          <cell r="AE22">
            <v>4250578.97</v>
          </cell>
          <cell r="AF22">
            <v>3712090.12</v>
          </cell>
          <cell r="AG22">
            <v>1965642.71</v>
          </cell>
          <cell r="AH22">
            <v>276603.06</v>
          </cell>
        </row>
        <row r="23">
          <cell r="V23">
            <v>105240732.73999999</v>
          </cell>
          <cell r="W23">
            <v>248358579.78999999</v>
          </cell>
          <cell r="X23">
            <v>110692347.42</v>
          </cell>
          <cell r="Y23">
            <v>61998549.43</v>
          </cell>
          <cell r="Z23">
            <v>46230771.079999998</v>
          </cell>
          <cell r="AA23">
            <v>24980674.98</v>
          </cell>
          <cell r="AB23">
            <v>20014045.93</v>
          </cell>
          <cell r="AC23">
            <v>15320250.07</v>
          </cell>
          <cell r="AD23">
            <v>10600935.199999999</v>
          </cell>
          <cell r="AE23">
            <v>7704955.46</v>
          </cell>
          <cell r="AF23">
            <v>4908830.75</v>
          </cell>
          <cell r="AG23">
            <v>2775547.64</v>
          </cell>
          <cell r="AH23">
            <v>918210.57</v>
          </cell>
        </row>
        <row r="24">
          <cell r="W24">
            <v>97091652.290000007</v>
          </cell>
          <cell r="X24">
            <v>242299915.56999999</v>
          </cell>
          <cell r="Y24">
            <v>109319880.59</v>
          </cell>
          <cell r="Z24">
            <v>64267220.850000001</v>
          </cell>
          <cell r="AA24">
            <v>39780219.140000001</v>
          </cell>
          <cell r="AB24">
            <v>30138196.719999999</v>
          </cell>
          <cell r="AC24">
            <v>21633674.449999999</v>
          </cell>
          <cell r="AD24">
            <v>11352009.43</v>
          </cell>
          <cell r="AE24">
            <v>7504940.9000000004</v>
          </cell>
          <cell r="AF24">
            <v>5017964.88</v>
          </cell>
          <cell r="AG24">
            <v>3791194.61</v>
          </cell>
          <cell r="AH24">
            <v>2216568.44</v>
          </cell>
        </row>
        <row r="25">
          <cell r="X25">
            <v>97225545.049999997</v>
          </cell>
          <cell r="Y25">
            <v>231263365.66</v>
          </cell>
          <cell r="Z25">
            <v>119352419.38</v>
          </cell>
          <cell r="AA25">
            <v>60004319.670000002</v>
          </cell>
          <cell r="AB25">
            <v>48885733.340000004</v>
          </cell>
          <cell r="AC25">
            <v>31999848.260000002</v>
          </cell>
          <cell r="AD25">
            <v>17202231.149999999</v>
          </cell>
          <cell r="AE25">
            <v>10419492.83</v>
          </cell>
          <cell r="AF25">
            <v>5241427.33</v>
          </cell>
          <cell r="AG25">
            <v>4032928.98</v>
          </cell>
          <cell r="AH25">
            <v>3186257.03</v>
          </cell>
        </row>
        <row r="26">
          <cell r="Y26">
            <v>93497058.590000004</v>
          </cell>
          <cell r="Z26">
            <v>243532588.46000001</v>
          </cell>
          <cell r="AA26">
            <v>109782793.27</v>
          </cell>
          <cell r="AB26">
            <v>68607869.319999993</v>
          </cell>
          <cell r="AC26">
            <v>54661697.890000001</v>
          </cell>
          <cell r="AD26">
            <v>25922421.719999999</v>
          </cell>
          <cell r="AE26">
            <v>16030345.16</v>
          </cell>
          <cell r="AF26">
            <v>8420922.3800000008</v>
          </cell>
          <cell r="AG26">
            <v>5605253.7400000002</v>
          </cell>
          <cell r="AH26">
            <v>4047121.87</v>
          </cell>
        </row>
        <row r="27">
          <cell r="Z27">
            <v>105916698.64</v>
          </cell>
          <cell r="AA27">
            <v>252913819.87</v>
          </cell>
          <cell r="AB27">
            <v>139590443.47</v>
          </cell>
          <cell r="AC27">
            <v>87428045.129999995</v>
          </cell>
          <cell r="AD27">
            <v>50750024.200000003</v>
          </cell>
          <cell r="AE27">
            <v>25948423.449999999</v>
          </cell>
          <cell r="AF27">
            <v>14317609.59</v>
          </cell>
          <cell r="AG27">
            <v>9748620.4399999995</v>
          </cell>
          <cell r="AH27">
            <v>8574657.0199999996</v>
          </cell>
        </row>
        <row r="28">
          <cell r="AA28">
            <v>91912139.980000004</v>
          </cell>
          <cell r="AB28">
            <v>238945979.25</v>
          </cell>
          <cell r="AC28">
            <v>130485457.84999999</v>
          </cell>
          <cell r="AD28">
            <v>70099254.189999998</v>
          </cell>
          <cell r="AE28">
            <v>36324331.890000001</v>
          </cell>
          <cell r="AF28">
            <v>23668146.48</v>
          </cell>
          <cell r="AG28">
            <v>14775693.18</v>
          </cell>
          <cell r="AH28">
            <v>9210883.1400000006</v>
          </cell>
        </row>
        <row r="29">
          <cell r="AB29">
            <v>78182752.799999997</v>
          </cell>
          <cell r="AC29">
            <v>215524939.84</v>
          </cell>
          <cell r="AD29">
            <v>103952041.68000001</v>
          </cell>
          <cell r="AE29">
            <v>51677842.399999999</v>
          </cell>
          <cell r="AF29">
            <v>32226550.780000001</v>
          </cell>
          <cell r="AG29">
            <v>15965592.130000001</v>
          </cell>
          <cell r="AH29">
            <v>13788977.75</v>
          </cell>
        </row>
        <row r="30">
          <cell r="AC30">
            <v>105256327.20999999</v>
          </cell>
          <cell r="AD30">
            <v>234311295.06</v>
          </cell>
          <cell r="AE30">
            <v>110632978.93000001</v>
          </cell>
          <cell r="AF30">
            <v>56077436.399999999</v>
          </cell>
          <cell r="AG30">
            <v>31239516.34</v>
          </cell>
          <cell r="AH30">
            <v>22799856.68</v>
          </cell>
        </row>
        <row r="31">
          <cell r="AD31">
            <v>92737725.390000001</v>
          </cell>
          <cell r="AE31">
            <v>230255406.61000001</v>
          </cell>
          <cell r="AF31">
            <v>96427275.879999995</v>
          </cell>
          <cell r="AG31">
            <v>54224534.560000002</v>
          </cell>
          <cell r="AH31">
            <v>33455711.789999999</v>
          </cell>
        </row>
        <row r="32">
          <cell r="AE32">
            <v>105431750.51000001</v>
          </cell>
          <cell r="AF32">
            <v>228817912.34</v>
          </cell>
          <cell r="AG32">
            <v>97712823.620000005</v>
          </cell>
          <cell r="AH32">
            <v>64069121.700000003</v>
          </cell>
        </row>
        <row r="33">
          <cell r="AF33">
            <v>99297446.109999999</v>
          </cell>
          <cell r="AG33">
            <v>218370309.50999999</v>
          </cell>
          <cell r="AH33">
            <v>107101649.38</v>
          </cell>
        </row>
        <row r="34">
          <cell r="AG34">
            <v>86850842.209999993</v>
          </cell>
          <cell r="AH34">
            <v>221335774.75</v>
          </cell>
        </row>
        <row r="35">
          <cell r="AH35">
            <v>98806347.290000007</v>
          </cell>
        </row>
      </sheetData>
      <sheetData sheetId="2">
        <row r="3">
          <cell r="B3" t="str">
            <v>1/1/20X0</v>
          </cell>
          <cell r="C3">
            <v>4022562</v>
          </cell>
        </row>
        <row r="4">
          <cell r="B4" t="str">
            <v>2/1/20X0</v>
          </cell>
          <cell r="C4">
            <v>3996174</v>
          </cell>
        </row>
        <row r="5">
          <cell r="B5" t="str">
            <v>3/1/20X0</v>
          </cell>
          <cell r="C5">
            <v>3989428</v>
          </cell>
        </row>
        <row r="6">
          <cell r="B6" t="str">
            <v>4/1/20X0</v>
          </cell>
          <cell r="C6">
            <v>3980783</v>
          </cell>
        </row>
        <row r="7">
          <cell r="B7" t="str">
            <v>5/1/20X0</v>
          </cell>
          <cell r="C7">
            <v>3957638</v>
          </cell>
        </row>
        <row r="8">
          <cell r="B8" t="str">
            <v>6/1/20X0</v>
          </cell>
          <cell r="C8">
            <v>3933019</v>
          </cell>
        </row>
        <row r="9">
          <cell r="B9" t="str">
            <v>7/1/20X0</v>
          </cell>
          <cell r="C9">
            <v>3901508</v>
          </cell>
        </row>
        <row r="10">
          <cell r="B10" t="str">
            <v>8/1/20X0</v>
          </cell>
          <cell r="C10">
            <v>3871947</v>
          </cell>
        </row>
        <row r="11">
          <cell r="B11" t="str">
            <v>9/1/20X0</v>
          </cell>
          <cell r="C11">
            <v>3856827</v>
          </cell>
        </row>
        <row r="12">
          <cell r="B12" t="str">
            <v>10/1/20X0</v>
          </cell>
          <cell r="C12">
            <v>3841287</v>
          </cell>
        </row>
        <row r="13">
          <cell r="B13" t="str">
            <v>11/1/20X0</v>
          </cell>
          <cell r="C13">
            <v>3823972</v>
          </cell>
        </row>
        <row r="14">
          <cell r="B14" t="str">
            <v>12/1/20X0</v>
          </cell>
          <cell r="C14">
            <v>3822502</v>
          </cell>
        </row>
        <row r="15">
          <cell r="B15" t="str">
            <v>1/1/20X1</v>
          </cell>
          <cell r="C15">
            <v>3895094</v>
          </cell>
        </row>
        <row r="16">
          <cell r="B16" t="str">
            <v>2/1/20X1</v>
          </cell>
          <cell r="C16">
            <v>3874416</v>
          </cell>
        </row>
        <row r="17">
          <cell r="B17" t="str">
            <v>3/1/20X1</v>
          </cell>
          <cell r="C17">
            <v>3866938</v>
          </cell>
        </row>
        <row r="18">
          <cell r="B18" t="str">
            <v>4/1/20X1</v>
          </cell>
          <cell r="C18">
            <v>3861213</v>
          </cell>
        </row>
        <row r="19">
          <cell r="B19" t="str">
            <v>5/1/20X1</v>
          </cell>
          <cell r="C19">
            <v>3836568</v>
          </cell>
        </row>
        <row r="20">
          <cell r="B20" t="str">
            <v>6/1/20X1</v>
          </cell>
          <cell r="C20">
            <v>3825850</v>
          </cell>
        </row>
        <row r="21">
          <cell r="B21" t="str">
            <v>7/1/20X1</v>
          </cell>
          <cell r="C21">
            <v>3810668</v>
          </cell>
        </row>
        <row r="22">
          <cell r="B22" t="str">
            <v>8/1/20X1</v>
          </cell>
          <cell r="C22">
            <v>3797329</v>
          </cell>
        </row>
        <row r="23">
          <cell r="B23" t="str">
            <v>9/1/20X1</v>
          </cell>
          <cell r="C23">
            <v>3799900</v>
          </cell>
        </row>
        <row r="24">
          <cell r="B24" t="str">
            <v>10/1/20X1</v>
          </cell>
          <cell r="C24">
            <v>3796860</v>
          </cell>
        </row>
        <row r="25">
          <cell r="B25" t="str">
            <v>11/1/20X1</v>
          </cell>
          <cell r="C25">
            <v>3795321</v>
          </cell>
        </row>
        <row r="26">
          <cell r="B26" t="str">
            <v>12/1/20X1</v>
          </cell>
          <cell r="C26">
            <v>3800988</v>
          </cell>
        </row>
        <row r="27">
          <cell r="B27" t="str">
            <v>1/1/20X2</v>
          </cell>
          <cell r="C27">
            <v>3697596</v>
          </cell>
        </row>
        <row r="28">
          <cell r="B28" t="str">
            <v>2/1/20X2</v>
          </cell>
          <cell r="C28">
            <v>3686785</v>
          </cell>
        </row>
        <row r="29">
          <cell r="B29" t="str">
            <v>3/1/20X2</v>
          </cell>
          <cell r="C29">
            <v>3686904</v>
          </cell>
        </row>
        <row r="30">
          <cell r="B30" t="str">
            <v>4/1/20X2</v>
          </cell>
          <cell r="C30">
            <v>3699255</v>
          </cell>
        </row>
        <row r="31">
          <cell r="B31" t="str">
            <v>5/1/20X2</v>
          </cell>
          <cell r="C31">
            <v>3686935</v>
          </cell>
        </row>
        <row r="32">
          <cell r="B32" t="str">
            <v>6/1/20X2</v>
          </cell>
          <cell r="C32">
            <v>3692581</v>
          </cell>
        </row>
        <row r="33">
          <cell r="B33" t="str">
            <v>7/1/20X2</v>
          </cell>
          <cell r="C33">
            <v>3688179</v>
          </cell>
        </row>
        <row r="34">
          <cell r="B34" t="str">
            <v>8/1/20X2</v>
          </cell>
          <cell r="C34">
            <v>3678321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520B7-BA46-413E-AB2B-5F4D5F31F1D3}">
  <sheetPr codeName="Sheet1"/>
  <dimension ref="A1:N50"/>
  <sheetViews>
    <sheetView tabSelected="1" zoomScaleNormal="100" workbookViewId="0"/>
  </sheetViews>
  <sheetFormatPr defaultColWidth="9.28515625" defaultRowHeight="15" x14ac:dyDescent="0.25"/>
  <cols>
    <col min="1" max="1" width="22.7109375" style="52" bestFit="1" customWidth="1"/>
    <col min="2" max="7" width="10.28515625" style="52" bestFit="1" customWidth="1"/>
    <col min="8" max="8" width="16.28515625" style="52" bestFit="1" customWidth="1"/>
    <col min="9" max="11" width="10.7109375" style="52" bestFit="1" customWidth="1"/>
    <col min="12" max="16384" width="9.28515625" style="52"/>
  </cols>
  <sheetData>
    <row r="1" spans="1:14" ht="22.9" x14ac:dyDescent="0.4">
      <c r="A1" s="26" t="s">
        <v>100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s="38" customFormat="1" ht="15.6" x14ac:dyDescent="0.3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4" s="38" customFormat="1" ht="15.6" x14ac:dyDescent="0.3">
      <c r="A3" s="66" t="s">
        <v>99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4" s="38" customFormat="1" ht="15.6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1:14" s="38" customFormat="1" ht="15.6" x14ac:dyDescent="0.3">
      <c r="A5" s="63"/>
      <c r="B5" s="65" t="s">
        <v>98</v>
      </c>
      <c r="C5" s="65" t="s">
        <v>97</v>
      </c>
      <c r="D5" s="65" t="s">
        <v>96</v>
      </c>
      <c r="E5" s="65" t="s">
        <v>95</v>
      </c>
      <c r="F5" s="65" t="s">
        <v>94</v>
      </c>
      <c r="G5" s="65" t="s">
        <v>93</v>
      </c>
      <c r="H5" s="65" t="s">
        <v>1</v>
      </c>
      <c r="I5" s="34"/>
      <c r="J5" s="34"/>
      <c r="K5" s="34"/>
      <c r="L5" s="34"/>
      <c r="M5" s="34"/>
      <c r="N5" s="34"/>
    </row>
    <row r="6" spans="1:14" s="38" customFormat="1" ht="15.6" x14ac:dyDescent="0.3">
      <c r="A6" s="63" t="s">
        <v>92</v>
      </c>
      <c r="B6" s="64">
        <v>410</v>
      </c>
      <c r="C6" s="64">
        <v>430</v>
      </c>
      <c r="D6" s="64">
        <v>480</v>
      </c>
      <c r="E6" s="64">
        <v>600</v>
      </c>
      <c r="F6" s="64">
        <v>650</v>
      </c>
      <c r="G6" s="64">
        <v>675</v>
      </c>
      <c r="H6" s="64">
        <f>SUM(B6:G6)</f>
        <v>3245</v>
      </c>
      <c r="I6" s="34"/>
      <c r="J6" s="34"/>
      <c r="K6" s="34"/>
      <c r="L6" s="34"/>
      <c r="M6" s="34"/>
      <c r="N6" s="34"/>
    </row>
    <row r="7" spans="1:14" s="38" customFormat="1" ht="15.6" x14ac:dyDescent="0.3">
      <c r="A7" s="63" t="s">
        <v>91</v>
      </c>
      <c r="B7" s="63">
        <v>2</v>
      </c>
      <c r="C7" s="63">
        <v>4</v>
      </c>
      <c r="D7" s="63">
        <v>5</v>
      </c>
      <c r="E7" s="63">
        <v>4</v>
      </c>
      <c r="F7" s="63">
        <v>7</v>
      </c>
      <c r="G7" s="63">
        <v>7</v>
      </c>
      <c r="H7" s="63">
        <f>SUM(B7:G7)</f>
        <v>29</v>
      </c>
      <c r="I7" s="34"/>
      <c r="J7" s="34"/>
      <c r="K7" s="34"/>
      <c r="L7" s="34"/>
      <c r="M7" s="34"/>
      <c r="N7" s="34"/>
    </row>
    <row r="8" spans="1:14" s="38" customFormat="1" ht="15.6" x14ac:dyDescent="0.3">
      <c r="A8" s="63" t="s">
        <v>90</v>
      </c>
      <c r="B8" s="62">
        <v>328000</v>
      </c>
      <c r="C8" s="62">
        <v>346150</v>
      </c>
      <c r="D8" s="62">
        <v>388800</v>
      </c>
      <c r="E8" s="62">
        <v>489000</v>
      </c>
      <c r="F8" s="62">
        <v>529750</v>
      </c>
      <c r="G8" s="62">
        <v>573750</v>
      </c>
      <c r="H8" s="62">
        <f>SUM(B8:G8)</f>
        <v>2655450</v>
      </c>
      <c r="I8" s="34"/>
      <c r="J8" s="34"/>
      <c r="K8" s="34"/>
      <c r="L8" s="34"/>
      <c r="M8" s="34"/>
      <c r="N8" s="34"/>
    </row>
    <row r="9" spans="1:14" s="38" customFormat="1" ht="15.6" x14ac:dyDescent="0.3">
      <c r="A9" s="63" t="s">
        <v>89</v>
      </c>
      <c r="B9" s="62">
        <v>104676</v>
      </c>
      <c r="C9" s="62">
        <v>124546</v>
      </c>
      <c r="D9" s="62">
        <v>186527</v>
      </c>
      <c r="E9" s="62">
        <v>235091</v>
      </c>
      <c r="F9" s="62">
        <v>284077</v>
      </c>
      <c r="G9" s="62">
        <v>190300</v>
      </c>
      <c r="H9" s="62">
        <f>SUM(B9:G9)</f>
        <v>1125217</v>
      </c>
      <c r="I9" s="34"/>
      <c r="J9" s="34"/>
      <c r="K9" s="34"/>
      <c r="L9" s="34"/>
      <c r="M9" s="34"/>
      <c r="N9" s="34"/>
    </row>
    <row r="10" spans="1:14" s="38" customFormat="1" ht="15.6" x14ac:dyDescent="0.3">
      <c r="A10" s="63" t="s">
        <v>88</v>
      </c>
      <c r="B10" s="62">
        <v>64913</v>
      </c>
      <c r="C10" s="62">
        <v>129879</v>
      </c>
      <c r="D10" s="62">
        <v>161629</v>
      </c>
      <c r="E10" s="62">
        <v>128651</v>
      </c>
      <c r="F10" s="62">
        <v>220025</v>
      </c>
      <c r="G10" s="62">
        <v>208007</v>
      </c>
      <c r="H10" s="62">
        <f>SUM(B10:G10)</f>
        <v>913104</v>
      </c>
      <c r="I10" s="61">
        <f>H10/H7</f>
        <v>31486.344827586207</v>
      </c>
      <c r="J10" s="34"/>
      <c r="K10" s="34"/>
      <c r="L10" s="34"/>
      <c r="M10" s="34"/>
      <c r="N10" s="34"/>
    </row>
    <row r="11" spans="1:14" s="38" customFormat="1" ht="15.6" x14ac:dyDescent="0.3">
      <c r="A11" s="34"/>
      <c r="B11" s="34"/>
      <c r="C11" s="34"/>
      <c r="D11" s="34"/>
      <c r="E11" s="34"/>
      <c r="F11" s="34"/>
      <c r="G11" s="34"/>
      <c r="H11" s="34"/>
      <c r="I11" s="61">
        <f>B10/B7</f>
        <v>32456.5</v>
      </c>
      <c r="J11" s="61">
        <f>C10/C7</f>
        <v>32469.75</v>
      </c>
      <c r="K11" s="61">
        <f>D10/D7</f>
        <v>32325.8</v>
      </c>
      <c r="L11" s="34"/>
      <c r="M11" s="34"/>
      <c r="N11" s="34"/>
    </row>
    <row r="12" spans="1:14" s="38" customFormat="1" ht="15.6" x14ac:dyDescent="0.3">
      <c r="A12" s="34" t="s">
        <v>87</v>
      </c>
      <c r="B12" s="34"/>
      <c r="C12" s="34"/>
      <c r="D12" s="34"/>
      <c r="E12" s="34"/>
      <c r="F12" s="34"/>
      <c r="G12" s="34"/>
      <c r="H12" s="60">
        <v>58000</v>
      </c>
      <c r="I12" s="34"/>
      <c r="J12" s="34"/>
      <c r="K12" s="34"/>
      <c r="L12" s="34"/>
      <c r="M12" s="34"/>
      <c r="N12" s="34"/>
    </row>
    <row r="13" spans="1:14" s="38" customFormat="1" ht="15.6" x14ac:dyDescent="0.3">
      <c r="A13" s="57" t="s">
        <v>86</v>
      </c>
      <c r="B13" s="57"/>
      <c r="C13" s="57"/>
      <c r="D13" s="57"/>
      <c r="E13" s="57"/>
      <c r="F13" s="57"/>
      <c r="G13" s="57"/>
      <c r="H13" s="59">
        <f>AVERAGE(B6:G6)</f>
        <v>540.83333333333337</v>
      </c>
      <c r="I13" s="34"/>
      <c r="J13" s="34"/>
      <c r="K13" s="34"/>
      <c r="L13" s="34"/>
      <c r="M13" s="34"/>
      <c r="N13" s="34"/>
    </row>
    <row r="14" spans="1:14" s="38" customFormat="1" ht="15.6" x14ac:dyDescent="0.3">
      <c r="A14" s="58" t="s">
        <v>85</v>
      </c>
      <c r="B14" s="34"/>
      <c r="C14" s="34"/>
      <c r="D14" s="34"/>
      <c r="E14" s="34"/>
      <c r="F14" s="34"/>
      <c r="G14" s="34"/>
      <c r="H14" s="55">
        <f>H12*H13</f>
        <v>31368333.333333336</v>
      </c>
      <c r="I14" s="34"/>
      <c r="J14" s="34"/>
      <c r="K14" s="34"/>
      <c r="L14" s="34"/>
      <c r="M14" s="34"/>
      <c r="N14" s="34"/>
    </row>
    <row r="15" spans="1:14" s="38" customFormat="1" ht="15.6" x14ac:dyDescent="0.3">
      <c r="A15" s="57" t="s">
        <v>84</v>
      </c>
      <c r="B15" s="57"/>
      <c r="C15" s="57"/>
      <c r="D15" s="57"/>
      <c r="E15" s="57"/>
      <c r="F15" s="57"/>
      <c r="G15" s="57"/>
      <c r="H15" s="56">
        <f>SUM(H9:H10)</f>
        <v>2038321</v>
      </c>
      <c r="I15" s="34"/>
      <c r="J15" s="34"/>
      <c r="K15" s="34"/>
      <c r="L15" s="34"/>
      <c r="M15" s="34"/>
      <c r="N15" s="34"/>
    </row>
    <row r="16" spans="1:14" s="38" customFormat="1" ht="15.6" x14ac:dyDescent="0.3">
      <c r="A16" s="34" t="s">
        <v>83</v>
      </c>
      <c r="B16" s="34"/>
      <c r="C16" s="34"/>
      <c r="D16" s="34"/>
      <c r="E16" s="34"/>
      <c r="F16" s="34"/>
      <c r="G16" s="34"/>
      <c r="H16" s="55">
        <f>H14-H15</f>
        <v>29330012.333333336</v>
      </c>
      <c r="I16" s="34"/>
      <c r="J16" s="34"/>
      <c r="K16" s="34"/>
      <c r="L16" s="34"/>
      <c r="M16" s="34"/>
      <c r="N16" s="34"/>
    </row>
    <row r="17" spans="1:14" s="38" customFormat="1" ht="15.6" x14ac:dyDescent="0.3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</row>
    <row r="18" spans="1:14" s="38" customFormat="1" ht="15.75" x14ac:dyDescent="0.25">
      <c r="A18" s="54" t="s">
        <v>82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</row>
    <row r="19" spans="1:14" s="38" customFormat="1" ht="15.75" x14ac:dyDescent="0.25">
      <c r="A19" s="34" t="s">
        <v>81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</row>
    <row r="20" spans="1:14" s="38" customFormat="1" ht="15.6" x14ac:dyDescent="0.3"/>
    <row r="21" spans="1:14" s="38" customFormat="1" ht="15.6" x14ac:dyDescent="0.3"/>
    <row r="22" spans="1:14" s="38" customFormat="1" ht="15.6" x14ac:dyDescent="0.3"/>
    <row r="23" spans="1:14" s="38" customFormat="1" ht="15.6" x14ac:dyDescent="0.3"/>
    <row r="24" spans="1:14" s="38" customFormat="1" ht="15.6" x14ac:dyDescent="0.3"/>
    <row r="25" spans="1:14" s="38" customFormat="1" ht="15.6" x14ac:dyDescent="0.3"/>
    <row r="26" spans="1:14" s="38" customFormat="1" ht="15.6" x14ac:dyDescent="0.3"/>
    <row r="27" spans="1:14" s="38" customFormat="1" ht="15.6" x14ac:dyDescent="0.3"/>
    <row r="28" spans="1:14" s="38" customFormat="1" ht="15.6" x14ac:dyDescent="0.3"/>
    <row r="29" spans="1:14" s="38" customFormat="1" ht="15.6" x14ac:dyDescent="0.3"/>
    <row r="30" spans="1:14" s="38" customFormat="1" ht="15.6" x14ac:dyDescent="0.3"/>
    <row r="31" spans="1:14" s="38" customFormat="1" ht="15.6" x14ac:dyDescent="0.3">
      <c r="A31" s="34" t="s">
        <v>80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</row>
    <row r="32" spans="1:14" s="38" customFormat="1" ht="15.6" x14ac:dyDescent="0.3"/>
    <row r="33" spans="1:14" s="38" customFormat="1" ht="15.6" x14ac:dyDescent="0.3"/>
    <row r="34" spans="1:14" s="38" customFormat="1" ht="15.6" x14ac:dyDescent="0.3"/>
    <row r="35" spans="1:14" s="38" customFormat="1" ht="15.6" x14ac:dyDescent="0.3"/>
    <row r="36" spans="1:14" s="38" customFormat="1" ht="15.6" x14ac:dyDescent="0.3"/>
    <row r="37" spans="1:14" s="38" customFormat="1" ht="15.75" x14ac:dyDescent="0.25"/>
    <row r="38" spans="1:14" s="38" customFormat="1" ht="15.75" x14ac:dyDescent="0.25"/>
    <row r="39" spans="1:14" s="38" customFormat="1" ht="15.75" x14ac:dyDescent="0.25"/>
    <row r="40" spans="1:14" s="38" customFormat="1" ht="15.75" x14ac:dyDescent="0.25"/>
    <row r="41" spans="1:14" s="38" customFormat="1" ht="15.75" x14ac:dyDescent="0.25"/>
    <row r="42" spans="1:14" s="38" customFormat="1" ht="15.75" x14ac:dyDescent="0.25"/>
    <row r="43" spans="1:14" s="38" customFormat="1" ht="15.75" x14ac:dyDescent="0.25">
      <c r="A43" s="34" t="s">
        <v>79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1:14" s="38" customFormat="1" ht="15.75" x14ac:dyDescent="0.25">
      <c r="A44" s="34" t="s">
        <v>78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</row>
    <row r="45" spans="1:14" s="38" customFormat="1" ht="15.75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</row>
    <row r="46" spans="1:14" ht="15.75" x14ac:dyDescent="0.25">
      <c r="A46" s="54" t="s">
        <v>77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</row>
    <row r="47" spans="1:14" ht="15.75" x14ac:dyDescent="0.25">
      <c r="A47" s="54" t="s">
        <v>76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</row>
    <row r="48" spans="1:14" ht="15.75" x14ac:dyDescent="0.25">
      <c r="A48" s="34" t="s">
        <v>75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</row>
    <row r="49" spans="1:14" ht="15.75" x14ac:dyDescent="0.25">
      <c r="A49" s="34" t="s">
        <v>74</v>
      </c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</row>
    <row r="50" spans="1:14" ht="15.75" x14ac:dyDescent="0.25">
      <c r="A50" s="34" t="s">
        <v>73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AC325-5A7F-410C-97D5-A117C3C2C8B5}">
  <sheetPr codeName="Sheet8"/>
  <dimension ref="C5:Q73"/>
  <sheetViews>
    <sheetView zoomScale="75" zoomScaleNormal="75" workbookViewId="0"/>
  </sheetViews>
  <sheetFormatPr defaultColWidth="9.140625" defaultRowHeight="15" x14ac:dyDescent="0.25"/>
  <cols>
    <col min="1" max="2" width="9.140625" style="2"/>
    <col min="3" max="3" width="6.85546875" style="2" customWidth="1"/>
    <col min="4" max="4" width="8.5703125" style="2" customWidth="1"/>
    <col min="5" max="6" width="11.5703125" style="2" customWidth="1"/>
    <col min="7" max="8" width="7.5703125" style="2" customWidth="1"/>
    <col min="9" max="9" width="12.42578125" style="2" customWidth="1"/>
    <col min="10" max="11" width="11.5703125" style="2" customWidth="1"/>
    <col min="12" max="13" width="12.42578125" style="2" customWidth="1"/>
    <col min="14" max="14" width="11.140625" style="2" bestFit="1" customWidth="1"/>
    <col min="15" max="15" width="11.42578125" style="2" customWidth="1"/>
    <col min="16" max="16" width="9.140625" style="2"/>
    <col min="17" max="17" width="14.85546875" style="2" customWidth="1"/>
    <col min="18" max="16384" width="9.140625" style="2"/>
  </cols>
  <sheetData>
    <row r="5" spans="3:15" ht="45" x14ac:dyDescent="0.25">
      <c r="C5" s="115" t="s">
        <v>219</v>
      </c>
      <c r="D5" s="115" t="s">
        <v>218</v>
      </c>
      <c r="E5" s="115" t="s">
        <v>217</v>
      </c>
      <c r="F5" s="115" t="s">
        <v>216</v>
      </c>
      <c r="G5" s="115" t="s">
        <v>178</v>
      </c>
      <c r="H5" s="115" t="s">
        <v>215</v>
      </c>
      <c r="I5" s="115" t="s">
        <v>214</v>
      </c>
      <c r="J5" s="115" t="s">
        <v>213</v>
      </c>
      <c r="K5" s="115" t="s">
        <v>212</v>
      </c>
      <c r="L5" s="115" t="s">
        <v>211</v>
      </c>
      <c r="M5" s="115" t="s">
        <v>210</v>
      </c>
      <c r="N5" s="115" t="s">
        <v>209</v>
      </c>
      <c r="O5" s="115" t="s">
        <v>208</v>
      </c>
    </row>
    <row r="6" spans="3:15" x14ac:dyDescent="0.25">
      <c r="C6" s="2">
        <v>2024</v>
      </c>
      <c r="D6" s="114">
        <v>7.0000000000000007E-2</v>
      </c>
      <c r="E6" s="20">
        <f>600*0.3+1200*0.7</f>
        <v>1020</v>
      </c>
      <c r="F6" s="108">
        <f t="shared" ref="F6:F41" si="0">1/(1+5%)^(C6-2024+0.5)</f>
        <v>0.97590007294853309</v>
      </c>
      <c r="G6" s="14">
        <v>45</v>
      </c>
      <c r="H6" s="14">
        <v>15</v>
      </c>
      <c r="I6" s="108">
        <v>1</v>
      </c>
      <c r="J6" s="108">
        <f>VLOOKUP(G6,'Data for Q5'!$E$6:$F$103,2,0)</f>
        <v>8.5999999999999998E-4</v>
      </c>
      <c r="K6" s="108">
        <f>IF(G6&gt;=65,0,IF(H6&gt;=30,'Data for Q5'!$I$36,VLOOKUP(H6,'Data for Q5'!$H$6:$I$35,2,0)))</f>
        <v>0.05</v>
      </c>
      <c r="L6" s="108">
        <f t="shared" ref="L6:L41" si="1">I6*(1-J6)^0.5*(1-K6)^0.5</f>
        <v>0.97426023217618807</v>
      </c>
      <c r="M6" s="108">
        <f t="shared" ref="M6:M41" si="2">I6*(1-J6)*(1-K6)</f>
        <v>0.949183</v>
      </c>
      <c r="N6" s="2">
        <f t="shared" ref="N6:N41" si="3">IF((G6&gt;64)*AND(G6&lt;80),1,0)</f>
        <v>0</v>
      </c>
      <c r="O6" s="2">
        <f t="shared" ref="O6:O41" si="4">E6*F6*L6*N6</f>
        <v>0</v>
      </c>
    </row>
    <row r="7" spans="3:15" x14ac:dyDescent="0.25">
      <c r="C7" s="2">
        <f t="shared" ref="C7:C41" si="5">C6+1</f>
        <v>2025</v>
      </c>
      <c r="D7" s="109">
        <f t="shared" ref="D7:D41" si="6">MAX(D6-0.2%,4%)</f>
        <v>6.8000000000000005E-2</v>
      </c>
      <c r="E7" s="20">
        <f t="shared" ref="E7:E41" si="7">E6*(1+D6)</f>
        <v>1091.4000000000001</v>
      </c>
      <c r="F7" s="108">
        <f t="shared" si="0"/>
        <v>0.92942864090336497</v>
      </c>
      <c r="G7" s="14">
        <f t="shared" ref="G7:G41" si="8">G6+1</f>
        <v>46</v>
      </c>
      <c r="H7" s="14">
        <f t="shared" ref="H7:H41" si="9">H6+1</f>
        <v>16</v>
      </c>
      <c r="I7" s="108">
        <f t="shared" ref="I7:I41" si="10">M6</f>
        <v>0.949183</v>
      </c>
      <c r="J7" s="108">
        <f>VLOOKUP(G7,'Data for Q5'!$E$6:$F$103,2,0)</f>
        <v>9.2000000000000003E-4</v>
      </c>
      <c r="K7" s="108">
        <f>IF(G7&gt;=65,0,IF(H7&gt;=30,'Data for Q5'!$I$36,VLOOKUP(H7,'Data for Q5'!$H$6:$I$35,2,0)))</f>
        <v>0.03</v>
      </c>
      <c r="L7" s="108">
        <f t="shared" si="1"/>
        <v>0.93440671559079813</v>
      </c>
      <c r="M7" s="108">
        <f t="shared" si="2"/>
        <v>0.91986045909079994</v>
      </c>
      <c r="N7" s="2">
        <f t="shared" si="3"/>
        <v>0</v>
      </c>
      <c r="O7" s="2">
        <f t="shared" si="4"/>
        <v>0</v>
      </c>
    </row>
    <row r="8" spans="3:15" x14ac:dyDescent="0.25">
      <c r="C8" s="2">
        <f t="shared" si="5"/>
        <v>2026</v>
      </c>
      <c r="D8" s="109">
        <f t="shared" si="6"/>
        <v>6.6000000000000003E-2</v>
      </c>
      <c r="E8" s="20">
        <f t="shared" si="7"/>
        <v>1165.6152000000002</v>
      </c>
      <c r="F8" s="108">
        <f t="shared" si="0"/>
        <v>0.88517013419368074</v>
      </c>
      <c r="G8" s="14">
        <f t="shared" si="8"/>
        <v>47</v>
      </c>
      <c r="H8" s="14">
        <f t="shared" si="9"/>
        <v>17</v>
      </c>
      <c r="I8" s="108">
        <f t="shared" si="10"/>
        <v>0.91986045909079994</v>
      </c>
      <c r="J8" s="108">
        <f>VLOOKUP(G8,'Data for Q5'!$E$6:$F$103,2,0)</f>
        <v>1.01E-3</v>
      </c>
      <c r="K8" s="108">
        <f>IF(G8&gt;=65,0,IF(H8&gt;=30,'Data for Q5'!$I$36,VLOOKUP(H8,'Data for Q5'!$H$6:$I$35,2,0)))</f>
        <v>0.03</v>
      </c>
      <c r="L8" s="108">
        <f t="shared" si="1"/>
        <v>0.90549986179835484</v>
      </c>
      <c r="M8" s="108">
        <f t="shared" si="2"/>
        <v>0.89136345802630468</v>
      </c>
      <c r="N8" s="2">
        <f t="shared" si="3"/>
        <v>0</v>
      </c>
      <c r="O8" s="2">
        <f t="shared" si="4"/>
        <v>0</v>
      </c>
    </row>
    <row r="9" spans="3:15" x14ac:dyDescent="0.25">
      <c r="C9" s="2">
        <f t="shared" si="5"/>
        <v>2027</v>
      </c>
      <c r="D9" s="109">
        <f t="shared" si="6"/>
        <v>6.4000000000000001E-2</v>
      </c>
      <c r="E9" s="20">
        <f t="shared" si="7"/>
        <v>1242.5458032000004</v>
      </c>
      <c r="F9" s="108">
        <f t="shared" si="0"/>
        <v>0.843019175422553</v>
      </c>
      <c r="G9" s="14">
        <f t="shared" si="8"/>
        <v>48</v>
      </c>
      <c r="H9" s="14">
        <f t="shared" si="9"/>
        <v>18</v>
      </c>
      <c r="I9" s="108">
        <f t="shared" si="10"/>
        <v>0.89136345802630468</v>
      </c>
      <c r="J9" s="108">
        <f>VLOOKUP(G9,'Data for Q5'!$E$6:$F$103,2,0)</f>
        <v>1.09E-3</v>
      </c>
      <c r="K9" s="108">
        <f>IF(G9&gt;=65,0,IF(H9&gt;=30,'Data for Q5'!$I$36,VLOOKUP(H9,'Data for Q5'!$H$6:$I$35,2,0)))</f>
        <v>0.03</v>
      </c>
      <c r="L9" s="108">
        <f t="shared" si="1"/>
        <v>0.87741261363175604</v>
      </c>
      <c r="M9" s="108">
        <f t="shared" si="2"/>
        <v>0.86368011570134418</v>
      </c>
      <c r="N9" s="2">
        <f t="shared" si="3"/>
        <v>0</v>
      </c>
      <c r="O9" s="2">
        <f t="shared" si="4"/>
        <v>0</v>
      </c>
    </row>
    <row r="10" spans="3:15" x14ac:dyDescent="0.25">
      <c r="C10" s="2">
        <f t="shared" si="5"/>
        <v>2028</v>
      </c>
      <c r="D10" s="109">
        <f t="shared" si="6"/>
        <v>6.2E-2</v>
      </c>
      <c r="E10" s="20">
        <f t="shared" si="7"/>
        <v>1322.0687346048005</v>
      </c>
      <c r="F10" s="108">
        <f t="shared" si="0"/>
        <v>0.80287540516433631</v>
      </c>
      <c r="G10" s="14">
        <f t="shared" si="8"/>
        <v>49</v>
      </c>
      <c r="H10" s="14">
        <f t="shared" si="9"/>
        <v>19</v>
      </c>
      <c r="I10" s="108">
        <f t="shared" si="10"/>
        <v>0.86368011570134418</v>
      </c>
      <c r="J10" s="108">
        <f>VLOOKUP(G10,'Data for Q5'!$E$6:$F$103,2,0)</f>
        <v>1.1900000000000001E-3</v>
      </c>
      <c r="K10" s="108">
        <f>IF(G10&gt;=65,0,IF(H10&gt;=30,'Data for Q5'!$I$36,VLOOKUP(H10,'Data for Q5'!$H$6:$I$35,2,0)))</f>
        <v>0.03</v>
      </c>
      <c r="L10" s="108">
        <f t="shared" si="1"/>
        <v>0.85011999128957227</v>
      </c>
      <c r="M10" s="108">
        <f t="shared" si="2"/>
        <v>0.83677276627274977</v>
      </c>
      <c r="N10" s="2">
        <f t="shared" si="3"/>
        <v>0</v>
      </c>
      <c r="O10" s="2">
        <f t="shared" si="4"/>
        <v>0</v>
      </c>
    </row>
    <row r="11" spans="3:15" x14ac:dyDescent="0.25">
      <c r="C11" s="2">
        <f t="shared" si="5"/>
        <v>2029</v>
      </c>
      <c r="D11" s="109">
        <f t="shared" si="6"/>
        <v>0.06</v>
      </c>
      <c r="E11" s="20">
        <f t="shared" si="7"/>
        <v>1404.0369961502981</v>
      </c>
      <c r="F11" s="108">
        <f t="shared" si="0"/>
        <v>0.7646432430136535</v>
      </c>
      <c r="G11" s="14">
        <f t="shared" si="8"/>
        <v>50</v>
      </c>
      <c r="H11" s="14">
        <f t="shared" si="9"/>
        <v>20</v>
      </c>
      <c r="I11" s="108">
        <f t="shared" si="10"/>
        <v>0.83677276627274977</v>
      </c>
      <c r="J11" s="108">
        <f>VLOOKUP(G11,'Data for Q5'!$E$6:$F$103,2,0)</f>
        <v>1.2899999999999999E-3</v>
      </c>
      <c r="K11" s="108">
        <f>IF(G11&gt;=65,0,IF(H11&gt;=30,'Data for Q5'!$I$36,VLOOKUP(H11,'Data for Q5'!$H$6:$I$35,2,0)))</f>
        <v>0.03</v>
      </c>
      <c r="L11" s="108">
        <f t="shared" si="1"/>
        <v>0.82359386619331165</v>
      </c>
      <c r="M11" s="108">
        <f t="shared" si="2"/>
        <v>0.8106225295221301</v>
      </c>
      <c r="N11" s="2">
        <f t="shared" si="3"/>
        <v>0</v>
      </c>
      <c r="O11" s="2">
        <f t="shared" si="4"/>
        <v>0</v>
      </c>
    </row>
    <row r="12" spans="3:15" x14ac:dyDescent="0.25">
      <c r="C12" s="2">
        <f t="shared" si="5"/>
        <v>2030</v>
      </c>
      <c r="D12" s="109">
        <f t="shared" si="6"/>
        <v>5.7999999999999996E-2</v>
      </c>
      <c r="E12" s="20">
        <f t="shared" si="7"/>
        <v>1488.2792159193161</v>
      </c>
      <c r="F12" s="108">
        <f t="shared" si="0"/>
        <v>0.72823166001300332</v>
      </c>
      <c r="G12" s="14">
        <f t="shared" si="8"/>
        <v>51</v>
      </c>
      <c r="H12" s="14">
        <f t="shared" si="9"/>
        <v>21</v>
      </c>
      <c r="I12" s="108">
        <f t="shared" si="10"/>
        <v>0.8106225295221301</v>
      </c>
      <c r="J12" s="108">
        <f>VLOOKUP(G12,'Data for Q5'!$E$6:$F$103,2,0)</f>
        <v>1.41E-3</v>
      </c>
      <c r="K12" s="108">
        <f>IF(G12&gt;=65,0,IF(H12&gt;=30,'Data for Q5'!$I$36,VLOOKUP(H12,'Data for Q5'!$H$6:$I$35,2,0)))</f>
        <v>0.01</v>
      </c>
      <c r="L12" s="108">
        <f t="shared" si="1"/>
        <v>0.8059904082692807</v>
      </c>
      <c r="M12" s="108">
        <f t="shared" si="2"/>
        <v>0.8013847562379488</v>
      </c>
      <c r="N12" s="2">
        <f t="shared" si="3"/>
        <v>0</v>
      </c>
      <c r="O12" s="2">
        <f t="shared" si="4"/>
        <v>0</v>
      </c>
    </row>
    <row r="13" spans="3:15" x14ac:dyDescent="0.25">
      <c r="C13" s="2">
        <f t="shared" si="5"/>
        <v>2031</v>
      </c>
      <c r="D13" s="109">
        <f t="shared" si="6"/>
        <v>5.5999999999999994E-2</v>
      </c>
      <c r="E13" s="20">
        <f t="shared" si="7"/>
        <v>1574.5994104426366</v>
      </c>
      <c r="F13" s="108">
        <f t="shared" si="0"/>
        <v>0.69355396191714602</v>
      </c>
      <c r="G13" s="14">
        <f t="shared" si="8"/>
        <v>52</v>
      </c>
      <c r="H13" s="14">
        <f t="shared" si="9"/>
        <v>22</v>
      </c>
      <c r="I13" s="108">
        <f t="shared" si="10"/>
        <v>0.8013847562379488</v>
      </c>
      <c r="J13" s="108">
        <f>VLOOKUP(G13,'Data for Q5'!$E$6:$F$103,2,0)</f>
        <v>1.5299999999999999E-3</v>
      </c>
      <c r="K13" s="108">
        <f>IF(G13&gt;=65,0,IF(H13&gt;=30,'Data for Q5'!$I$36,VLOOKUP(H13,'Data for Q5'!$H$6:$I$35,2,0)))</f>
        <v>0.01</v>
      </c>
      <c r="L13" s="108">
        <f t="shared" si="1"/>
        <v>0.7967575449070442</v>
      </c>
      <c r="M13" s="108">
        <f t="shared" si="2"/>
        <v>0.79215705118529556</v>
      </c>
      <c r="N13" s="2">
        <f t="shared" si="3"/>
        <v>0</v>
      </c>
      <c r="O13" s="2">
        <f t="shared" si="4"/>
        <v>0</v>
      </c>
    </row>
    <row r="14" spans="3:15" x14ac:dyDescent="0.25">
      <c r="C14" s="2">
        <f t="shared" si="5"/>
        <v>2032</v>
      </c>
      <c r="D14" s="109">
        <f t="shared" si="6"/>
        <v>5.3999999999999992E-2</v>
      </c>
      <c r="E14" s="20">
        <f t="shared" si="7"/>
        <v>1662.7769774274243</v>
      </c>
      <c r="F14" s="108">
        <f t="shared" si="0"/>
        <v>0.66052758277823431</v>
      </c>
      <c r="G14" s="14">
        <f t="shared" si="8"/>
        <v>53</v>
      </c>
      <c r="H14" s="14">
        <f t="shared" si="9"/>
        <v>23</v>
      </c>
      <c r="I14" s="108">
        <f t="shared" si="10"/>
        <v>0.79215705118529556</v>
      </c>
      <c r="J14" s="108">
        <f>VLOOKUP(G14,'Data for Q5'!$E$6:$F$103,2,0)</f>
        <v>1.6800000000000001E-3</v>
      </c>
      <c r="K14" s="108">
        <f>IF(G14&gt;=65,0,IF(H14&gt;=30,'Data for Q5'!$I$36,VLOOKUP(H14,'Data for Q5'!$H$6:$I$35,2,0)))</f>
        <v>0.01</v>
      </c>
      <c r="L14" s="108">
        <f t="shared" si="1"/>
        <v>0.78752395933495545</v>
      </c>
      <c r="M14" s="108">
        <f t="shared" si="2"/>
        <v>0.78291796506591127</v>
      </c>
      <c r="N14" s="2">
        <f t="shared" si="3"/>
        <v>0</v>
      </c>
      <c r="O14" s="2">
        <f t="shared" si="4"/>
        <v>0</v>
      </c>
    </row>
    <row r="15" spans="3:15" x14ac:dyDescent="0.25">
      <c r="C15" s="2">
        <f t="shared" si="5"/>
        <v>2033</v>
      </c>
      <c r="D15" s="109">
        <f t="shared" si="6"/>
        <v>5.1999999999999991E-2</v>
      </c>
      <c r="E15" s="20">
        <f t="shared" si="7"/>
        <v>1752.5669342085052</v>
      </c>
      <c r="F15" s="108">
        <f t="shared" si="0"/>
        <v>0.62907388836022304</v>
      </c>
      <c r="G15" s="14">
        <f t="shared" si="8"/>
        <v>54</v>
      </c>
      <c r="H15" s="14">
        <f t="shared" si="9"/>
        <v>24</v>
      </c>
      <c r="I15" s="108">
        <f t="shared" si="10"/>
        <v>0.78291796506591127</v>
      </c>
      <c r="J15" s="108">
        <f>VLOOKUP(G15,'Data for Q5'!$E$6:$F$103,2,0)</f>
        <v>1.8600000000000001E-3</v>
      </c>
      <c r="K15" s="108">
        <f>IF(G15&gt;=65,0,IF(H15&gt;=30,'Data for Q5'!$I$36,VLOOKUP(H15,'Data for Q5'!$H$6:$I$35,2,0)))</f>
        <v>0.01</v>
      </c>
      <c r="L15" s="108">
        <f t="shared" si="1"/>
        <v>0.77826873834448707</v>
      </c>
      <c r="M15" s="108">
        <f t="shared" si="2"/>
        <v>0.77364712027437976</v>
      </c>
      <c r="N15" s="2">
        <f t="shared" si="3"/>
        <v>0</v>
      </c>
      <c r="O15" s="2">
        <f t="shared" si="4"/>
        <v>0</v>
      </c>
    </row>
    <row r="16" spans="3:15" x14ac:dyDescent="0.25">
      <c r="C16" s="2">
        <f t="shared" si="5"/>
        <v>2034</v>
      </c>
      <c r="D16" s="109">
        <f t="shared" si="6"/>
        <v>4.9999999999999989E-2</v>
      </c>
      <c r="E16" s="20">
        <f t="shared" si="7"/>
        <v>1843.7004147873477</v>
      </c>
      <c r="F16" s="108">
        <f t="shared" si="0"/>
        <v>0.59911798891449808</v>
      </c>
      <c r="G16" s="14">
        <f t="shared" si="8"/>
        <v>55</v>
      </c>
      <c r="H16" s="14">
        <f t="shared" si="9"/>
        <v>25</v>
      </c>
      <c r="I16" s="108">
        <f t="shared" si="10"/>
        <v>0.77364712027437976</v>
      </c>
      <c r="J16" s="108">
        <f>VLOOKUP(G16,'Data for Q5'!$E$6:$F$103,2,0)</f>
        <v>2.0699999999999998E-3</v>
      </c>
      <c r="K16" s="108">
        <f>IF(G16&gt;=65,0,IF(H16&gt;=30,'Data for Q5'!$I$36,VLOOKUP(H16,'Data for Q5'!$H$6:$I$35,2,0)))</f>
        <v>0.01</v>
      </c>
      <c r="L16" s="108">
        <f t="shared" si="1"/>
        <v>0.76897204161523702</v>
      </c>
      <c r="M16" s="108">
        <f t="shared" si="2"/>
        <v>0.76432521402805764</v>
      </c>
      <c r="N16" s="2">
        <f t="shared" si="3"/>
        <v>0</v>
      </c>
      <c r="O16" s="2">
        <f t="shared" si="4"/>
        <v>0</v>
      </c>
    </row>
    <row r="17" spans="3:17" x14ac:dyDescent="0.25">
      <c r="C17" s="2">
        <f t="shared" si="5"/>
        <v>2035</v>
      </c>
      <c r="D17" s="109">
        <f t="shared" si="6"/>
        <v>4.7999999999999987E-2</v>
      </c>
      <c r="E17" s="20">
        <f t="shared" si="7"/>
        <v>1935.8854355267151</v>
      </c>
      <c r="F17" s="108">
        <f t="shared" si="0"/>
        <v>0.57058856087095067</v>
      </c>
      <c r="G17" s="14">
        <f t="shared" si="8"/>
        <v>56</v>
      </c>
      <c r="H17" s="14">
        <f t="shared" si="9"/>
        <v>26</v>
      </c>
      <c r="I17" s="108">
        <f t="shared" si="10"/>
        <v>0.76432521402805764</v>
      </c>
      <c r="J17" s="108">
        <f>VLOOKUP(G17,'Data for Q5'!$E$6:$F$103,2,0)</f>
        <v>2.31E-3</v>
      </c>
      <c r="K17" s="108">
        <f>IF(G17&gt;=65,0,IF(H17&gt;=30,'Data for Q5'!$I$36,VLOOKUP(H17,'Data for Q5'!$H$6:$I$35,2,0)))</f>
        <v>0.01</v>
      </c>
      <c r="L17" s="108">
        <f t="shared" si="1"/>
        <v>0.75961510742239569</v>
      </c>
      <c r="M17" s="108">
        <f t="shared" si="2"/>
        <v>0.75493402655581632</v>
      </c>
      <c r="N17" s="2">
        <f t="shared" si="3"/>
        <v>0</v>
      </c>
      <c r="O17" s="2">
        <f t="shared" si="4"/>
        <v>0</v>
      </c>
    </row>
    <row r="18" spans="3:17" x14ac:dyDescent="0.25">
      <c r="C18" s="2">
        <f t="shared" si="5"/>
        <v>2036</v>
      </c>
      <c r="D18" s="109">
        <f t="shared" si="6"/>
        <v>4.5999999999999985E-2</v>
      </c>
      <c r="E18" s="20">
        <f t="shared" si="7"/>
        <v>2028.8079364319976</v>
      </c>
      <c r="F18" s="108">
        <f t="shared" si="0"/>
        <v>0.54341767701995292</v>
      </c>
      <c r="G18" s="14">
        <f t="shared" si="8"/>
        <v>57</v>
      </c>
      <c r="H18" s="14">
        <f t="shared" si="9"/>
        <v>27</v>
      </c>
      <c r="I18" s="108">
        <f t="shared" si="10"/>
        <v>0.75493402655581632</v>
      </c>
      <c r="J18" s="108">
        <f>VLOOKUP(G18,'Data for Q5'!$E$6:$F$103,2,0)</f>
        <v>2.5799999999999998E-3</v>
      </c>
      <c r="K18" s="108">
        <f>IF(G18&gt;=65,0,IF(H18&gt;=30,'Data for Q5'!$I$36,VLOOKUP(H18,'Data for Q5'!$H$6:$I$35,2,0)))</f>
        <v>0.01</v>
      </c>
      <c r="L18" s="108">
        <f t="shared" si="1"/>
        <v>0.75018026313033159</v>
      </c>
      <c r="M18" s="108">
        <f t="shared" si="2"/>
        <v>0.74545643379962934</v>
      </c>
      <c r="N18" s="2">
        <f t="shared" si="3"/>
        <v>0</v>
      </c>
      <c r="O18" s="2">
        <f t="shared" si="4"/>
        <v>0</v>
      </c>
    </row>
    <row r="19" spans="3:17" x14ac:dyDescent="0.25">
      <c r="C19" s="2">
        <f t="shared" si="5"/>
        <v>2037</v>
      </c>
      <c r="D19" s="109">
        <f t="shared" si="6"/>
        <v>4.3999999999999984E-2</v>
      </c>
      <c r="E19" s="20">
        <f t="shared" si="7"/>
        <v>2122.1331015078695</v>
      </c>
      <c r="F19" s="108">
        <f t="shared" si="0"/>
        <v>0.51754064478090755</v>
      </c>
      <c r="G19" s="14">
        <f t="shared" si="8"/>
        <v>58</v>
      </c>
      <c r="H19" s="14">
        <f t="shared" si="9"/>
        <v>28</v>
      </c>
      <c r="I19" s="108">
        <f t="shared" si="10"/>
        <v>0.74545643379962934</v>
      </c>
      <c r="J19" s="108">
        <f>VLOOKUP(G19,'Data for Q5'!$E$6:$F$103,2,0)</f>
        <v>2.8700000000000002E-3</v>
      </c>
      <c r="K19" s="108">
        <f>IF(G19&gt;=65,0,IF(H19&gt;=30,'Data for Q5'!$I$36,VLOOKUP(H19,'Data for Q5'!$H$6:$I$35,2,0)))</f>
        <v>0.01</v>
      </c>
      <c r="L19" s="108">
        <f t="shared" si="1"/>
        <v>0.74065465386542773</v>
      </c>
      <c r="M19" s="108">
        <f t="shared" si="2"/>
        <v>0.73588380409627807</v>
      </c>
      <c r="N19" s="2">
        <f t="shared" si="3"/>
        <v>0</v>
      </c>
      <c r="O19" s="2">
        <f t="shared" si="4"/>
        <v>0</v>
      </c>
    </row>
    <row r="20" spans="3:17" x14ac:dyDescent="0.25">
      <c r="C20" s="2">
        <f t="shared" si="5"/>
        <v>2038</v>
      </c>
      <c r="D20" s="109">
        <f t="shared" si="6"/>
        <v>4.1999999999999982E-2</v>
      </c>
      <c r="E20" s="20">
        <f t="shared" si="7"/>
        <v>2215.5069579742158</v>
      </c>
      <c r="F20" s="108">
        <f t="shared" si="0"/>
        <v>0.49289585217229281</v>
      </c>
      <c r="G20" s="14">
        <f t="shared" si="8"/>
        <v>59</v>
      </c>
      <c r="H20" s="14">
        <f t="shared" si="9"/>
        <v>29</v>
      </c>
      <c r="I20" s="108">
        <f t="shared" si="10"/>
        <v>0.73588380409627807</v>
      </c>
      <c r="J20" s="108">
        <f>VLOOKUP(G20,'Data for Q5'!$E$6:$F$103,2,0)</f>
        <v>3.1800000000000001E-3</v>
      </c>
      <c r="K20" s="108">
        <f>IF(G20&gt;=65,0,IF(H20&gt;=30,'Data for Q5'!$I$36,VLOOKUP(H20,'Data for Q5'!$H$6:$I$35,2,0)))</f>
        <v>0.01</v>
      </c>
      <c r="L20" s="108">
        <f t="shared" si="1"/>
        <v>0.7310300229672414</v>
      </c>
      <c r="M20" s="108">
        <f t="shared" si="2"/>
        <v>0.7262082566632595</v>
      </c>
      <c r="N20" s="2">
        <f t="shared" si="3"/>
        <v>0</v>
      </c>
      <c r="O20" s="2">
        <f t="shared" si="4"/>
        <v>0</v>
      </c>
    </row>
    <row r="21" spans="3:17" x14ac:dyDescent="0.25">
      <c r="C21" s="2">
        <f t="shared" si="5"/>
        <v>2039</v>
      </c>
      <c r="D21" s="109">
        <f t="shared" si="6"/>
        <v>0.04</v>
      </c>
      <c r="E21" s="20">
        <f t="shared" si="7"/>
        <v>2308.5582502091329</v>
      </c>
      <c r="F21" s="108">
        <f t="shared" si="0"/>
        <v>0.46942462111646938</v>
      </c>
      <c r="G21" s="14">
        <f t="shared" si="8"/>
        <v>60</v>
      </c>
      <c r="H21" s="14">
        <f t="shared" si="9"/>
        <v>30</v>
      </c>
      <c r="I21" s="108">
        <f t="shared" si="10"/>
        <v>0.7262082566632595</v>
      </c>
      <c r="J21" s="108">
        <f>VLOOKUP(G21,'Data for Q5'!$E$6:$F$103,2,0)</f>
        <v>3.5000000000000001E-3</v>
      </c>
      <c r="K21" s="108">
        <f>IF(G21&gt;=65,0,IF(H21&gt;=30,'Data for Q5'!$I$36,VLOOKUP(H21,'Data for Q5'!$H$6:$I$35,2,0)))</f>
        <v>0</v>
      </c>
      <c r="L21" s="108">
        <f t="shared" si="1"/>
        <v>0.72493627825742724</v>
      </c>
      <c r="M21" s="108">
        <f t="shared" si="2"/>
        <v>0.72366652776493812</v>
      </c>
      <c r="N21" s="2">
        <f t="shared" si="3"/>
        <v>0</v>
      </c>
      <c r="O21" s="2">
        <f t="shared" si="4"/>
        <v>0</v>
      </c>
    </row>
    <row r="22" spans="3:17" x14ac:dyDescent="0.25">
      <c r="C22" s="2">
        <f t="shared" si="5"/>
        <v>2040</v>
      </c>
      <c r="D22" s="109">
        <f t="shared" si="6"/>
        <v>0.04</v>
      </c>
      <c r="E22" s="20">
        <f t="shared" si="7"/>
        <v>2400.9005802174984</v>
      </c>
      <c r="F22" s="108">
        <f t="shared" si="0"/>
        <v>0.44707106772997074</v>
      </c>
      <c r="G22" s="14">
        <f t="shared" si="8"/>
        <v>61</v>
      </c>
      <c r="H22" s="14">
        <f t="shared" si="9"/>
        <v>31</v>
      </c>
      <c r="I22" s="108">
        <f t="shared" si="10"/>
        <v>0.72366652776493812</v>
      </c>
      <c r="J22" s="108">
        <f>VLOOKUP(G22,'Data for Q5'!$E$6:$F$103,2,0)</f>
        <v>3.8400000000000001E-3</v>
      </c>
      <c r="K22" s="108">
        <f>IF(G22&gt;=65,0,IF(H22&gt;=30,'Data for Q5'!$I$36,VLOOKUP(H22,'Data for Q5'!$H$6:$I$35,2,0)))</f>
        <v>0</v>
      </c>
      <c r="L22" s="108">
        <f t="shared" si="1"/>
        <v>0.72227575160230717</v>
      </c>
      <c r="M22" s="108">
        <f t="shared" si="2"/>
        <v>0.72088764829832075</v>
      </c>
      <c r="N22" s="2">
        <f t="shared" si="3"/>
        <v>0</v>
      </c>
      <c r="O22" s="2">
        <f t="shared" si="4"/>
        <v>0</v>
      </c>
    </row>
    <row r="23" spans="3:17" x14ac:dyDescent="0.25">
      <c r="C23" s="2">
        <f t="shared" si="5"/>
        <v>2041</v>
      </c>
      <c r="D23" s="109">
        <f t="shared" si="6"/>
        <v>0.04</v>
      </c>
      <c r="E23" s="20">
        <f t="shared" si="7"/>
        <v>2496.9366034261984</v>
      </c>
      <c r="F23" s="108">
        <f t="shared" si="0"/>
        <v>0.42578196926663886</v>
      </c>
      <c r="G23" s="14">
        <f t="shared" si="8"/>
        <v>62</v>
      </c>
      <c r="H23" s="14">
        <f t="shared" si="9"/>
        <v>32</v>
      </c>
      <c r="I23" s="108">
        <f t="shared" si="10"/>
        <v>0.72088764829832075</v>
      </c>
      <c r="J23" s="108">
        <f>VLOOKUP(G23,'Data for Q5'!$E$6:$F$103,2,0)</f>
        <v>4.2100000000000002E-3</v>
      </c>
      <c r="K23" s="108">
        <f>IF(G23&gt;=65,0,IF(H23&gt;=30,'Data for Q5'!$I$36,VLOOKUP(H23,'Data for Q5'!$H$6:$I$35,2,0)))</f>
        <v>0</v>
      </c>
      <c r="L23" s="108">
        <f t="shared" si="1"/>
        <v>0.71936857929221409</v>
      </c>
      <c r="M23" s="108">
        <f t="shared" si="2"/>
        <v>0.71785271129898476</v>
      </c>
      <c r="N23" s="2">
        <f t="shared" si="3"/>
        <v>0</v>
      </c>
      <c r="O23" s="2">
        <f t="shared" si="4"/>
        <v>0</v>
      </c>
    </row>
    <row r="24" spans="3:17" x14ac:dyDescent="0.25">
      <c r="C24" s="2">
        <f t="shared" si="5"/>
        <v>2042</v>
      </c>
      <c r="D24" s="109">
        <f t="shared" si="6"/>
        <v>0.04</v>
      </c>
      <c r="E24" s="20">
        <f t="shared" si="7"/>
        <v>2596.8140675632462</v>
      </c>
      <c r="F24" s="108">
        <f t="shared" si="0"/>
        <v>0.40550663739679882</v>
      </c>
      <c r="G24" s="14">
        <f t="shared" si="8"/>
        <v>63</v>
      </c>
      <c r="H24" s="14">
        <f t="shared" si="9"/>
        <v>33</v>
      </c>
      <c r="I24" s="108">
        <f t="shared" si="10"/>
        <v>0.71785271129898476</v>
      </c>
      <c r="J24" s="108">
        <f>VLOOKUP(G24,'Data for Q5'!$E$6:$F$103,2,0)</f>
        <v>4.64E-3</v>
      </c>
      <c r="K24" s="108">
        <f>IF(G24&gt;=65,0,IF(H24&gt;=30,'Data for Q5'!$I$36,VLOOKUP(H24,'Data for Q5'!$H$6:$I$35,2,0)))</f>
        <v>0</v>
      </c>
      <c r="L24" s="108">
        <f t="shared" si="1"/>
        <v>0.71618535662854066</v>
      </c>
      <c r="M24" s="108">
        <f t="shared" si="2"/>
        <v>0.71452187471855744</v>
      </c>
      <c r="N24" s="2">
        <f t="shared" si="3"/>
        <v>0</v>
      </c>
      <c r="O24" s="2">
        <f t="shared" si="4"/>
        <v>0</v>
      </c>
    </row>
    <row r="25" spans="3:17" x14ac:dyDescent="0.25">
      <c r="C25" s="2">
        <f t="shared" si="5"/>
        <v>2043</v>
      </c>
      <c r="D25" s="109">
        <f t="shared" si="6"/>
        <v>0.04</v>
      </c>
      <c r="E25" s="20">
        <f t="shared" si="7"/>
        <v>2700.6866302657763</v>
      </c>
      <c r="F25" s="108">
        <f t="shared" si="0"/>
        <v>0.3861967975207608</v>
      </c>
      <c r="G25" s="14">
        <f t="shared" si="8"/>
        <v>64</v>
      </c>
      <c r="H25" s="14">
        <f t="shared" si="9"/>
        <v>34</v>
      </c>
      <c r="I25" s="108">
        <f t="shared" si="10"/>
        <v>0.71452187471855744</v>
      </c>
      <c r="J25" s="108">
        <f>VLOOKUP(G25,'Data for Q5'!$E$6:$F$103,2,0)</f>
        <v>5.11E-3</v>
      </c>
      <c r="K25" s="108">
        <f>IF(G25&gt;=65,0,IF(H25&gt;=30,'Data for Q5'!$I$36,VLOOKUP(H25,'Data for Q5'!$H$6:$I$35,2,0)))</f>
        <v>0</v>
      </c>
      <c r="L25" s="108">
        <f t="shared" si="1"/>
        <v>0.71269393314242935</v>
      </c>
      <c r="M25" s="108">
        <f t="shared" si="2"/>
        <v>0.71087066793874565</v>
      </c>
      <c r="N25" s="2">
        <f t="shared" si="3"/>
        <v>0</v>
      </c>
      <c r="O25" s="2">
        <f t="shared" si="4"/>
        <v>0</v>
      </c>
    </row>
    <row r="26" spans="3:17" x14ac:dyDescent="0.25">
      <c r="C26" s="27">
        <f t="shared" si="5"/>
        <v>2044</v>
      </c>
      <c r="D26" s="113">
        <f t="shared" si="6"/>
        <v>0.04</v>
      </c>
      <c r="E26" s="110">
        <f t="shared" si="7"/>
        <v>2808.7140954764077</v>
      </c>
      <c r="F26" s="111">
        <f t="shared" si="0"/>
        <v>0.36780647382929599</v>
      </c>
      <c r="G26" s="112">
        <f t="shared" si="8"/>
        <v>65</v>
      </c>
      <c r="H26" s="112">
        <f t="shared" si="9"/>
        <v>35</v>
      </c>
      <c r="I26" s="111">
        <f t="shared" si="10"/>
        <v>0.71087066793874565</v>
      </c>
      <c r="J26" s="111">
        <f>VLOOKUP(G26,'Data for Q5'!$E$6:$F$103,2,0)</f>
        <v>5.62E-3</v>
      </c>
      <c r="K26" s="111">
        <f>IF(G26&gt;=65,0,IF(H26&gt;=30,'Data for Q5'!$I$36,VLOOKUP(H26,'Data for Q5'!$H$6:$I$35,2,0)))</f>
        <v>0</v>
      </c>
      <c r="L26" s="111">
        <f t="shared" si="1"/>
        <v>0.70887030689467301</v>
      </c>
      <c r="M26" s="111">
        <f t="shared" si="2"/>
        <v>0.70687557478492991</v>
      </c>
      <c r="N26" s="27">
        <f t="shared" si="3"/>
        <v>1</v>
      </c>
      <c r="O26" s="110">
        <f t="shared" si="4"/>
        <v>732.3078470853718</v>
      </c>
      <c r="Q26" s="16">
        <f>SUM(O26:O41)</f>
        <v>9638.4096875920295</v>
      </c>
    </row>
    <row r="27" spans="3:17" x14ac:dyDescent="0.25">
      <c r="C27" s="27">
        <f t="shared" si="5"/>
        <v>2045</v>
      </c>
      <c r="D27" s="113">
        <f t="shared" si="6"/>
        <v>0.04</v>
      </c>
      <c r="E27" s="110">
        <f t="shared" si="7"/>
        <v>2921.0626592954641</v>
      </c>
      <c r="F27" s="111">
        <f t="shared" si="0"/>
        <v>0.35029187983742477</v>
      </c>
      <c r="G27" s="112">
        <f t="shared" si="8"/>
        <v>66</v>
      </c>
      <c r="H27" s="112">
        <f t="shared" si="9"/>
        <v>36</v>
      </c>
      <c r="I27" s="111">
        <f t="shared" si="10"/>
        <v>0.70687557478492991</v>
      </c>
      <c r="J27" s="111">
        <f>VLOOKUP(G27,'Data for Q5'!$E$6:$F$103,2,0)</f>
        <v>6.1999999999999998E-3</v>
      </c>
      <c r="K27" s="111">
        <f>IF(G27&gt;=65,0,IF(H27&gt;=30,'Data for Q5'!$I$36,VLOOKUP(H27,'Data for Q5'!$H$6:$I$35,2,0)))</f>
        <v>0</v>
      </c>
      <c r="L27" s="111">
        <f t="shared" si="1"/>
        <v>0.70468085339571584</v>
      </c>
      <c r="M27" s="111">
        <f t="shared" si="2"/>
        <v>0.70249294622126335</v>
      </c>
      <c r="N27" s="27">
        <f t="shared" si="3"/>
        <v>1</v>
      </c>
      <c r="O27" s="110">
        <f t="shared" si="4"/>
        <v>721.04673504931327</v>
      </c>
    </row>
    <row r="28" spans="3:17" x14ac:dyDescent="0.25">
      <c r="C28" s="27">
        <f t="shared" si="5"/>
        <v>2046</v>
      </c>
      <c r="D28" s="113">
        <f t="shared" si="6"/>
        <v>0.04</v>
      </c>
      <c r="E28" s="110">
        <f t="shared" si="7"/>
        <v>3037.9051656672827</v>
      </c>
      <c r="F28" s="111">
        <f t="shared" si="0"/>
        <v>0.33361131413088069</v>
      </c>
      <c r="G28" s="112">
        <f t="shared" si="8"/>
        <v>67</v>
      </c>
      <c r="H28" s="112">
        <f t="shared" si="9"/>
        <v>37</v>
      </c>
      <c r="I28" s="111">
        <f t="shared" si="10"/>
        <v>0.70249294622126335</v>
      </c>
      <c r="J28" s="111">
        <f>VLOOKUP(G28,'Data for Q5'!$E$6:$F$103,2,0)</f>
        <v>6.8599999999999998E-3</v>
      </c>
      <c r="K28" s="111">
        <f>IF(G28&gt;=65,0,IF(H28&gt;=30,'Data for Q5'!$I$36,VLOOKUP(H28,'Data for Q5'!$H$6:$I$35,2,0)))</f>
        <v>0</v>
      </c>
      <c r="L28" s="111">
        <f t="shared" si="1"/>
        <v>0.70007924880096617</v>
      </c>
      <c r="M28" s="111">
        <f t="shared" si="2"/>
        <v>0.69767384461018545</v>
      </c>
      <c r="N28" s="27">
        <f t="shared" si="3"/>
        <v>1</v>
      </c>
      <c r="O28" s="110">
        <f t="shared" si="4"/>
        <v>709.51599120419189</v>
      </c>
      <c r="Q28" s="16">
        <f>Q26*15/35</f>
        <v>4130.7470089680128</v>
      </c>
    </row>
    <row r="29" spans="3:17" x14ac:dyDescent="0.25">
      <c r="C29" s="27">
        <f t="shared" si="5"/>
        <v>2047</v>
      </c>
      <c r="D29" s="113">
        <f t="shared" si="6"/>
        <v>0.04</v>
      </c>
      <c r="E29" s="110">
        <f t="shared" si="7"/>
        <v>3159.4213722939739</v>
      </c>
      <c r="F29" s="111">
        <f t="shared" si="0"/>
        <v>0.31772506107702925</v>
      </c>
      <c r="G29" s="112">
        <f t="shared" si="8"/>
        <v>68</v>
      </c>
      <c r="H29" s="112">
        <f t="shared" si="9"/>
        <v>38</v>
      </c>
      <c r="I29" s="111">
        <f t="shared" si="10"/>
        <v>0.69767384461018545</v>
      </c>
      <c r="J29" s="111">
        <f>VLOOKUP(G29,'Data for Q5'!$E$6:$F$103,2,0)</f>
        <v>7.6099999999999996E-3</v>
      </c>
      <c r="K29" s="111">
        <f>IF(G29&gt;=65,0,IF(H29&gt;=30,'Data for Q5'!$I$36,VLOOKUP(H29,'Data for Q5'!$H$6:$I$35,2,0)))</f>
        <v>0</v>
      </c>
      <c r="L29" s="111">
        <f t="shared" si="1"/>
        <v>0.69501412585283373</v>
      </c>
      <c r="M29" s="111">
        <f t="shared" si="2"/>
        <v>0.69236454665270197</v>
      </c>
      <c r="N29" s="27">
        <f t="shared" si="3"/>
        <v>1</v>
      </c>
      <c r="O29" s="110">
        <f t="shared" si="4"/>
        <v>697.67418711111634</v>
      </c>
    </row>
    <row r="30" spans="3:17" x14ac:dyDescent="0.25">
      <c r="C30" s="27">
        <f t="shared" si="5"/>
        <v>2048</v>
      </c>
      <c r="D30" s="113">
        <f t="shared" si="6"/>
        <v>0.04</v>
      </c>
      <c r="E30" s="110">
        <f t="shared" si="7"/>
        <v>3285.7982271857331</v>
      </c>
      <c r="F30" s="111">
        <f t="shared" si="0"/>
        <v>0.3025952962638373</v>
      </c>
      <c r="G30" s="112">
        <f t="shared" si="8"/>
        <v>69</v>
      </c>
      <c r="H30" s="112">
        <f t="shared" si="9"/>
        <v>39</v>
      </c>
      <c r="I30" s="111">
        <f t="shared" si="10"/>
        <v>0.69236454665270197</v>
      </c>
      <c r="J30" s="111">
        <f>VLOOKUP(G30,'Data for Q5'!$E$6:$F$103,2,0)</f>
        <v>8.4399999999999996E-3</v>
      </c>
      <c r="K30" s="111">
        <f>IF(G30&gt;=65,0,IF(H30&gt;=30,'Data for Q5'!$I$36,VLOOKUP(H30,'Data for Q5'!$H$6:$I$35,2,0)))</f>
        <v>0</v>
      </c>
      <c r="L30" s="111">
        <f t="shared" si="1"/>
        <v>0.68943657715928131</v>
      </c>
      <c r="M30" s="111">
        <f t="shared" si="2"/>
        <v>0.68652098987895316</v>
      </c>
      <c r="N30" s="27">
        <f t="shared" si="3"/>
        <v>1</v>
      </c>
      <c r="O30" s="110">
        <f t="shared" si="4"/>
        <v>685.48409794557176</v>
      </c>
      <c r="Q30" s="16">
        <f>Q26/35</f>
        <v>275.38313393120086</v>
      </c>
    </row>
    <row r="31" spans="3:17" x14ac:dyDescent="0.25">
      <c r="C31" s="27">
        <f t="shared" si="5"/>
        <v>2049</v>
      </c>
      <c r="D31" s="113">
        <f t="shared" si="6"/>
        <v>0.04</v>
      </c>
      <c r="E31" s="110">
        <f t="shared" si="7"/>
        <v>3417.2301562731627</v>
      </c>
      <c r="F31" s="111">
        <f t="shared" si="0"/>
        <v>0.28818599644174986</v>
      </c>
      <c r="G31" s="112">
        <f t="shared" si="8"/>
        <v>70</v>
      </c>
      <c r="H31" s="112">
        <f t="shared" si="9"/>
        <v>40</v>
      </c>
      <c r="I31" s="111">
        <f t="shared" si="10"/>
        <v>0.68652098987895316</v>
      </c>
      <c r="J31" s="111">
        <f>VLOOKUP(G31,'Data for Q5'!$E$6:$F$103,2,0)</f>
        <v>9.3399999999999993E-3</v>
      </c>
      <c r="K31" s="111">
        <f>IF(G31&gt;=65,0,IF(H31&gt;=30,'Data for Q5'!$I$36,VLOOKUP(H31,'Data for Q5'!$H$6:$I$35,2,0)))</f>
        <v>0</v>
      </c>
      <c r="L31" s="111">
        <f t="shared" si="1"/>
        <v>0.68330741555674135</v>
      </c>
      <c r="M31" s="111">
        <f t="shared" si="2"/>
        <v>0.68010888383348378</v>
      </c>
      <c r="N31" s="27">
        <f t="shared" si="3"/>
        <v>1</v>
      </c>
      <c r="O31" s="110">
        <f t="shared" si="4"/>
        <v>672.9196926271436</v>
      </c>
    </row>
    <row r="32" spans="3:17" x14ac:dyDescent="0.25">
      <c r="C32" s="27">
        <f t="shared" si="5"/>
        <v>2050</v>
      </c>
      <c r="D32" s="113">
        <f t="shared" si="6"/>
        <v>0.04</v>
      </c>
      <c r="E32" s="110">
        <f t="shared" si="7"/>
        <v>3553.9193625240891</v>
      </c>
      <c r="F32" s="111">
        <f t="shared" si="0"/>
        <v>0.27446285375404744</v>
      </c>
      <c r="G32" s="112">
        <f t="shared" si="8"/>
        <v>71</v>
      </c>
      <c r="H32" s="112">
        <f t="shared" si="9"/>
        <v>41</v>
      </c>
      <c r="I32" s="111">
        <f t="shared" si="10"/>
        <v>0.68010888383348378</v>
      </c>
      <c r="J32" s="111">
        <f>VLOOKUP(G32,'Data for Q5'!$E$6:$F$103,2,0)</f>
        <v>1.031E-2</v>
      </c>
      <c r="K32" s="111">
        <f>IF(G32&gt;=65,0,IF(H32&gt;=30,'Data for Q5'!$I$36,VLOOKUP(H32,'Data for Q5'!$H$6:$I$35,2,0)))</f>
        <v>0</v>
      </c>
      <c r="L32" s="111">
        <f t="shared" si="1"/>
        <v>0.67659383903597248</v>
      </c>
      <c r="M32" s="111">
        <f t="shared" si="2"/>
        <v>0.67309696124116059</v>
      </c>
      <c r="N32" s="27">
        <f t="shared" si="3"/>
        <v>1</v>
      </c>
      <c r="O32" s="110">
        <f t="shared" si="4"/>
        <v>659.96238455878756</v>
      </c>
      <c r="Q32" s="16">
        <f>(Q28+Q30)*5%</f>
        <v>220.3065071449607</v>
      </c>
    </row>
    <row r="33" spans="3:15" x14ac:dyDescent="0.25">
      <c r="C33" s="27">
        <f t="shared" si="5"/>
        <v>2051</v>
      </c>
      <c r="D33" s="113">
        <f t="shared" si="6"/>
        <v>0.04</v>
      </c>
      <c r="E33" s="110">
        <f t="shared" si="7"/>
        <v>3696.076137025053</v>
      </c>
      <c r="F33" s="111">
        <f t="shared" si="0"/>
        <v>0.26139319405147377</v>
      </c>
      <c r="G33" s="112">
        <f t="shared" si="8"/>
        <v>72</v>
      </c>
      <c r="H33" s="112">
        <f t="shared" si="9"/>
        <v>42</v>
      </c>
      <c r="I33" s="111">
        <f t="shared" si="10"/>
        <v>0.67309696124116059</v>
      </c>
      <c r="J33" s="111">
        <f>VLOOKUP(G33,'Data for Q5'!$E$6:$F$103,2,0)</f>
        <v>1.1339999999999999E-2</v>
      </c>
      <c r="K33" s="111">
        <f>IF(G33&gt;=65,0,IF(H33&gt;=30,'Data for Q5'!$I$36,VLOOKUP(H33,'Data for Q5'!$H$6:$I$35,2,0)))</f>
        <v>0</v>
      </c>
      <c r="L33" s="111">
        <f t="shared" si="1"/>
        <v>0.66926962002170143</v>
      </c>
      <c r="M33" s="111">
        <f t="shared" si="2"/>
        <v>0.66546404170068585</v>
      </c>
      <c r="N33" s="27">
        <f t="shared" si="3"/>
        <v>1</v>
      </c>
      <c r="O33" s="110">
        <f t="shared" si="4"/>
        <v>646.60088704729856</v>
      </c>
    </row>
    <row r="34" spans="3:15" x14ac:dyDescent="0.25">
      <c r="C34" s="27">
        <f t="shared" si="5"/>
        <v>2052</v>
      </c>
      <c r="D34" s="113">
        <f t="shared" si="6"/>
        <v>0.04</v>
      </c>
      <c r="E34" s="110">
        <f t="shared" si="7"/>
        <v>3843.9191825060552</v>
      </c>
      <c r="F34" s="111">
        <f t="shared" si="0"/>
        <v>0.24894589909664167</v>
      </c>
      <c r="G34" s="112">
        <f t="shared" si="8"/>
        <v>73</v>
      </c>
      <c r="H34" s="112">
        <f t="shared" si="9"/>
        <v>43</v>
      </c>
      <c r="I34" s="111">
        <f t="shared" si="10"/>
        <v>0.66546404170068585</v>
      </c>
      <c r="J34" s="111">
        <f>VLOOKUP(G34,'Data for Q5'!$E$6:$F$103,2,0)</f>
        <v>1.244E-2</v>
      </c>
      <c r="K34" s="111">
        <f>IF(G34&gt;=65,0,IF(H34&gt;=30,'Data for Q5'!$I$36,VLOOKUP(H34,'Data for Q5'!$H$6:$I$35,2,0)))</f>
        <v>0</v>
      </c>
      <c r="L34" s="111">
        <f t="shared" si="1"/>
        <v>0.66131190179453314</v>
      </c>
      <c r="M34" s="111">
        <f t="shared" si="2"/>
        <v>0.65718566902192932</v>
      </c>
      <c r="N34" s="27">
        <f t="shared" si="3"/>
        <v>1</v>
      </c>
      <c r="O34" s="110">
        <f t="shared" si="4"/>
        <v>632.8278206343839</v>
      </c>
    </row>
    <row r="35" spans="3:15" x14ac:dyDescent="0.25">
      <c r="C35" s="27">
        <f t="shared" si="5"/>
        <v>2053</v>
      </c>
      <c r="D35" s="113">
        <f t="shared" si="6"/>
        <v>0.04</v>
      </c>
      <c r="E35" s="110">
        <f t="shared" si="7"/>
        <v>3997.6759498062975</v>
      </c>
      <c r="F35" s="111">
        <f t="shared" si="0"/>
        <v>0.23709133247299205</v>
      </c>
      <c r="G35" s="112">
        <f t="shared" si="8"/>
        <v>74</v>
      </c>
      <c r="H35" s="112">
        <f t="shared" si="9"/>
        <v>44</v>
      </c>
      <c r="I35" s="111">
        <f t="shared" si="10"/>
        <v>0.65718566902192932</v>
      </c>
      <c r="J35" s="111">
        <f>VLOOKUP(G35,'Data for Q5'!$E$6:$F$103,2,0)</f>
        <v>1.366E-2</v>
      </c>
      <c r="K35" s="111">
        <f>IF(G35&gt;=65,0,IF(H35&gt;=30,'Data for Q5'!$I$36,VLOOKUP(H35,'Data for Q5'!$H$6:$I$35,2,0)))</f>
        <v>0</v>
      </c>
      <c r="L35" s="111">
        <f t="shared" si="1"/>
        <v>0.65268165681215884</v>
      </c>
      <c r="M35" s="111">
        <f t="shared" si="2"/>
        <v>0.64820851278308977</v>
      </c>
      <c r="N35" s="27">
        <f t="shared" si="3"/>
        <v>1</v>
      </c>
      <c r="O35" s="110">
        <f t="shared" si="4"/>
        <v>618.62101924944113</v>
      </c>
    </row>
    <row r="36" spans="3:15" x14ac:dyDescent="0.25">
      <c r="C36" s="27">
        <f t="shared" si="5"/>
        <v>2054</v>
      </c>
      <c r="D36" s="113">
        <f t="shared" si="6"/>
        <v>0.04</v>
      </c>
      <c r="E36" s="110">
        <f t="shared" si="7"/>
        <v>4157.5829877985498</v>
      </c>
      <c r="F36" s="111">
        <f t="shared" si="0"/>
        <v>0.22580126902189715</v>
      </c>
      <c r="G36" s="112">
        <f t="shared" si="8"/>
        <v>75</v>
      </c>
      <c r="H36" s="112">
        <f t="shared" si="9"/>
        <v>45</v>
      </c>
      <c r="I36" s="111">
        <f t="shared" si="10"/>
        <v>0.64820851278308977</v>
      </c>
      <c r="J36" s="111">
        <f>VLOOKUP(G36,'Data for Q5'!$E$6:$F$103,2,0)</f>
        <v>1.502E-2</v>
      </c>
      <c r="K36" s="111">
        <f>IF(G36&gt;=65,0,IF(H36&gt;=30,'Data for Q5'!$I$36,VLOOKUP(H36,'Data for Q5'!$H$6:$I$35,2,0)))</f>
        <v>0</v>
      </c>
      <c r="L36" s="111">
        <f t="shared" si="1"/>
        <v>0.64332204875806731</v>
      </c>
      <c r="M36" s="111">
        <f t="shared" si="2"/>
        <v>0.63847242092108769</v>
      </c>
      <c r="N36" s="27">
        <f t="shared" si="3"/>
        <v>1</v>
      </c>
      <c r="O36" s="110">
        <f t="shared" si="4"/>
        <v>603.94270731093582</v>
      </c>
    </row>
    <row r="37" spans="3:15" x14ac:dyDescent="0.25">
      <c r="C37" s="27">
        <f t="shared" si="5"/>
        <v>2055</v>
      </c>
      <c r="D37" s="113">
        <f t="shared" si="6"/>
        <v>0.04</v>
      </c>
      <c r="E37" s="110">
        <f t="shared" si="7"/>
        <v>4323.8863073104922</v>
      </c>
      <c r="F37" s="111">
        <f t="shared" si="0"/>
        <v>0.21504882763990207</v>
      </c>
      <c r="G37" s="112">
        <f t="shared" si="8"/>
        <v>76</v>
      </c>
      <c r="H37" s="112">
        <f t="shared" si="9"/>
        <v>46</v>
      </c>
      <c r="I37" s="111">
        <f t="shared" si="10"/>
        <v>0.63847242092108769</v>
      </c>
      <c r="J37" s="111">
        <f>VLOOKUP(G37,'Data for Q5'!$E$6:$F$103,2,0)</f>
        <v>1.6559999999999998E-2</v>
      </c>
      <c r="K37" s="111">
        <f>IF(G37&gt;=65,0,IF(H37&gt;=30,'Data for Q5'!$I$36,VLOOKUP(H37,'Data for Q5'!$H$6:$I$35,2,0)))</f>
        <v>0</v>
      </c>
      <c r="L37" s="111">
        <f t="shared" si="1"/>
        <v>0.63316379983565874</v>
      </c>
      <c r="M37" s="111">
        <f t="shared" si="2"/>
        <v>0.62789931763063445</v>
      </c>
      <c r="N37" s="27">
        <f t="shared" si="3"/>
        <v>1</v>
      </c>
      <c r="O37" s="110">
        <f t="shared" si="4"/>
        <v>588.7452579555486</v>
      </c>
    </row>
    <row r="38" spans="3:15" x14ac:dyDescent="0.25">
      <c r="C38" s="27">
        <f t="shared" si="5"/>
        <v>2056</v>
      </c>
      <c r="D38" s="113">
        <f t="shared" si="6"/>
        <v>0.04</v>
      </c>
      <c r="E38" s="110">
        <f t="shared" si="7"/>
        <v>4496.8417596029121</v>
      </c>
      <c r="F38" s="111">
        <f t="shared" si="0"/>
        <v>0.20480840727609717</v>
      </c>
      <c r="G38" s="112">
        <f t="shared" si="8"/>
        <v>77</v>
      </c>
      <c r="H38" s="112">
        <f t="shared" si="9"/>
        <v>47</v>
      </c>
      <c r="I38" s="111">
        <f t="shared" si="10"/>
        <v>0.62789931763063445</v>
      </c>
      <c r="J38" s="111">
        <f>VLOOKUP(G38,'Data for Q5'!$E$6:$F$103,2,0)</f>
        <v>1.8339999999999999E-2</v>
      </c>
      <c r="K38" s="111">
        <f>IF(G38&gt;=65,0,IF(H38&gt;=30,'Data for Q5'!$I$36,VLOOKUP(H38,'Data for Q5'!$H$6:$I$35,2,0)))</f>
        <v>0</v>
      </c>
      <c r="L38" s="111">
        <f t="shared" si="1"/>
        <v>0.62211483631039577</v>
      </c>
      <c r="M38" s="111">
        <f t="shared" si="2"/>
        <v>0.61638364414528857</v>
      </c>
      <c r="N38" s="27">
        <f t="shared" si="3"/>
        <v>1</v>
      </c>
      <c r="O38" s="110">
        <f t="shared" si="4"/>
        <v>572.96216431058292</v>
      </c>
    </row>
    <row r="39" spans="3:15" x14ac:dyDescent="0.25">
      <c r="C39" s="27">
        <f t="shared" si="5"/>
        <v>2057</v>
      </c>
      <c r="D39" s="113">
        <f t="shared" si="6"/>
        <v>0.04</v>
      </c>
      <c r="E39" s="110">
        <f t="shared" si="7"/>
        <v>4676.715429987029</v>
      </c>
      <c r="F39" s="111">
        <f t="shared" si="0"/>
        <v>0.19505562597723539</v>
      </c>
      <c r="G39" s="112">
        <f t="shared" si="8"/>
        <v>78</v>
      </c>
      <c r="H39" s="112">
        <f t="shared" si="9"/>
        <v>48</v>
      </c>
      <c r="I39" s="111">
        <f t="shared" si="10"/>
        <v>0.61638364414528857</v>
      </c>
      <c r="J39" s="111">
        <f>VLOOKUP(G39,'Data for Q5'!$E$6:$F$103,2,0)</f>
        <v>2.0410000000000001E-2</v>
      </c>
      <c r="K39" s="111">
        <f>IF(G39&gt;=65,0,IF(H39&gt;=30,'Data for Q5'!$I$36,VLOOKUP(H39,'Data for Q5'!$H$6:$I$35,2,0)))</f>
        <v>0</v>
      </c>
      <c r="L39" s="111">
        <f t="shared" si="1"/>
        <v>0.61006102156075637</v>
      </c>
      <c r="M39" s="111">
        <f t="shared" si="2"/>
        <v>0.60380325396828316</v>
      </c>
      <c r="N39" s="27">
        <f t="shared" si="3"/>
        <v>1</v>
      </c>
      <c r="O39" s="110">
        <f t="shared" si="4"/>
        <v>556.50965505238878</v>
      </c>
    </row>
    <row r="40" spans="3:15" x14ac:dyDescent="0.25">
      <c r="C40" s="27">
        <f t="shared" si="5"/>
        <v>2058</v>
      </c>
      <c r="D40" s="113">
        <f t="shared" si="6"/>
        <v>0.04</v>
      </c>
      <c r="E40" s="110">
        <f t="shared" si="7"/>
        <v>4863.7840471865102</v>
      </c>
      <c r="F40" s="111">
        <f t="shared" si="0"/>
        <v>0.18576726283546227</v>
      </c>
      <c r="G40" s="112">
        <f t="shared" si="8"/>
        <v>79</v>
      </c>
      <c r="H40" s="112">
        <f t="shared" si="9"/>
        <v>49</v>
      </c>
      <c r="I40" s="111">
        <f t="shared" si="10"/>
        <v>0.60380325396828316</v>
      </c>
      <c r="J40" s="111">
        <f>VLOOKUP(G40,'Data for Q5'!$E$6:$F$103,2,0)</f>
        <v>2.2839999999999999E-2</v>
      </c>
      <c r="K40" s="111">
        <f>IF(G40&gt;=65,0,IF(H40&gt;=30,'Data for Q5'!$I$36,VLOOKUP(H40,'Data for Q5'!$H$6:$I$35,2,0)))</f>
        <v>0</v>
      </c>
      <c r="L40" s="111">
        <f t="shared" si="1"/>
        <v>0.59686799172283123</v>
      </c>
      <c r="M40" s="111">
        <f t="shared" si="2"/>
        <v>0.59001238764764763</v>
      </c>
      <c r="N40" s="27">
        <f t="shared" si="3"/>
        <v>1</v>
      </c>
      <c r="O40" s="110">
        <f t="shared" si="4"/>
        <v>539.28924044995358</v>
      </c>
    </row>
    <row r="41" spans="3:15" x14ac:dyDescent="0.25">
      <c r="C41" s="2">
        <f t="shared" si="5"/>
        <v>2059</v>
      </c>
      <c r="D41" s="109">
        <f t="shared" si="6"/>
        <v>0.04</v>
      </c>
      <c r="E41" s="20">
        <f t="shared" si="7"/>
        <v>5058.3354090739704</v>
      </c>
      <c r="F41" s="108">
        <f t="shared" si="0"/>
        <v>0.17692120270044026</v>
      </c>
      <c r="G41" s="14">
        <f t="shared" si="8"/>
        <v>80</v>
      </c>
      <c r="H41" s="14">
        <f t="shared" si="9"/>
        <v>50</v>
      </c>
      <c r="I41" s="108">
        <f t="shared" si="10"/>
        <v>0.59001238764764763</v>
      </c>
      <c r="J41" s="108">
        <f>VLOOKUP(G41,'Data for Q5'!$E$6:$F$103,2,0)</f>
        <v>2.571E-2</v>
      </c>
      <c r="K41" s="108">
        <f>IF(G41&gt;=65,0,IF(H41&gt;=30,'Data for Q5'!$I$36,VLOOKUP(H41,'Data for Q5'!$H$6:$I$35,2,0)))</f>
        <v>0</v>
      </c>
      <c r="L41" s="108">
        <f t="shared" si="1"/>
        <v>0.58237839139150405</v>
      </c>
      <c r="M41" s="108">
        <f t="shared" si="2"/>
        <v>0.57484316916122657</v>
      </c>
      <c r="N41" s="2">
        <f t="shared" si="3"/>
        <v>0</v>
      </c>
      <c r="O41" s="2">
        <f t="shared" si="4"/>
        <v>0</v>
      </c>
    </row>
    <row r="43" spans="3:15" x14ac:dyDescent="0.25">
      <c r="D43" s="2" t="s">
        <v>207</v>
      </c>
      <c r="N43" s="107"/>
      <c r="O43" s="106"/>
    </row>
    <row r="45" spans="3:15" x14ac:dyDescent="0.25">
      <c r="D45" s="2" t="s">
        <v>206</v>
      </c>
    </row>
    <row r="47" spans="3:15" x14ac:dyDescent="0.25">
      <c r="D47" s="2" t="s">
        <v>205</v>
      </c>
    </row>
    <row r="48" spans="3:15" x14ac:dyDescent="0.25">
      <c r="D48" s="2" t="s">
        <v>204</v>
      </c>
    </row>
    <row r="50" spans="4:5" x14ac:dyDescent="0.25">
      <c r="E50" s="2" t="s">
        <v>203</v>
      </c>
    </row>
    <row r="52" spans="4:5" x14ac:dyDescent="0.25">
      <c r="E52" s="2" t="s">
        <v>202</v>
      </c>
    </row>
    <row r="54" spans="4:5" x14ac:dyDescent="0.25">
      <c r="D54" s="2" t="s">
        <v>201</v>
      </c>
    </row>
    <row r="55" spans="4:5" x14ac:dyDescent="0.25">
      <c r="D55" s="2" t="s">
        <v>200</v>
      </c>
    </row>
    <row r="57" spans="4:5" x14ac:dyDescent="0.25">
      <c r="D57" s="2" t="s">
        <v>199</v>
      </c>
    </row>
    <row r="59" spans="4:5" x14ac:dyDescent="0.25">
      <c r="D59" s="2" t="s">
        <v>198</v>
      </c>
    </row>
    <row r="61" spans="4:5" x14ac:dyDescent="0.25">
      <c r="E61" s="2" t="s">
        <v>197</v>
      </c>
    </row>
    <row r="62" spans="4:5" x14ac:dyDescent="0.25">
      <c r="E62" s="2" t="s">
        <v>196</v>
      </c>
    </row>
    <row r="63" spans="4:5" x14ac:dyDescent="0.25">
      <c r="E63" s="2" t="s">
        <v>195</v>
      </c>
    </row>
    <row r="65" spans="4:5" x14ac:dyDescent="0.25">
      <c r="E65" s="105" t="s">
        <v>194</v>
      </c>
    </row>
    <row r="67" spans="4:5" x14ac:dyDescent="0.25">
      <c r="D67" s="2" t="s">
        <v>193</v>
      </c>
    </row>
    <row r="69" spans="4:5" x14ac:dyDescent="0.25">
      <c r="E69" s="105" t="s">
        <v>192</v>
      </c>
    </row>
    <row r="71" spans="4:5" x14ac:dyDescent="0.25">
      <c r="D71" s="2" t="s">
        <v>191</v>
      </c>
    </row>
    <row r="73" spans="4:5" x14ac:dyDescent="0.25">
      <c r="E73" s="105" t="s">
        <v>190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7749F-6E19-4BDF-BB34-36C3999FABC0}">
  <sheetPr codeName="Sheet9"/>
  <dimension ref="A3:D21"/>
  <sheetViews>
    <sheetView showGridLines="0" zoomScale="75" zoomScaleNormal="75" workbookViewId="0"/>
  </sheetViews>
  <sheetFormatPr defaultColWidth="8.85546875" defaultRowHeight="15" x14ac:dyDescent="0.25"/>
  <cols>
    <col min="1" max="1" width="60.5703125" customWidth="1"/>
    <col min="2" max="2" width="27.42578125" style="71" customWidth="1"/>
  </cols>
  <sheetData>
    <row r="3" spans="1:4" x14ac:dyDescent="0.25">
      <c r="A3" s="123" t="s">
        <v>241</v>
      </c>
      <c r="B3" s="122" t="s">
        <v>240</v>
      </c>
    </row>
    <row r="4" spans="1:4" x14ac:dyDescent="0.25">
      <c r="A4" t="s">
        <v>239</v>
      </c>
      <c r="B4" s="119">
        <v>2500000</v>
      </c>
    </row>
    <row r="5" spans="1:4" x14ac:dyDescent="0.25">
      <c r="A5" t="s">
        <v>238</v>
      </c>
      <c r="B5" s="119">
        <v>200000</v>
      </c>
      <c r="D5" t="s">
        <v>237</v>
      </c>
    </row>
    <row r="6" spans="1:4" x14ac:dyDescent="0.25">
      <c r="A6" t="s">
        <v>236</v>
      </c>
      <c r="B6" s="119">
        <v>-10000</v>
      </c>
      <c r="D6" t="s">
        <v>235</v>
      </c>
    </row>
    <row r="7" spans="1:4" x14ac:dyDescent="0.25">
      <c r="A7" t="s">
        <v>234</v>
      </c>
      <c r="B7" s="71">
        <v>0</v>
      </c>
    </row>
    <row r="8" spans="1:4" x14ac:dyDescent="0.25">
      <c r="A8" t="s">
        <v>233</v>
      </c>
      <c r="B8" s="71">
        <v>0</v>
      </c>
    </row>
    <row r="9" spans="1:4" x14ac:dyDescent="0.25">
      <c r="A9" s="118" t="s">
        <v>232</v>
      </c>
      <c r="B9" s="117">
        <f>5%*(B4+B5+B6/2)</f>
        <v>134750</v>
      </c>
      <c r="D9" t="s">
        <v>231</v>
      </c>
    </row>
    <row r="10" spans="1:4" x14ac:dyDescent="0.25">
      <c r="A10" s="121" t="s">
        <v>230</v>
      </c>
      <c r="B10" s="120">
        <f>SUM(B4:B9)</f>
        <v>2824750</v>
      </c>
    </row>
    <row r="11" spans="1:4" x14ac:dyDescent="0.25">
      <c r="A11" t="s">
        <v>229</v>
      </c>
      <c r="B11" s="119">
        <f>300000-50000</f>
        <v>250000</v>
      </c>
      <c r="D11" t="s">
        <v>228</v>
      </c>
    </row>
    <row r="12" spans="1:4" x14ac:dyDescent="0.25">
      <c r="A12" t="s">
        <v>227</v>
      </c>
      <c r="B12" s="119">
        <f>-200000+150000</f>
        <v>-50000</v>
      </c>
      <c r="D12" t="s">
        <v>226</v>
      </c>
    </row>
    <row r="13" spans="1:4" x14ac:dyDescent="0.25">
      <c r="A13" s="118" t="s">
        <v>225</v>
      </c>
      <c r="B13" s="117">
        <v>0</v>
      </c>
    </row>
    <row r="14" spans="1:4" x14ac:dyDescent="0.25">
      <c r="A14" s="118" t="s">
        <v>224</v>
      </c>
      <c r="B14" s="117">
        <f>SUM(B10:B13)</f>
        <v>3024750</v>
      </c>
    </row>
    <row r="16" spans="1:4" x14ac:dyDescent="0.25">
      <c r="A16" t="s">
        <v>223</v>
      </c>
    </row>
    <row r="17" spans="1:1" x14ac:dyDescent="0.25">
      <c r="A17" s="116" t="s">
        <v>222</v>
      </c>
    </row>
    <row r="19" spans="1:1" x14ac:dyDescent="0.25">
      <c r="A19" t="s">
        <v>221</v>
      </c>
    </row>
    <row r="21" spans="1:1" x14ac:dyDescent="0.25">
      <c r="A21" t="s">
        <v>220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0AE6B-4C72-44D3-8716-E3A517727CC9}">
  <dimension ref="A1:M82"/>
  <sheetViews>
    <sheetView zoomScale="75" zoomScaleNormal="75" workbookViewId="0"/>
  </sheetViews>
  <sheetFormatPr defaultColWidth="8.85546875" defaultRowHeight="15" x14ac:dyDescent="0.25"/>
  <cols>
    <col min="1" max="1" width="13.5703125" customWidth="1"/>
    <col min="2" max="2" width="28.42578125" customWidth="1"/>
    <col min="3" max="3" width="13.5703125" customWidth="1"/>
    <col min="4" max="4" width="12" customWidth="1"/>
    <col min="5" max="5" width="12.140625" customWidth="1"/>
    <col min="6" max="6" width="10.42578125" bestFit="1" customWidth="1"/>
    <col min="7" max="9" width="8.85546875" customWidth="1"/>
  </cols>
  <sheetData>
    <row r="1" spans="1:12" ht="22.5" x14ac:dyDescent="0.3">
      <c r="A1" s="26" t="s">
        <v>339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15.75" x14ac:dyDescent="0.25">
      <c r="A2" s="34" t="s">
        <v>340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6.5" thickBot="1" x14ac:dyDescent="0.3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4" spans="1:12" ht="16.5" thickBot="1" x14ac:dyDescent="0.3">
      <c r="A4" s="34"/>
      <c r="B4" s="314" t="s">
        <v>341</v>
      </c>
      <c r="C4" s="315"/>
      <c r="D4" s="315"/>
      <c r="E4" s="316"/>
      <c r="F4" s="34"/>
      <c r="G4" s="34"/>
      <c r="H4" s="34"/>
      <c r="I4" s="34"/>
      <c r="J4" s="34"/>
      <c r="K4" s="34"/>
      <c r="L4" s="34"/>
    </row>
    <row r="5" spans="1:12" ht="16.5" thickBot="1" x14ac:dyDescent="0.3">
      <c r="A5" s="34"/>
      <c r="B5" s="187"/>
      <c r="C5" s="188" t="s">
        <v>342</v>
      </c>
      <c r="D5" s="189" t="s">
        <v>343</v>
      </c>
      <c r="E5" s="190" t="s">
        <v>344</v>
      </c>
      <c r="F5" s="34"/>
      <c r="G5" s="34"/>
      <c r="H5" s="34"/>
      <c r="I5" s="34"/>
      <c r="J5" s="34"/>
      <c r="K5" s="34"/>
      <c r="L5" s="34"/>
    </row>
    <row r="6" spans="1:12" ht="16.5" thickBot="1" x14ac:dyDescent="0.3">
      <c r="A6" s="34"/>
      <c r="B6" s="191" t="s">
        <v>345</v>
      </c>
      <c r="C6" s="86">
        <v>10000</v>
      </c>
      <c r="D6" s="86">
        <v>10000</v>
      </c>
      <c r="E6" s="86">
        <v>10000</v>
      </c>
      <c r="F6" s="34"/>
      <c r="G6" s="41"/>
      <c r="H6" s="41"/>
      <c r="I6" s="41"/>
      <c r="J6" s="34"/>
      <c r="K6" s="34"/>
      <c r="L6" s="34"/>
    </row>
    <row r="7" spans="1:12" ht="16.5" thickBot="1" x14ac:dyDescent="0.3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</row>
    <row r="8" spans="1:12" ht="16.5" thickBot="1" x14ac:dyDescent="0.3">
      <c r="A8" s="34"/>
      <c r="B8" s="317" t="s">
        <v>346</v>
      </c>
      <c r="C8" s="318"/>
      <c r="D8" s="318"/>
      <c r="E8" s="319"/>
      <c r="F8" s="34"/>
      <c r="G8" s="34"/>
      <c r="H8" s="34"/>
      <c r="I8" s="34"/>
      <c r="J8" s="34"/>
      <c r="K8" s="34"/>
      <c r="L8" s="34"/>
    </row>
    <row r="9" spans="1:12" ht="16.5" thickBot="1" x14ac:dyDescent="0.3">
      <c r="A9" s="34"/>
      <c r="B9" s="191" t="s">
        <v>347</v>
      </c>
      <c r="C9" s="192" t="s">
        <v>342</v>
      </c>
      <c r="D9" s="192" t="s">
        <v>343</v>
      </c>
      <c r="E9" s="192" t="s">
        <v>344</v>
      </c>
      <c r="F9" s="34"/>
      <c r="G9" s="34"/>
      <c r="H9" s="34"/>
      <c r="I9" s="34"/>
      <c r="J9" s="34"/>
      <c r="K9" s="34"/>
      <c r="L9" s="34"/>
    </row>
    <row r="10" spans="1:12" ht="16.5" thickBot="1" x14ac:dyDescent="0.3">
      <c r="A10" s="34"/>
      <c r="B10" s="191" t="s">
        <v>348</v>
      </c>
      <c r="C10" s="86">
        <v>65000</v>
      </c>
      <c r="D10" s="86">
        <v>65000</v>
      </c>
      <c r="E10" s="86">
        <v>65000</v>
      </c>
      <c r="F10" s="34"/>
      <c r="G10" s="41"/>
      <c r="H10" s="41"/>
      <c r="I10" s="41"/>
      <c r="J10" s="34"/>
      <c r="K10" s="34"/>
      <c r="L10" s="34"/>
    </row>
    <row r="11" spans="1:12" ht="16.5" thickBot="1" x14ac:dyDescent="0.3">
      <c r="A11" s="34"/>
      <c r="B11" s="191" t="s">
        <v>349</v>
      </c>
      <c r="C11" s="86">
        <v>32500</v>
      </c>
      <c r="D11" s="86">
        <v>32500</v>
      </c>
      <c r="E11" s="86">
        <v>32500</v>
      </c>
      <c r="F11" s="34"/>
      <c r="G11" s="41"/>
      <c r="H11" s="41"/>
      <c r="I11" s="41"/>
      <c r="J11" s="34"/>
      <c r="K11" s="34"/>
      <c r="L11" s="34"/>
    </row>
    <row r="12" spans="1:12" ht="16.5" thickBot="1" x14ac:dyDescent="0.3">
      <c r="A12" s="34"/>
      <c r="B12" s="191" t="s">
        <v>350</v>
      </c>
      <c r="C12" s="193">
        <v>0.85</v>
      </c>
      <c r="D12" s="193">
        <v>0.85</v>
      </c>
      <c r="E12" s="193">
        <v>0.85</v>
      </c>
      <c r="F12" s="34"/>
      <c r="G12" s="41"/>
      <c r="H12" s="41"/>
      <c r="I12" s="41"/>
      <c r="J12" s="34"/>
      <c r="K12" s="34"/>
      <c r="L12" s="34"/>
    </row>
    <row r="13" spans="1:12" ht="16.5" thickBot="1" x14ac:dyDescent="0.3">
      <c r="A13" s="34"/>
      <c r="B13" s="191" t="s">
        <v>351</v>
      </c>
      <c r="C13" s="86">
        <v>500000</v>
      </c>
      <c r="D13" s="86">
        <v>500000</v>
      </c>
      <c r="E13" s="86">
        <v>500000</v>
      </c>
      <c r="F13" s="34"/>
      <c r="G13" s="41"/>
      <c r="H13" s="41"/>
      <c r="I13" s="41"/>
      <c r="J13" s="34"/>
      <c r="K13" s="34"/>
      <c r="L13" s="34"/>
    </row>
    <row r="14" spans="1:12" ht="16.5" thickBot="1" x14ac:dyDescent="0.3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</row>
    <row r="15" spans="1:12" ht="16.5" thickBot="1" x14ac:dyDescent="0.3">
      <c r="A15" s="34"/>
      <c r="B15" s="320" t="s">
        <v>352</v>
      </c>
      <c r="C15" s="321"/>
      <c r="D15" s="321"/>
      <c r="E15" s="322"/>
      <c r="F15" s="34"/>
      <c r="G15" s="34"/>
      <c r="H15" s="34"/>
      <c r="I15" s="34"/>
      <c r="J15" s="34"/>
      <c r="K15" s="34"/>
      <c r="L15" s="34"/>
    </row>
    <row r="16" spans="1:12" ht="31.5" x14ac:dyDescent="0.25">
      <c r="A16" s="34"/>
      <c r="B16" s="194" t="s">
        <v>353</v>
      </c>
      <c r="C16" s="323" t="s">
        <v>354</v>
      </c>
      <c r="D16" s="195" t="s">
        <v>355</v>
      </c>
      <c r="E16" s="325" t="s">
        <v>356</v>
      </c>
      <c r="F16" s="34"/>
      <c r="G16" s="34"/>
      <c r="H16" s="34"/>
      <c r="I16" s="34"/>
      <c r="J16" s="34"/>
      <c r="K16" s="34"/>
      <c r="L16" s="34"/>
    </row>
    <row r="17" spans="1:13" ht="32.25" thickBot="1" x14ac:dyDescent="0.3">
      <c r="A17" s="34"/>
      <c r="B17" s="196" t="s">
        <v>357</v>
      </c>
      <c r="C17" s="324"/>
      <c r="D17" s="197" t="s">
        <v>358</v>
      </c>
      <c r="E17" s="324"/>
      <c r="F17" s="34"/>
      <c r="G17" s="34"/>
      <c r="H17" s="34"/>
      <c r="I17" s="34"/>
      <c r="J17" s="34"/>
      <c r="K17" s="34"/>
      <c r="L17" s="34"/>
    </row>
    <row r="18" spans="1:13" ht="16.5" thickBot="1" x14ac:dyDescent="0.3">
      <c r="A18" s="34"/>
      <c r="B18" s="198" t="s">
        <v>359</v>
      </c>
      <c r="C18" s="86">
        <v>10000</v>
      </c>
      <c r="D18" s="86">
        <v>276</v>
      </c>
      <c r="E18" s="86">
        <v>771</v>
      </c>
      <c r="F18" s="34"/>
      <c r="G18" s="41"/>
      <c r="H18" s="41"/>
      <c r="I18" s="41"/>
      <c r="J18" s="34"/>
      <c r="K18" s="34"/>
      <c r="L18" s="34"/>
    </row>
    <row r="19" spans="1:13" ht="16.5" thickBot="1" x14ac:dyDescent="0.3">
      <c r="A19" s="34"/>
      <c r="B19" s="198" t="s">
        <v>360</v>
      </c>
      <c r="C19" s="86">
        <v>18000</v>
      </c>
      <c r="D19" s="86">
        <v>188</v>
      </c>
      <c r="E19" s="86">
        <v>527</v>
      </c>
      <c r="F19" s="34"/>
      <c r="G19" s="41"/>
      <c r="H19" s="41"/>
      <c r="I19" s="41"/>
      <c r="J19" s="34"/>
      <c r="K19" s="34"/>
      <c r="L19" s="34"/>
    </row>
    <row r="20" spans="1:13" ht="16.5" thickBot="1" x14ac:dyDescent="0.3">
      <c r="A20" s="34"/>
      <c r="B20" s="198" t="s">
        <v>361</v>
      </c>
      <c r="C20" s="86">
        <v>32500</v>
      </c>
      <c r="D20" s="86">
        <v>100</v>
      </c>
      <c r="E20" s="86">
        <v>339</v>
      </c>
      <c r="F20" s="34"/>
      <c r="G20" s="41"/>
      <c r="H20" s="41"/>
      <c r="I20" s="41"/>
      <c r="J20" s="34"/>
      <c r="K20" s="34"/>
      <c r="L20" s="34"/>
    </row>
    <row r="21" spans="1:13" ht="16.5" thickBot="1" x14ac:dyDescent="0.3">
      <c r="A21" s="34"/>
      <c r="B21" s="198" t="s">
        <v>362</v>
      </c>
      <c r="C21" s="86">
        <v>55000</v>
      </c>
      <c r="D21" s="86">
        <v>66</v>
      </c>
      <c r="E21" s="86">
        <v>224</v>
      </c>
      <c r="F21" s="34"/>
      <c r="G21" s="41"/>
      <c r="H21" s="41"/>
      <c r="I21" s="41"/>
      <c r="J21" s="34"/>
      <c r="K21" s="34"/>
      <c r="L21" s="34"/>
    </row>
    <row r="22" spans="1:13" ht="16.5" thickBot="1" x14ac:dyDescent="0.3">
      <c r="A22" s="34"/>
      <c r="B22" s="198" t="s">
        <v>363</v>
      </c>
      <c r="C22" s="86">
        <v>80000</v>
      </c>
      <c r="D22" s="86">
        <v>50</v>
      </c>
      <c r="E22" s="86">
        <v>169</v>
      </c>
      <c r="F22" s="34"/>
      <c r="G22" s="41"/>
      <c r="H22" s="41"/>
      <c r="I22" s="41"/>
      <c r="J22" s="34"/>
      <c r="K22" s="34"/>
      <c r="L22" s="34"/>
    </row>
    <row r="23" spans="1:13" ht="16.5" thickBot="1" x14ac:dyDescent="0.3">
      <c r="A23" s="34"/>
      <c r="B23" s="198" t="s">
        <v>364</v>
      </c>
      <c r="C23" s="86">
        <v>105000</v>
      </c>
      <c r="D23" s="86">
        <v>36</v>
      </c>
      <c r="E23" s="86">
        <v>142</v>
      </c>
      <c r="F23" s="34"/>
      <c r="G23" s="41"/>
      <c r="H23" s="41"/>
      <c r="I23" s="41"/>
      <c r="J23" s="34"/>
      <c r="K23" s="34"/>
      <c r="L23" s="34"/>
    </row>
    <row r="24" spans="1:13" ht="16.5" thickBot="1" x14ac:dyDescent="0.3">
      <c r="A24" s="34"/>
      <c r="B24" s="198" t="s">
        <v>365</v>
      </c>
      <c r="C24" s="86">
        <v>130000</v>
      </c>
      <c r="D24" s="86">
        <v>31</v>
      </c>
      <c r="E24" s="86">
        <v>123</v>
      </c>
      <c r="F24" s="34"/>
      <c r="G24" s="41"/>
      <c r="H24" s="41"/>
      <c r="I24" s="41"/>
      <c r="J24" s="34"/>
      <c r="K24" s="34"/>
      <c r="L24" s="34"/>
    </row>
    <row r="25" spans="1:13" ht="16.5" thickBot="1" x14ac:dyDescent="0.3">
      <c r="A25" s="34"/>
      <c r="B25" s="198" t="s">
        <v>366</v>
      </c>
      <c r="C25" s="86">
        <v>300000</v>
      </c>
      <c r="D25" s="86">
        <v>15</v>
      </c>
      <c r="E25" s="86">
        <v>60</v>
      </c>
      <c r="F25" s="34"/>
      <c r="G25" s="41"/>
      <c r="H25" s="41"/>
      <c r="I25" s="41"/>
      <c r="J25" s="34"/>
      <c r="K25" s="34"/>
      <c r="L25" s="34"/>
    </row>
    <row r="26" spans="1:13" ht="16.5" thickBot="1" x14ac:dyDescent="0.3">
      <c r="A26" s="34"/>
      <c r="B26" s="50" t="s">
        <v>367</v>
      </c>
      <c r="C26" s="199" t="s">
        <v>368</v>
      </c>
      <c r="D26" s="199" t="s">
        <v>368</v>
      </c>
      <c r="E26" s="199" t="s">
        <v>368</v>
      </c>
      <c r="F26" s="34"/>
      <c r="G26" s="41"/>
      <c r="H26" s="41"/>
      <c r="I26" s="41"/>
      <c r="J26" s="34"/>
      <c r="K26" s="34"/>
      <c r="L26" s="34"/>
    </row>
    <row r="27" spans="1:13" ht="15.75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3" ht="15.75" x14ac:dyDescent="0.25">
      <c r="A28" s="34" t="s">
        <v>369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3" ht="16.5" thickBot="1" x14ac:dyDescent="0.3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8"/>
    </row>
    <row r="30" spans="1:13" ht="16.5" thickBot="1" x14ac:dyDescent="0.3">
      <c r="A30" s="34"/>
      <c r="B30" s="130" t="s">
        <v>370</v>
      </c>
      <c r="C30" s="200" t="s">
        <v>253</v>
      </c>
      <c r="D30" s="129" t="s">
        <v>342</v>
      </c>
      <c r="E30" s="129" t="s">
        <v>343</v>
      </c>
      <c r="F30" s="129" t="s">
        <v>344</v>
      </c>
      <c r="G30" s="34"/>
      <c r="H30" s="34"/>
      <c r="I30" s="34"/>
      <c r="J30" s="34"/>
      <c r="K30" s="34"/>
      <c r="L30" s="34"/>
    </row>
    <row r="31" spans="1:13" ht="16.5" thickBot="1" x14ac:dyDescent="0.3">
      <c r="A31" s="34"/>
      <c r="B31" s="127">
        <v>1</v>
      </c>
      <c r="C31" s="201" t="s">
        <v>371</v>
      </c>
      <c r="D31" s="86">
        <v>22000</v>
      </c>
      <c r="E31" s="86">
        <v>25000</v>
      </c>
      <c r="F31" s="86">
        <v>19000</v>
      </c>
      <c r="G31" s="41"/>
      <c r="H31" s="34"/>
      <c r="I31" s="34"/>
      <c r="J31" s="34"/>
      <c r="K31" s="34"/>
      <c r="L31" s="34"/>
    </row>
    <row r="32" spans="1:13" ht="16.5" thickBot="1" x14ac:dyDescent="0.3">
      <c r="A32" s="34"/>
      <c r="B32" s="127">
        <v>2</v>
      </c>
      <c r="C32" s="201" t="s">
        <v>372</v>
      </c>
      <c r="D32" s="86">
        <v>35000</v>
      </c>
      <c r="E32" s="86">
        <v>750</v>
      </c>
      <c r="F32" s="86">
        <v>1000</v>
      </c>
      <c r="G32" s="34"/>
      <c r="H32" s="34"/>
      <c r="I32" s="34"/>
      <c r="J32" s="34"/>
      <c r="K32" s="34"/>
      <c r="L32" s="34"/>
    </row>
    <row r="33" spans="1:13" ht="16.5" thickBot="1" x14ac:dyDescent="0.3">
      <c r="A33" s="34"/>
      <c r="B33" s="127">
        <v>3</v>
      </c>
      <c r="C33" s="201" t="s">
        <v>371</v>
      </c>
      <c r="D33" s="86">
        <v>15000</v>
      </c>
      <c r="E33" s="86">
        <v>12000</v>
      </c>
      <c r="F33" s="86">
        <v>14000</v>
      </c>
      <c r="G33" s="34"/>
      <c r="H33" s="34"/>
      <c r="I33" s="34"/>
      <c r="J33" s="34"/>
      <c r="K33" s="34"/>
      <c r="L33" s="34"/>
    </row>
    <row r="34" spans="1:13" ht="16.5" thickBot="1" x14ac:dyDescent="0.3">
      <c r="A34" s="34"/>
      <c r="B34" s="127">
        <v>3</v>
      </c>
      <c r="C34" s="201" t="s">
        <v>372</v>
      </c>
      <c r="D34" s="86">
        <v>15000</v>
      </c>
      <c r="E34" s="86">
        <v>20000</v>
      </c>
      <c r="F34" s="86">
        <v>25000</v>
      </c>
      <c r="G34" s="34"/>
      <c r="H34" s="34"/>
      <c r="I34" s="34"/>
      <c r="J34" s="34"/>
      <c r="K34" s="34"/>
      <c r="L34" s="34"/>
    </row>
    <row r="35" spans="1:13" ht="16.5" thickBot="1" x14ac:dyDescent="0.3">
      <c r="A35" s="34"/>
      <c r="B35" s="127">
        <v>4</v>
      </c>
      <c r="C35" s="201" t="s">
        <v>371</v>
      </c>
      <c r="D35" s="86">
        <v>550000</v>
      </c>
      <c r="E35" s="86">
        <v>575000</v>
      </c>
      <c r="F35" s="86">
        <v>600000</v>
      </c>
      <c r="G35" s="34"/>
      <c r="H35" s="34"/>
      <c r="I35" s="34"/>
      <c r="J35" s="34"/>
      <c r="K35" s="34"/>
      <c r="L35" s="34"/>
    </row>
    <row r="36" spans="1:13" ht="16.5" thickBot="1" x14ac:dyDescent="0.3">
      <c r="A36" s="34"/>
      <c r="B36" s="127">
        <v>5</v>
      </c>
      <c r="C36" s="201" t="s">
        <v>371</v>
      </c>
      <c r="D36" s="86">
        <v>9000</v>
      </c>
      <c r="E36" s="86">
        <v>10000</v>
      </c>
      <c r="F36" s="86">
        <v>8000</v>
      </c>
      <c r="G36" s="34"/>
      <c r="H36" s="34"/>
      <c r="I36" s="34"/>
      <c r="J36" s="34"/>
      <c r="K36" s="34"/>
      <c r="L36" s="34"/>
    </row>
    <row r="37" spans="1:13" ht="16.5" thickBot="1" x14ac:dyDescent="0.3">
      <c r="A37" s="34"/>
      <c r="B37" s="127">
        <v>5</v>
      </c>
      <c r="C37" s="201" t="s">
        <v>372</v>
      </c>
      <c r="D37" s="86">
        <v>60000</v>
      </c>
      <c r="E37" s="86">
        <v>75000</v>
      </c>
      <c r="F37" s="86">
        <v>80000</v>
      </c>
      <c r="G37" s="34"/>
      <c r="H37" s="34"/>
      <c r="I37" s="34"/>
      <c r="J37" s="34"/>
      <c r="K37" s="34"/>
      <c r="L37" s="34"/>
    </row>
    <row r="38" spans="1:13" ht="16.5" thickBot="1" x14ac:dyDescent="0.3">
      <c r="A38" s="34"/>
      <c r="B38" s="127">
        <v>5</v>
      </c>
      <c r="C38" s="201" t="s">
        <v>373</v>
      </c>
      <c r="D38" s="86">
        <v>400</v>
      </c>
      <c r="E38" s="86">
        <v>200</v>
      </c>
      <c r="F38" s="86">
        <v>500</v>
      </c>
      <c r="G38" s="34"/>
      <c r="H38" s="34"/>
      <c r="I38" s="34"/>
      <c r="J38" s="34"/>
      <c r="K38" s="34"/>
      <c r="L38" s="34"/>
    </row>
    <row r="39" spans="1:13" ht="16.5" thickBot="1" x14ac:dyDescent="0.3">
      <c r="A39" s="34"/>
      <c r="B39" s="127">
        <v>6</v>
      </c>
      <c r="C39" s="201" t="s">
        <v>371</v>
      </c>
      <c r="D39" s="86">
        <v>125000</v>
      </c>
      <c r="E39" s="86">
        <v>130000</v>
      </c>
      <c r="F39" s="86">
        <v>0</v>
      </c>
      <c r="G39" s="34"/>
      <c r="H39" s="34"/>
      <c r="I39" s="34"/>
      <c r="J39" s="34"/>
      <c r="K39" s="34"/>
      <c r="L39" s="34"/>
    </row>
    <row r="40" spans="1:13" ht="15.75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</row>
    <row r="41" spans="1:13" ht="15.75" x14ac:dyDescent="0.25">
      <c r="A41" s="54" t="s">
        <v>374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</row>
    <row r="42" spans="1:13" ht="15.75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8"/>
    </row>
    <row r="43" spans="1:13" ht="15.75" x14ac:dyDescent="0.25">
      <c r="A43" s="34" t="s">
        <v>375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</row>
    <row r="44" spans="1:13" ht="15.75" x14ac:dyDescent="0.25">
      <c r="A44" s="34" t="s">
        <v>145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</row>
    <row r="45" spans="1:13" ht="15.75" x14ac:dyDescent="0.2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</row>
    <row r="46" spans="1:13" ht="15.75" x14ac:dyDescent="0.25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  <row r="47" spans="1:13" ht="15.75" x14ac:dyDescent="0.25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</row>
    <row r="48" spans="1:13" ht="15.75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</row>
    <row r="49" spans="1:12" ht="15.75" x14ac:dyDescent="0.25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</row>
    <row r="50" spans="1:12" ht="15.75" x14ac:dyDescent="0.25"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</row>
    <row r="51" spans="1:12" ht="15.75" x14ac:dyDescent="0.25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</row>
    <row r="52" spans="1:12" ht="15.75" x14ac:dyDescent="0.25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</row>
    <row r="53" spans="1:12" ht="15.75" x14ac:dyDescent="0.25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</row>
    <row r="54" spans="1:12" ht="15.75" x14ac:dyDescent="0.25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</row>
    <row r="55" spans="1:12" ht="15.75" x14ac:dyDescent="0.25">
      <c r="A55" s="34" t="s">
        <v>376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</row>
    <row r="56" spans="1:12" ht="15.75" x14ac:dyDescent="0.25">
      <c r="A56" s="34" t="s">
        <v>145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</row>
    <row r="57" spans="1:12" ht="15.75" x14ac:dyDescent="0.25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</row>
    <row r="58" spans="1:12" ht="15.75" x14ac:dyDescent="0.25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</row>
    <row r="59" spans="1:12" ht="15.75" x14ac:dyDescent="0.25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</row>
    <row r="60" spans="1:12" ht="15.75" x14ac:dyDescent="0.25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</row>
    <row r="61" spans="1:12" ht="15.75" x14ac:dyDescent="0.25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</row>
    <row r="62" spans="1:12" ht="15.75" x14ac:dyDescent="0.25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</row>
    <row r="63" spans="1:12" ht="15.75" x14ac:dyDescent="0.25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</row>
    <row r="64" spans="1:12" ht="15.75" x14ac:dyDescent="0.25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</row>
    <row r="65" spans="1:12" ht="15.75" x14ac:dyDescent="0.2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</row>
    <row r="66" spans="1:12" ht="15.75" x14ac:dyDescent="0.25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</row>
    <row r="67" spans="1:12" ht="15.75" x14ac:dyDescent="0.25">
      <c r="A67" s="34" t="s">
        <v>377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</row>
    <row r="68" spans="1:12" ht="15.75" x14ac:dyDescent="0.25">
      <c r="A68" s="34" t="s">
        <v>145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</row>
    <row r="69" spans="1:12" ht="15.75" x14ac:dyDescent="0.25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</row>
    <row r="70" spans="1:12" ht="15.75" x14ac:dyDescent="0.25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</row>
    <row r="71" spans="1:12" ht="15.75" x14ac:dyDescent="0.25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</row>
    <row r="72" spans="1:12" ht="15.75" x14ac:dyDescent="0.25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</row>
    <row r="73" spans="1:12" ht="15.75" x14ac:dyDescent="0.25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</row>
    <row r="74" spans="1:12" ht="15.75" x14ac:dyDescent="0.25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</row>
    <row r="75" spans="1:12" ht="15.75" x14ac:dyDescent="0.2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</row>
    <row r="76" spans="1:12" ht="15.75" x14ac:dyDescent="0.25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</row>
    <row r="77" spans="1:12" ht="15.75" x14ac:dyDescent="0.25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</row>
    <row r="78" spans="1:12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</row>
    <row r="79" spans="1:12" ht="15.75" x14ac:dyDescent="0.25">
      <c r="A79" s="54" t="s">
        <v>378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</row>
    <row r="80" spans="1:12" ht="15.75" x14ac:dyDescent="0.25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</row>
    <row r="81" spans="1:12" ht="15.75" x14ac:dyDescent="0.2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</row>
    <row r="82" spans="1:12" ht="15.75" x14ac:dyDescent="0.25"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</row>
  </sheetData>
  <mergeCells count="5">
    <mergeCell ref="B4:E4"/>
    <mergeCell ref="B8:E8"/>
    <mergeCell ref="B15:E15"/>
    <mergeCell ref="C16:C17"/>
    <mergeCell ref="E16:E1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E2FD6-4B31-4A74-976F-680957EC86F2}">
  <dimension ref="A2:N28"/>
  <sheetViews>
    <sheetView zoomScale="75" zoomScaleNormal="75" workbookViewId="0"/>
  </sheetViews>
  <sheetFormatPr defaultColWidth="8.85546875" defaultRowHeight="15" x14ac:dyDescent="0.25"/>
  <cols>
    <col min="2" max="2" width="27.140625" bestFit="1" customWidth="1"/>
    <col min="3" max="3" width="10" bestFit="1" customWidth="1"/>
    <col min="4" max="6" width="9.85546875" bestFit="1" customWidth="1"/>
    <col min="7" max="7" width="11.85546875" bestFit="1" customWidth="1"/>
    <col min="8" max="8" width="11.5703125" bestFit="1" customWidth="1"/>
    <col min="9" max="9" width="11.5703125" customWidth="1"/>
    <col min="10" max="10" width="12.5703125" bestFit="1" customWidth="1"/>
    <col min="11" max="11" width="12.5703125" customWidth="1"/>
    <col min="12" max="12" width="9.85546875" style="203" bestFit="1" customWidth="1"/>
    <col min="13" max="13" width="12.5703125" style="203" customWidth="1"/>
    <col min="14" max="14" width="8.85546875" style="150"/>
  </cols>
  <sheetData>
    <row r="2" spans="1:12" x14ac:dyDescent="0.25">
      <c r="A2" s="202" t="s">
        <v>379</v>
      </c>
    </row>
    <row r="3" spans="1:12" x14ac:dyDescent="0.25">
      <c r="A3" s="202"/>
    </row>
    <row r="4" spans="1:12" x14ac:dyDescent="0.25">
      <c r="B4" s="116" t="s">
        <v>380</v>
      </c>
    </row>
    <row r="5" spans="1:12" ht="15" customHeight="1" x14ac:dyDescent="0.25"/>
    <row r="6" spans="1:12" x14ac:dyDescent="0.25">
      <c r="B6" s="71" t="s">
        <v>381</v>
      </c>
      <c r="C6" s="71" t="s">
        <v>382</v>
      </c>
      <c r="D6" s="71" t="s">
        <v>383</v>
      </c>
      <c r="E6" s="71" t="s">
        <v>384</v>
      </c>
      <c r="F6" s="204" t="s">
        <v>385</v>
      </c>
      <c r="G6" s="204" t="s">
        <v>386</v>
      </c>
      <c r="H6" s="204" t="s">
        <v>387</v>
      </c>
    </row>
    <row r="7" spans="1:12" x14ac:dyDescent="0.25">
      <c r="B7" s="71">
        <v>1</v>
      </c>
      <c r="C7" s="205">
        <f>'Q6'!D31</f>
        <v>22000</v>
      </c>
      <c r="D7" s="205">
        <f>'Q6'!E31</f>
        <v>25000</v>
      </c>
      <c r="E7" s="205">
        <f>'Q6'!F31</f>
        <v>19000</v>
      </c>
      <c r="F7" s="206">
        <v>0</v>
      </c>
      <c r="G7" s="206">
        <f t="shared" ref="G7:G12" si="0">MIN(10000, E7)</f>
        <v>10000</v>
      </c>
      <c r="H7" s="206">
        <f t="shared" ref="H7:H12" si="1">E7-F7-G7</f>
        <v>9000</v>
      </c>
    </row>
    <row r="8" spans="1:12" x14ac:dyDescent="0.25">
      <c r="B8" s="71">
        <v>2</v>
      </c>
      <c r="C8" s="205">
        <f>'Q6'!D32</f>
        <v>35000</v>
      </c>
      <c r="D8" s="205">
        <f>'Q6'!E32</f>
        <v>750</v>
      </c>
      <c r="E8" s="205">
        <f>'Q6'!F32</f>
        <v>1000</v>
      </c>
      <c r="F8" s="206">
        <v>0</v>
      </c>
      <c r="G8" s="206">
        <f t="shared" si="0"/>
        <v>1000</v>
      </c>
      <c r="H8" s="206">
        <f t="shared" si="1"/>
        <v>0</v>
      </c>
    </row>
    <row r="9" spans="1:12" x14ac:dyDescent="0.25">
      <c r="B9" s="71">
        <v>3</v>
      </c>
      <c r="C9" s="205">
        <f>'Q6'!D33+'Q6'!D34</f>
        <v>30000</v>
      </c>
      <c r="D9" s="205">
        <f>'Q6'!E33+'Q6'!E34</f>
        <v>32000</v>
      </c>
      <c r="E9" s="205">
        <f>'Q6'!F33+'Q6'!F34</f>
        <v>39000</v>
      </c>
      <c r="F9" s="206">
        <v>0</v>
      </c>
      <c r="G9" s="206">
        <f t="shared" si="0"/>
        <v>10000</v>
      </c>
      <c r="H9" s="206">
        <f t="shared" si="1"/>
        <v>29000</v>
      </c>
    </row>
    <row r="10" spans="1:12" x14ac:dyDescent="0.25">
      <c r="B10" s="71">
        <v>4</v>
      </c>
      <c r="C10" s="205">
        <f>'Q6'!D35</f>
        <v>550000</v>
      </c>
      <c r="D10" s="205">
        <f>'Q6'!E35</f>
        <v>575000</v>
      </c>
      <c r="E10" s="205">
        <f>'Q6'!F35</f>
        <v>600000</v>
      </c>
      <c r="F10" s="206">
        <f>MIN(500000, 85%*(E10-32500))</f>
        <v>482375</v>
      </c>
      <c r="G10" s="206">
        <f t="shared" si="0"/>
        <v>10000</v>
      </c>
      <c r="H10" s="206">
        <f t="shared" si="1"/>
        <v>107625</v>
      </c>
    </row>
    <row r="11" spans="1:12" x14ac:dyDescent="0.25">
      <c r="B11" s="71">
        <v>5</v>
      </c>
      <c r="C11" s="205">
        <f>'Q6'!D36+'Q6'!D37+'Q6'!D38</f>
        <v>69400</v>
      </c>
      <c r="D11" s="205">
        <f>'Q6'!E36+'Q6'!E37+'Q6'!E38</f>
        <v>85200</v>
      </c>
      <c r="E11" s="205">
        <f>'Q6'!F36+'Q6'!F37+'Q6'!F38</f>
        <v>88500</v>
      </c>
      <c r="F11" s="206">
        <f>MIN(500000, 85%*(E11-32500))</f>
        <v>47600</v>
      </c>
      <c r="G11" s="206">
        <f t="shared" si="0"/>
        <v>10000</v>
      </c>
      <c r="H11" s="206">
        <f t="shared" si="1"/>
        <v>30900</v>
      </c>
    </row>
    <row r="12" spans="1:12" x14ac:dyDescent="0.25">
      <c r="B12" s="71">
        <v>6</v>
      </c>
      <c r="C12" s="205">
        <f>'Q6'!D39</f>
        <v>125000</v>
      </c>
      <c r="D12" s="205">
        <f>'Q6'!E39</f>
        <v>130000</v>
      </c>
      <c r="E12" s="205">
        <f>'Q6'!F39</f>
        <v>0</v>
      </c>
      <c r="F12" s="206">
        <v>0</v>
      </c>
      <c r="G12" s="206">
        <f t="shared" si="0"/>
        <v>0</v>
      </c>
      <c r="H12" s="206">
        <f t="shared" si="1"/>
        <v>0</v>
      </c>
    </row>
    <row r="13" spans="1:12" x14ac:dyDescent="0.25">
      <c r="B13" s="207" t="s">
        <v>1</v>
      </c>
      <c r="C13" s="208">
        <f t="shared" ref="C13:H13" si="2">SUM(C7:C12)</f>
        <v>831400</v>
      </c>
      <c r="D13" s="208">
        <f t="shared" si="2"/>
        <v>847950</v>
      </c>
      <c r="E13" s="208">
        <f t="shared" si="2"/>
        <v>747500</v>
      </c>
      <c r="F13" s="209">
        <f t="shared" si="2"/>
        <v>529975</v>
      </c>
      <c r="G13" s="209">
        <f t="shared" si="2"/>
        <v>41000</v>
      </c>
      <c r="H13" s="209">
        <f t="shared" si="2"/>
        <v>176525</v>
      </c>
    </row>
    <row r="15" spans="1:12" x14ac:dyDescent="0.25">
      <c r="B15" s="116" t="s">
        <v>388</v>
      </c>
      <c r="L15"/>
    </row>
    <row r="16" spans="1:12" ht="15" customHeight="1" x14ac:dyDescent="0.25">
      <c r="L16"/>
    </row>
    <row r="17" spans="2:10" x14ac:dyDescent="0.25">
      <c r="B17" s="71" t="s">
        <v>381</v>
      </c>
      <c r="C17" s="71" t="s">
        <v>382</v>
      </c>
      <c r="D17" s="71" t="s">
        <v>383</v>
      </c>
      <c r="E17" s="71" t="s">
        <v>384</v>
      </c>
      <c r="F17" s="210" t="s">
        <v>389</v>
      </c>
      <c r="G17" s="204" t="s">
        <v>390</v>
      </c>
      <c r="H17" s="211" t="s">
        <v>385</v>
      </c>
      <c r="I17" s="204" t="s">
        <v>386</v>
      </c>
      <c r="J17" s="204" t="s">
        <v>387</v>
      </c>
    </row>
    <row r="18" spans="2:10" ht="14.45" customHeight="1" x14ac:dyDescent="0.25">
      <c r="B18" s="71">
        <v>1</v>
      </c>
      <c r="C18" s="205">
        <f t="shared" ref="C18:E23" si="3">C7</f>
        <v>22000</v>
      </c>
      <c r="D18" s="205">
        <f t="shared" si="3"/>
        <v>25000</v>
      </c>
      <c r="E18" s="205">
        <f t="shared" si="3"/>
        <v>19000</v>
      </c>
      <c r="F18" s="212">
        <f>MAX(0, E18-'Q6'!$C$18)</f>
        <v>9000</v>
      </c>
      <c r="G18" s="206">
        <f>E18-F18</f>
        <v>10000</v>
      </c>
      <c r="H18" s="213">
        <f t="shared" ref="H18:H23" si="4">MAX(0, G18-32500)</f>
        <v>0</v>
      </c>
      <c r="I18" s="206">
        <f>E18-F18</f>
        <v>10000</v>
      </c>
      <c r="J18" s="206">
        <f>E18-F18-H18-I18</f>
        <v>0</v>
      </c>
    </row>
    <row r="19" spans="2:10" ht="14.45" customHeight="1" x14ac:dyDescent="0.25">
      <c r="B19" s="71">
        <v>2</v>
      </c>
      <c r="C19" s="205">
        <f t="shared" si="3"/>
        <v>35000</v>
      </c>
      <c r="D19" s="205">
        <f t="shared" si="3"/>
        <v>750</v>
      </c>
      <c r="E19" s="205">
        <f t="shared" si="3"/>
        <v>1000</v>
      </c>
      <c r="F19" s="212">
        <f>MAX(0, E19-'Q6'!$C$18)</f>
        <v>0</v>
      </c>
      <c r="G19" s="206">
        <f t="shared" ref="G19:G23" si="5">E19-F19</f>
        <v>1000</v>
      </c>
      <c r="H19" s="213">
        <f t="shared" si="4"/>
        <v>0</v>
      </c>
      <c r="I19" s="206">
        <f t="shared" ref="I19:I23" si="6">E19-F19</f>
        <v>1000</v>
      </c>
      <c r="J19" s="206">
        <f t="shared" ref="J19:J23" si="7">E19-F19-H19-I19</f>
        <v>0</v>
      </c>
    </row>
    <row r="20" spans="2:10" x14ac:dyDescent="0.25">
      <c r="B20" s="71">
        <v>3</v>
      </c>
      <c r="C20" s="205">
        <f t="shared" si="3"/>
        <v>30000</v>
      </c>
      <c r="D20" s="205">
        <f t="shared" si="3"/>
        <v>32000</v>
      </c>
      <c r="E20" s="205">
        <f t="shared" si="3"/>
        <v>39000</v>
      </c>
      <c r="F20" s="212">
        <f>MAX(0, E20-'Q6'!$C$18)</f>
        <v>29000</v>
      </c>
      <c r="G20" s="206">
        <f t="shared" si="5"/>
        <v>10000</v>
      </c>
      <c r="H20" s="213">
        <f t="shared" si="4"/>
        <v>0</v>
      </c>
      <c r="I20" s="206">
        <f t="shared" si="6"/>
        <v>10000</v>
      </c>
      <c r="J20" s="206">
        <f t="shared" si="7"/>
        <v>0</v>
      </c>
    </row>
    <row r="21" spans="2:10" x14ac:dyDescent="0.25">
      <c r="B21" s="71">
        <v>4</v>
      </c>
      <c r="C21" s="205">
        <f t="shared" si="3"/>
        <v>550000</v>
      </c>
      <c r="D21" s="205">
        <f t="shared" si="3"/>
        <v>575000</v>
      </c>
      <c r="E21" s="205">
        <f t="shared" si="3"/>
        <v>600000</v>
      </c>
      <c r="F21" s="212">
        <f>MAX(0, E21-'Q6'!$C$18)</f>
        <v>590000</v>
      </c>
      <c r="G21" s="206">
        <f t="shared" si="5"/>
        <v>10000</v>
      </c>
      <c r="H21" s="213">
        <f t="shared" si="4"/>
        <v>0</v>
      </c>
      <c r="I21" s="206">
        <f t="shared" si="6"/>
        <v>10000</v>
      </c>
      <c r="J21" s="206">
        <f t="shared" si="7"/>
        <v>0</v>
      </c>
    </row>
    <row r="22" spans="2:10" x14ac:dyDescent="0.25">
      <c r="B22" s="71">
        <v>5</v>
      </c>
      <c r="C22" s="205">
        <f t="shared" si="3"/>
        <v>69400</v>
      </c>
      <c r="D22" s="205">
        <f t="shared" si="3"/>
        <v>85200</v>
      </c>
      <c r="E22" s="205">
        <f t="shared" si="3"/>
        <v>88500</v>
      </c>
      <c r="F22" s="212">
        <f>MAX(0, E22-'Q6'!$C$18)</f>
        <v>78500</v>
      </c>
      <c r="G22" s="206">
        <f t="shared" si="5"/>
        <v>10000</v>
      </c>
      <c r="H22" s="213">
        <f t="shared" si="4"/>
        <v>0</v>
      </c>
      <c r="I22" s="206">
        <f t="shared" si="6"/>
        <v>10000</v>
      </c>
      <c r="J22" s="206">
        <f t="shared" si="7"/>
        <v>0</v>
      </c>
    </row>
    <row r="23" spans="2:10" x14ac:dyDescent="0.25">
      <c r="B23" s="71">
        <v>6</v>
      </c>
      <c r="C23" s="205">
        <f t="shared" si="3"/>
        <v>125000</v>
      </c>
      <c r="D23" s="205">
        <f t="shared" si="3"/>
        <v>130000</v>
      </c>
      <c r="E23" s="205">
        <f t="shared" si="3"/>
        <v>0</v>
      </c>
      <c r="F23" s="212">
        <f>MAX(0, E23-'Q6'!$C$18)</f>
        <v>0</v>
      </c>
      <c r="G23" s="206">
        <f t="shared" si="5"/>
        <v>0</v>
      </c>
      <c r="H23" s="213">
        <f t="shared" si="4"/>
        <v>0</v>
      </c>
      <c r="I23" s="206">
        <f t="shared" si="6"/>
        <v>0</v>
      </c>
      <c r="J23" s="206">
        <f t="shared" si="7"/>
        <v>0</v>
      </c>
    </row>
    <row r="24" spans="2:10" x14ac:dyDescent="0.25">
      <c r="B24" s="207" t="s">
        <v>1</v>
      </c>
      <c r="C24" s="208">
        <f t="shared" ref="C24:E24" si="8">SUM(C18:C23)</f>
        <v>831400</v>
      </c>
      <c r="D24" s="208">
        <f t="shared" si="8"/>
        <v>847950</v>
      </c>
      <c r="E24" s="208">
        <f t="shared" si="8"/>
        <v>747500</v>
      </c>
      <c r="F24" s="214">
        <f>SUM(F18:F23)</f>
        <v>706500</v>
      </c>
      <c r="G24" s="209">
        <f t="shared" ref="G24" si="9">SUM(G18:G23)</f>
        <v>41000</v>
      </c>
      <c r="H24" s="215">
        <f>SUM(H18:H23)</f>
        <v>0</v>
      </c>
      <c r="I24" s="209">
        <f>SUM(I18:I23)</f>
        <v>41000</v>
      </c>
      <c r="J24" s="209">
        <f>SUM(J18:J23)</f>
        <v>0</v>
      </c>
    </row>
    <row r="27" spans="2:10" x14ac:dyDescent="0.25">
      <c r="D27" s="216"/>
      <c r="E27" s="131"/>
      <c r="F27" s="131"/>
      <c r="G27" s="131"/>
    </row>
    <row r="28" spans="2:10" x14ac:dyDescent="0.25">
      <c r="D28" s="216"/>
      <c r="E28" s="131"/>
      <c r="F28" s="131"/>
      <c r="G28" s="131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6EC7-F0E1-4392-8099-9C257C42FCE6}">
  <dimension ref="A1:I27"/>
  <sheetViews>
    <sheetView zoomScale="75" zoomScaleNormal="75" workbookViewId="0"/>
  </sheetViews>
  <sheetFormatPr defaultColWidth="8.85546875" defaultRowHeight="15" x14ac:dyDescent="0.25"/>
  <cols>
    <col min="1" max="1" width="17.85546875" customWidth="1"/>
    <col min="2" max="5" width="20.5703125" customWidth="1"/>
    <col min="6" max="6" width="21.42578125" customWidth="1"/>
  </cols>
  <sheetData>
    <row r="1" spans="1:9" ht="22.5" x14ac:dyDescent="0.3">
      <c r="A1" s="26" t="s">
        <v>255</v>
      </c>
      <c r="B1" s="27"/>
      <c r="C1" s="27"/>
      <c r="D1" s="27"/>
      <c r="E1" s="27"/>
      <c r="F1" s="27"/>
      <c r="G1" s="27"/>
      <c r="H1" s="27"/>
      <c r="I1" s="27"/>
    </row>
    <row r="2" spans="1:9" ht="15.75" x14ac:dyDescent="0.25">
      <c r="A2" s="44" t="s">
        <v>254</v>
      </c>
      <c r="B2" s="27"/>
      <c r="C2" s="27"/>
      <c r="D2" s="27"/>
      <c r="E2" s="27"/>
      <c r="F2" s="27"/>
      <c r="G2" s="27"/>
      <c r="H2" s="27"/>
      <c r="I2" s="27"/>
    </row>
    <row r="3" spans="1:9" ht="15.75" thickBot="1" x14ac:dyDescent="0.3">
      <c r="A3" s="27"/>
      <c r="B3" s="27"/>
      <c r="C3" s="27"/>
      <c r="D3" s="27"/>
      <c r="E3" s="27"/>
      <c r="F3" s="27"/>
      <c r="G3" s="27"/>
      <c r="H3" s="27"/>
      <c r="I3" s="27"/>
    </row>
    <row r="4" spans="1:9" ht="32.25" thickBot="1" x14ac:dyDescent="0.3">
      <c r="A4" s="44"/>
      <c r="B4" s="130" t="s">
        <v>253</v>
      </c>
      <c r="C4" s="129" t="s">
        <v>252</v>
      </c>
      <c r="D4" s="128" t="s">
        <v>251</v>
      </c>
      <c r="E4" s="128" t="s">
        <v>250</v>
      </c>
      <c r="F4" s="27"/>
      <c r="G4" s="27"/>
      <c r="H4" s="27"/>
      <c r="I4" s="27"/>
    </row>
    <row r="5" spans="1:9" ht="16.5" thickBot="1" x14ac:dyDescent="0.3">
      <c r="A5" s="44"/>
      <c r="B5" s="127">
        <v>1</v>
      </c>
      <c r="C5" s="125">
        <v>300000</v>
      </c>
      <c r="D5" s="125" t="s">
        <v>249</v>
      </c>
      <c r="E5" s="125">
        <v>125000</v>
      </c>
      <c r="F5" s="80"/>
      <c r="G5" s="80"/>
      <c r="H5" s="80"/>
      <c r="I5" s="27"/>
    </row>
    <row r="6" spans="1:9" ht="16.5" thickBot="1" x14ac:dyDescent="0.3">
      <c r="A6" s="44"/>
      <c r="B6" s="127">
        <v>2</v>
      </c>
      <c r="C6" s="126" t="s">
        <v>249</v>
      </c>
      <c r="D6" s="125">
        <v>1800</v>
      </c>
      <c r="E6" s="125">
        <v>70000</v>
      </c>
      <c r="F6" s="80"/>
      <c r="G6" s="80"/>
      <c r="H6" s="80"/>
      <c r="I6" s="27"/>
    </row>
    <row r="7" spans="1:9" x14ac:dyDescent="0.25">
      <c r="A7" s="27"/>
      <c r="B7" s="27"/>
      <c r="C7" s="27"/>
      <c r="D7" s="27"/>
      <c r="E7" s="27"/>
      <c r="F7" s="27"/>
      <c r="G7" s="27"/>
      <c r="H7" s="27"/>
      <c r="I7" s="27"/>
    </row>
    <row r="8" spans="1:9" ht="15.75" x14ac:dyDescent="0.25">
      <c r="A8" s="27"/>
      <c r="B8" s="34" t="s">
        <v>248</v>
      </c>
      <c r="C8" s="27"/>
      <c r="D8" s="27"/>
      <c r="E8" s="27"/>
      <c r="F8" s="27"/>
      <c r="G8" s="27"/>
      <c r="H8" s="27"/>
      <c r="I8" s="27"/>
    </row>
    <row r="9" spans="1:9" x14ac:dyDescent="0.25">
      <c r="A9" s="27"/>
      <c r="B9" s="27"/>
      <c r="C9" s="27"/>
      <c r="D9" s="27"/>
      <c r="E9" s="27"/>
      <c r="F9" s="27"/>
      <c r="G9" s="27"/>
      <c r="H9" s="27"/>
      <c r="I9" s="27"/>
    </row>
    <row r="10" spans="1:9" ht="15.75" x14ac:dyDescent="0.25">
      <c r="A10" s="34" t="s">
        <v>247</v>
      </c>
      <c r="B10" s="34"/>
      <c r="C10" s="34"/>
      <c r="D10" s="34"/>
      <c r="E10" s="34"/>
      <c r="F10" s="34"/>
      <c r="G10" s="27"/>
      <c r="H10" s="27"/>
      <c r="I10" s="27"/>
    </row>
    <row r="21" spans="1:9" s="38" customFormat="1" ht="15.75" x14ac:dyDescent="0.25">
      <c r="A21" s="34" t="s">
        <v>246</v>
      </c>
      <c r="B21" s="34"/>
      <c r="C21" s="34"/>
      <c r="D21" s="34"/>
      <c r="E21" s="34"/>
      <c r="F21" s="34"/>
      <c r="G21" s="34"/>
      <c r="H21" s="34"/>
      <c r="I21" s="34"/>
    </row>
    <row r="22" spans="1:9" s="38" customFormat="1" ht="15.75" x14ac:dyDescent="0.25">
      <c r="A22" s="34" t="s">
        <v>245</v>
      </c>
      <c r="B22" s="34"/>
      <c r="C22" s="34"/>
      <c r="D22" s="34"/>
      <c r="E22" s="34"/>
      <c r="F22" s="34"/>
      <c r="G22" s="34"/>
      <c r="H22" s="34"/>
      <c r="I22" s="34"/>
    </row>
    <row r="23" spans="1:9" s="38" customFormat="1" ht="15.75" x14ac:dyDescent="0.25">
      <c r="A23" s="34"/>
      <c r="B23" s="34"/>
      <c r="C23" s="34"/>
      <c r="D23" s="34"/>
      <c r="E23" s="34"/>
      <c r="F23" s="34"/>
      <c r="G23" s="34"/>
      <c r="H23" s="34"/>
      <c r="I23" s="34"/>
    </row>
    <row r="24" spans="1:9" s="38" customFormat="1" ht="15.75" x14ac:dyDescent="0.25">
      <c r="A24" s="34" t="s">
        <v>244</v>
      </c>
      <c r="B24" s="34"/>
      <c r="C24" s="34"/>
      <c r="D24" s="34"/>
      <c r="E24" s="34"/>
      <c r="F24" s="34"/>
      <c r="G24" s="34"/>
      <c r="H24" s="34"/>
      <c r="I24" s="34"/>
    </row>
    <row r="25" spans="1:9" ht="15.75" x14ac:dyDescent="0.25">
      <c r="A25" s="124"/>
      <c r="B25" s="124"/>
      <c r="C25" s="124"/>
      <c r="D25" s="124"/>
      <c r="E25" s="124"/>
      <c r="F25" s="124"/>
      <c r="G25" s="124"/>
      <c r="H25" s="124"/>
      <c r="I25" s="124"/>
    </row>
    <row r="26" spans="1:9" ht="15.75" x14ac:dyDescent="0.25">
      <c r="A26" s="54" t="s">
        <v>243</v>
      </c>
      <c r="B26" s="34"/>
      <c r="C26" s="34"/>
      <c r="D26" s="34"/>
      <c r="E26" s="34"/>
      <c r="F26" s="34"/>
      <c r="G26" s="34"/>
      <c r="H26" s="34"/>
      <c r="I26" s="34"/>
    </row>
    <row r="27" spans="1:9" ht="15.75" x14ac:dyDescent="0.25">
      <c r="A27" s="34" t="s">
        <v>242</v>
      </c>
      <c r="B27" s="124"/>
      <c r="C27" s="124"/>
      <c r="D27" s="124"/>
      <c r="E27" s="124"/>
      <c r="F27" s="124"/>
      <c r="G27" s="124"/>
      <c r="H27" s="124"/>
      <c r="I27" s="124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2A4DC-9DF3-4E82-A553-FD0A7F27A19B}">
  <dimension ref="A2:S22"/>
  <sheetViews>
    <sheetView zoomScale="75" zoomScaleNormal="75" workbookViewId="0"/>
  </sheetViews>
  <sheetFormatPr defaultColWidth="11.42578125" defaultRowHeight="15" x14ac:dyDescent="0.25"/>
  <cols>
    <col min="1" max="1" width="10.85546875" style="131" customWidth="1"/>
    <col min="2" max="2" width="15.85546875" style="131" customWidth="1"/>
    <col min="3" max="3" width="14.42578125" style="131" customWidth="1"/>
    <col min="4" max="4" width="19" style="131" customWidth="1"/>
    <col min="5" max="5" width="33.42578125" style="131" customWidth="1"/>
    <col min="6" max="6" width="27.5703125" style="131" customWidth="1"/>
    <col min="7" max="7" width="13.42578125" style="131" customWidth="1"/>
    <col min="8" max="8" width="13.5703125" style="131" customWidth="1"/>
    <col min="9" max="9" width="27.85546875" style="131" customWidth="1"/>
    <col min="10" max="10" width="5.5703125" style="131" customWidth="1"/>
    <col min="11" max="11" width="10.85546875" style="131" customWidth="1"/>
    <col min="12" max="12" width="15.85546875" style="131" customWidth="1"/>
    <col min="13" max="13" width="14.42578125" style="131" customWidth="1"/>
    <col min="14" max="14" width="19" style="131" customWidth="1"/>
    <col min="15" max="15" width="33.42578125" style="131" customWidth="1"/>
    <col min="16" max="16" width="27.5703125" style="131" customWidth="1"/>
    <col min="17" max="17" width="13.42578125" style="131" customWidth="1"/>
    <col min="18" max="18" width="13.5703125" style="131" customWidth="1"/>
    <col min="19" max="19" width="27.85546875" style="131" customWidth="1"/>
    <col min="20" max="16384" width="11.42578125" style="131"/>
  </cols>
  <sheetData>
    <row r="2" spans="1:19" x14ac:dyDescent="0.25">
      <c r="A2" s="326" t="s">
        <v>274</v>
      </c>
      <c r="B2" s="326"/>
      <c r="C2" s="326"/>
      <c r="D2" s="326"/>
      <c r="E2" s="326"/>
      <c r="F2" s="326"/>
      <c r="G2" s="326"/>
      <c r="H2" s="326"/>
      <c r="I2" s="326"/>
      <c r="K2" s="326" t="s">
        <v>273</v>
      </c>
      <c r="L2" s="326"/>
      <c r="M2" s="326"/>
      <c r="N2" s="326"/>
      <c r="O2" s="326"/>
      <c r="P2" s="326"/>
      <c r="Q2" s="326"/>
      <c r="R2" s="326"/>
      <c r="S2" s="326"/>
    </row>
    <row r="4" spans="1:19" x14ac:dyDescent="0.25">
      <c r="A4" s="137" t="s">
        <v>71</v>
      </c>
      <c r="K4" s="137" t="s">
        <v>71</v>
      </c>
    </row>
    <row r="5" spans="1:19" x14ac:dyDescent="0.25">
      <c r="E5" s="139"/>
      <c r="F5" s="139"/>
      <c r="G5" s="139"/>
      <c r="H5" s="139"/>
      <c r="I5" s="139"/>
      <c r="O5" s="139"/>
      <c r="P5" s="139"/>
      <c r="Q5" s="139"/>
      <c r="R5" s="139"/>
      <c r="S5" s="139"/>
    </row>
    <row r="6" spans="1:19" ht="63" x14ac:dyDescent="0.25">
      <c r="A6" s="136" t="s">
        <v>253</v>
      </c>
      <c r="B6" s="136" t="s">
        <v>252</v>
      </c>
      <c r="C6" s="136" t="s">
        <v>251</v>
      </c>
      <c r="D6" s="136" t="s">
        <v>250</v>
      </c>
      <c r="E6" s="136" t="s">
        <v>272</v>
      </c>
      <c r="F6" s="136" t="s">
        <v>271</v>
      </c>
      <c r="G6" s="136" t="s">
        <v>264</v>
      </c>
      <c r="H6" s="136" t="s">
        <v>263</v>
      </c>
      <c r="I6" s="136" t="s">
        <v>270</v>
      </c>
      <c r="K6" s="136" t="s">
        <v>253</v>
      </c>
      <c r="L6" s="136" t="s">
        <v>252</v>
      </c>
      <c r="M6" s="136" t="s">
        <v>251</v>
      </c>
      <c r="N6" s="136" t="s">
        <v>250</v>
      </c>
      <c r="O6" s="136" t="s">
        <v>269</v>
      </c>
      <c r="P6" s="136" t="s">
        <v>268</v>
      </c>
      <c r="Q6" s="136" t="s">
        <v>264</v>
      </c>
      <c r="R6" s="136" t="s">
        <v>263</v>
      </c>
      <c r="S6" s="136" t="s">
        <v>267</v>
      </c>
    </row>
    <row r="7" spans="1:19" ht="15.75" x14ac:dyDescent="0.25">
      <c r="A7" s="135" t="s">
        <v>257</v>
      </c>
      <c r="B7" s="138">
        <f>'Q7'!C5</f>
        <v>300000</v>
      </c>
      <c r="C7" s="134" t="s">
        <v>249</v>
      </c>
      <c r="D7" s="138">
        <f>'Q7'!E5</f>
        <v>125000</v>
      </c>
      <c r="E7" s="134">
        <f>IF(B7&lt;200000,B7,0.85*B7)</f>
        <v>255000</v>
      </c>
      <c r="F7" s="134" t="s">
        <v>249</v>
      </c>
      <c r="G7" s="134">
        <f>D7*0.3</f>
        <v>37500</v>
      </c>
      <c r="H7" s="134">
        <f>D7-G7</f>
        <v>87500</v>
      </c>
      <c r="I7" s="134">
        <f>IF(H7&lt;60000,H7,0.85*H7)</f>
        <v>74375</v>
      </c>
      <c r="K7" s="135" t="s">
        <v>257</v>
      </c>
      <c r="L7" s="138">
        <f>'Q7'!C5</f>
        <v>300000</v>
      </c>
      <c r="M7" s="134" t="s">
        <v>249</v>
      </c>
      <c r="N7" s="138">
        <f>'Q7'!E5</f>
        <v>125000</v>
      </c>
      <c r="O7" s="134">
        <f>IF(L7&lt;1000000,L7,0.9*L7)</f>
        <v>300000</v>
      </c>
      <c r="P7" s="134" t="s">
        <v>249</v>
      </c>
      <c r="Q7" s="134">
        <f>N7*0.3</f>
        <v>37500</v>
      </c>
      <c r="R7" s="134">
        <f>N7-Q7</f>
        <v>87500</v>
      </c>
      <c r="S7" s="134">
        <f>IF(R7&lt;250000,R7,0.9*R7)</f>
        <v>87500</v>
      </c>
    </row>
    <row r="8" spans="1:19" ht="15.75" x14ac:dyDescent="0.25">
      <c r="A8" s="135" t="s">
        <v>256</v>
      </c>
      <c r="B8" s="134" t="s">
        <v>249</v>
      </c>
      <c r="C8" s="138">
        <f>'Q7'!D6</f>
        <v>1800</v>
      </c>
      <c r="D8" s="138">
        <f>'Q7'!E6</f>
        <v>70000</v>
      </c>
      <c r="E8" s="134" t="s">
        <v>249</v>
      </c>
      <c r="F8" s="134">
        <f>IF(C8&lt;2000,C8,0.85*C8)</f>
        <v>1800</v>
      </c>
      <c r="G8" s="134">
        <f>D8*0.3</f>
        <v>21000</v>
      </c>
      <c r="H8" s="134">
        <f>D8-G8</f>
        <v>49000</v>
      </c>
      <c r="I8" s="134">
        <f>IF(H8&lt;60000,H8,0.85*H8)</f>
        <v>49000</v>
      </c>
      <c r="K8" s="135" t="s">
        <v>256</v>
      </c>
      <c r="L8" s="134" t="s">
        <v>249</v>
      </c>
      <c r="M8" s="138">
        <f>'Q7'!D6</f>
        <v>1800</v>
      </c>
      <c r="N8" s="138">
        <f>'Q7'!E6</f>
        <v>70000</v>
      </c>
      <c r="O8" s="134" t="s">
        <v>249</v>
      </c>
      <c r="P8" s="134">
        <f>IF(M8&lt;5000,M8,0.9*M8)</f>
        <v>1800</v>
      </c>
      <c r="Q8" s="134">
        <f>N8*0.3</f>
        <v>21000</v>
      </c>
      <c r="R8" s="134">
        <f>N8-Q8</f>
        <v>49000</v>
      </c>
      <c r="S8" s="134">
        <f>IF(R8&lt;250000,R8,0.9*R8)</f>
        <v>49000</v>
      </c>
    </row>
    <row r="10" spans="1:19" x14ac:dyDescent="0.25">
      <c r="A10" s="137" t="s">
        <v>72</v>
      </c>
      <c r="K10" s="137" t="s">
        <v>72</v>
      </c>
      <c r="L10" s="132"/>
      <c r="M10" s="132"/>
      <c r="N10" s="132"/>
      <c r="O10" s="132"/>
      <c r="P10" s="132"/>
      <c r="Q10" s="132"/>
      <c r="R10" s="132"/>
      <c r="S10" s="132"/>
    </row>
    <row r="11" spans="1:19" x14ac:dyDescent="0.25">
      <c r="E11" s="139"/>
      <c r="F11" s="139"/>
      <c r="G11" s="139"/>
      <c r="H11" s="139"/>
      <c r="I11" s="139"/>
    </row>
    <row r="12" spans="1:19" ht="63" x14ac:dyDescent="0.25">
      <c r="A12" s="136" t="s">
        <v>253</v>
      </c>
      <c r="B12" s="136" t="s">
        <v>259</v>
      </c>
      <c r="C12" s="136" t="s">
        <v>258</v>
      </c>
      <c r="D12" s="136" t="s">
        <v>250</v>
      </c>
      <c r="E12" s="136" t="s">
        <v>266</v>
      </c>
      <c r="F12" s="136" t="s">
        <v>265</v>
      </c>
      <c r="G12" s="136" t="s">
        <v>264</v>
      </c>
      <c r="H12" s="136" t="s">
        <v>263</v>
      </c>
      <c r="I12" s="136" t="s">
        <v>262</v>
      </c>
    </row>
    <row r="13" spans="1:19" ht="15.75" x14ac:dyDescent="0.25">
      <c r="A13" s="135" t="s">
        <v>257</v>
      </c>
      <c r="B13" s="138">
        <f>B7</f>
        <v>300000</v>
      </c>
      <c r="C13" s="134" t="s">
        <v>249</v>
      </c>
      <c r="D13" s="138">
        <f>D7</f>
        <v>125000</v>
      </c>
      <c r="E13" s="134">
        <f>IF(B13&lt;200000,B13,0.9*B13)</f>
        <v>270000</v>
      </c>
      <c r="F13" s="134" t="s">
        <v>249</v>
      </c>
      <c r="G13" s="134">
        <f>D13*0.3</f>
        <v>37500</v>
      </c>
      <c r="H13" s="134">
        <f>D13-G13</f>
        <v>87500</v>
      </c>
      <c r="I13" s="134">
        <f>IF(H13&lt;60000,H13,0.9*H13)</f>
        <v>78750</v>
      </c>
      <c r="K13" s="131" t="s">
        <v>261</v>
      </c>
    </row>
    <row r="14" spans="1:19" ht="15.75" x14ac:dyDescent="0.25">
      <c r="A14" s="135" t="s">
        <v>256</v>
      </c>
      <c r="B14" s="134" t="s">
        <v>249</v>
      </c>
      <c r="C14" s="138">
        <f>C8</f>
        <v>1800</v>
      </c>
      <c r="D14" s="138">
        <f>D8</f>
        <v>70000</v>
      </c>
      <c r="E14" s="134" t="s">
        <v>249</v>
      </c>
      <c r="F14" s="134">
        <f>IF(C14&lt;2000,C14,0.9*C14)</f>
        <v>1800</v>
      </c>
      <c r="G14" s="134">
        <f>D14*0.3</f>
        <v>21000</v>
      </c>
      <c r="H14" s="134">
        <f>D14-G14</f>
        <v>49000</v>
      </c>
      <c r="I14" s="134">
        <f>IF(H14&lt;60000,H14,0.9*H14)</f>
        <v>49000</v>
      </c>
    </row>
    <row r="16" spans="1:19" x14ac:dyDescent="0.25">
      <c r="A16" s="137" t="s">
        <v>260</v>
      </c>
    </row>
    <row r="18" spans="1:19" ht="63" x14ac:dyDescent="0.25">
      <c r="A18" s="136" t="s">
        <v>253</v>
      </c>
      <c r="B18" s="136" t="s">
        <v>259</v>
      </c>
      <c r="C18" s="136" t="s">
        <v>258</v>
      </c>
      <c r="D18" s="136" t="s">
        <v>250</v>
      </c>
    </row>
    <row r="19" spans="1:19" ht="15.75" x14ac:dyDescent="0.25">
      <c r="A19" s="135" t="s">
        <v>257</v>
      </c>
      <c r="B19" s="134">
        <f>E13-E7</f>
        <v>15000</v>
      </c>
      <c r="C19" s="134" t="s">
        <v>249</v>
      </c>
      <c r="D19" s="134">
        <f>I13-I7</f>
        <v>4375</v>
      </c>
    </row>
    <row r="20" spans="1:19" ht="15.75" x14ac:dyDescent="0.25">
      <c r="A20" s="135" t="s">
        <v>256</v>
      </c>
      <c r="B20" s="134" t="s">
        <v>249</v>
      </c>
      <c r="C20" s="134">
        <f>F14-F8</f>
        <v>0</v>
      </c>
      <c r="D20" s="134">
        <f>I14-I8</f>
        <v>0</v>
      </c>
    </row>
    <row r="22" spans="1:19" x14ac:dyDescent="0.25">
      <c r="K22" s="133"/>
      <c r="L22" s="132"/>
      <c r="M22" s="132"/>
      <c r="N22" s="132"/>
      <c r="O22" s="132"/>
      <c r="P22" s="132"/>
      <c r="Q22" s="132"/>
      <c r="R22" s="132"/>
      <c r="S22" s="132"/>
    </row>
  </sheetData>
  <mergeCells count="2">
    <mergeCell ref="A2:I2"/>
    <mergeCell ref="K2:S2"/>
  </mergeCells>
  <pageMargins left="0.7" right="0.7" top="0.75" bottom="0.75" header="0.3" footer="0.3"/>
  <pageSetup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01A5-F940-4432-A655-97B9B77D5A32}">
  <dimension ref="A1:H27"/>
  <sheetViews>
    <sheetView zoomScale="75" zoomScaleNormal="75" workbookViewId="0"/>
  </sheetViews>
  <sheetFormatPr defaultColWidth="8.85546875" defaultRowHeight="15" x14ac:dyDescent="0.25"/>
  <cols>
    <col min="1" max="1" width="16.140625" customWidth="1"/>
    <col min="2" max="2" width="42.5703125" customWidth="1"/>
    <col min="3" max="3" width="38.7109375" bestFit="1" customWidth="1"/>
    <col min="10" max="10" width="8.85546875" customWidth="1"/>
  </cols>
  <sheetData>
    <row r="1" spans="1:8" ht="22.5" x14ac:dyDescent="0.3">
      <c r="A1" s="26" t="s">
        <v>290</v>
      </c>
      <c r="B1" s="27"/>
      <c r="C1" s="27"/>
      <c r="D1" s="27"/>
      <c r="E1" s="27"/>
      <c r="F1" s="27"/>
      <c r="G1" s="27"/>
      <c r="H1" s="27"/>
    </row>
    <row r="2" spans="1:8" ht="15.75" x14ac:dyDescent="0.25">
      <c r="A2" s="54" t="s">
        <v>289</v>
      </c>
      <c r="B2" s="27"/>
      <c r="C2" s="27"/>
      <c r="D2" s="27"/>
      <c r="E2" s="27"/>
      <c r="F2" s="27"/>
      <c r="G2" s="27"/>
      <c r="H2" s="27"/>
    </row>
    <row r="3" spans="1:8" ht="16.5" thickBot="1" x14ac:dyDescent="0.3">
      <c r="A3" s="54"/>
      <c r="B3" s="27"/>
      <c r="C3" s="27"/>
      <c r="D3" s="27"/>
      <c r="E3" s="27"/>
      <c r="F3" s="27"/>
      <c r="G3" s="27"/>
      <c r="H3" s="27"/>
    </row>
    <row r="4" spans="1:8" ht="16.5" thickBot="1" x14ac:dyDescent="0.3">
      <c r="A4" s="54"/>
      <c r="B4" s="144" t="s">
        <v>288</v>
      </c>
      <c r="C4" s="143" t="s">
        <v>287</v>
      </c>
      <c r="D4" s="27"/>
      <c r="E4" s="27"/>
      <c r="F4" s="27"/>
      <c r="G4" s="27"/>
      <c r="H4" s="27"/>
    </row>
    <row r="5" spans="1:8" ht="16.5" thickBot="1" x14ac:dyDescent="0.3">
      <c r="A5" s="54"/>
      <c r="B5" s="142" t="s">
        <v>286</v>
      </c>
      <c r="C5" s="147" t="s">
        <v>285</v>
      </c>
      <c r="D5" s="27"/>
      <c r="E5" s="27"/>
      <c r="F5" s="27"/>
      <c r="G5" s="27"/>
      <c r="H5" s="27"/>
    </row>
    <row r="6" spans="1:8" ht="15.75" x14ac:dyDescent="0.25">
      <c r="A6" s="54"/>
      <c r="B6" s="146" t="s">
        <v>284</v>
      </c>
      <c r="C6" s="145" t="s">
        <v>283</v>
      </c>
      <c r="D6" s="27"/>
      <c r="E6" s="27"/>
      <c r="F6" s="27"/>
      <c r="G6" s="27"/>
      <c r="H6" s="27"/>
    </row>
    <row r="7" spans="1:8" ht="15.75" x14ac:dyDescent="0.25">
      <c r="A7" s="54"/>
      <c r="B7" s="146"/>
      <c r="C7" s="145" t="s">
        <v>282</v>
      </c>
      <c r="D7" s="27"/>
      <c r="E7" s="27"/>
      <c r="F7" s="27"/>
      <c r="G7" s="27"/>
      <c r="H7" s="27"/>
    </row>
    <row r="8" spans="1:8" ht="16.5" thickBot="1" x14ac:dyDescent="0.3">
      <c r="A8" s="54"/>
      <c r="B8" s="146"/>
      <c r="C8" s="145" t="s">
        <v>281</v>
      </c>
      <c r="D8" s="27"/>
      <c r="E8" s="27"/>
      <c r="F8" s="27"/>
      <c r="G8" s="27"/>
      <c r="H8" s="27"/>
    </row>
    <row r="9" spans="1:8" ht="16.5" thickBot="1" x14ac:dyDescent="0.3">
      <c r="A9" s="54"/>
      <c r="B9" s="144" t="s">
        <v>280</v>
      </c>
      <c r="C9" s="143" t="s">
        <v>279</v>
      </c>
      <c r="D9" s="27"/>
      <c r="E9" s="27"/>
      <c r="F9" s="27"/>
      <c r="G9" s="27"/>
      <c r="H9" s="27"/>
    </row>
    <row r="10" spans="1:8" ht="16.5" thickBot="1" x14ac:dyDescent="0.3">
      <c r="A10" s="54"/>
      <c r="B10" s="142" t="s">
        <v>278</v>
      </c>
      <c r="C10" s="141">
        <v>5.2999999999999999E-2</v>
      </c>
      <c r="D10" s="27"/>
      <c r="E10" s="140"/>
      <c r="F10" s="27"/>
      <c r="G10" s="27"/>
      <c r="H10" s="27"/>
    </row>
    <row r="11" spans="1:8" ht="15.75" x14ac:dyDescent="0.25">
      <c r="A11" s="54"/>
      <c r="B11" s="27"/>
      <c r="C11" s="27"/>
      <c r="D11" s="27"/>
      <c r="E11" s="27"/>
      <c r="F11" s="27"/>
      <c r="G11" s="27"/>
      <c r="H11" s="27"/>
    </row>
    <row r="12" spans="1:8" ht="15.75" x14ac:dyDescent="0.25">
      <c r="A12" s="54" t="s">
        <v>277</v>
      </c>
      <c r="B12" s="27"/>
      <c r="C12" s="27"/>
      <c r="D12" s="27"/>
      <c r="E12" s="27"/>
      <c r="F12" s="27"/>
      <c r="G12" s="27"/>
      <c r="H12" s="27"/>
    </row>
    <row r="13" spans="1:8" ht="15.75" x14ac:dyDescent="0.25">
      <c r="A13" s="54"/>
      <c r="B13" s="27"/>
      <c r="C13" s="27"/>
      <c r="D13" s="27"/>
      <c r="E13" s="27"/>
      <c r="F13" s="27"/>
      <c r="G13" s="27"/>
      <c r="H13" s="27"/>
    </row>
    <row r="14" spans="1:8" ht="15.75" x14ac:dyDescent="0.25">
      <c r="A14" s="34" t="s">
        <v>276</v>
      </c>
      <c r="B14" s="27"/>
      <c r="C14" s="27"/>
      <c r="D14" s="27"/>
      <c r="E14" s="27"/>
      <c r="F14" s="27"/>
      <c r="G14" s="27"/>
      <c r="H14" s="27"/>
    </row>
    <row r="15" spans="1:8" ht="15.75" x14ac:dyDescent="0.25">
      <c r="A15" s="28" t="s">
        <v>145</v>
      </c>
      <c r="B15" s="27"/>
      <c r="C15" s="27"/>
      <c r="D15" s="27"/>
      <c r="E15" s="27"/>
      <c r="F15" s="27"/>
      <c r="G15" s="27"/>
      <c r="H15" s="27"/>
    </row>
    <row r="26" spans="1:8" ht="15.75" x14ac:dyDescent="0.25">
      <c r="A26" s="34" t="s">
        <v>275</v>
      </c>
      <c r="B26" s="27"/>
      <c r="C26" s="27"/>
      <c r="D26" s="27"/>
      <c r="E26" s="27"/>
      <c r="F26" s="27"/>
      <c r="G26" s="27"/>
      <c r="H26" s="27"/>
    </row>
    <row r="27" spans="1:8" ht="15.75" x14ac:dyDescent="0.25">
      <c r="A27" s="28" t="s">
        <v>145</v>
      </c>
      <c r="B27" s="27"/>
      <c r="C27" s="27"/>
      <c r="D27" s="27"/>
      <c r="E27" s="27"/>
      <c r="F27" s="27"/>
      <c r="G27" s="27"/>
      <c r="H27" s="27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74F2-121B-4EEC-B80C-2D7601F56FAC}">
  <dimension ref="A1:Q251"/>
  <sheetViews>
    <sheetView zoomScale="75" zoomScaleNormal="75" workbookViewId="0"/>
  </sheetViews>
  <sheetFormatPr defaultColWidth="8.7109375" defaultRowHeight="15" x14ac:dyDescent="0.25"/>
  <cols>
    <col min="1" max="1" width="23.5703125" bestFit="1" customWidth="1"/>
    <col min="2" max="2" width="12" bestFit="1" customWidth="1"/>
    <col min="3" max="4" width="5.42578125" bestFit="1" customWidth="1"/>
    <col min="5" max="5" width="13.140625" bestFit="1" customWidth="1"/>
    <col min="6" max="6" width="5.42578125" bestFit="1" customWidth="1"/>
    <col min="7" max="9" width="13.140625" bestFit="1" customWidth="1"/>
    <col min="10" max="10" width="10.28515625" bestFit="1" customWidth="1"/>
    <col min="11" max="11" width="8.28515625" bestFit="1" customWidth="1"/>
    <col min="12" max="13" width="10.28515625" bestFit="1" customWidth="1"/>
    <col min="14" max="14" width="13.140625" bestFit="1" customWidth="1"/>
    <col min="15" max="15" width="15.28515625" bestFit="1" customWidth="1"/>
    <col min="16" max="16" width="13.140625" bestFit="1" customWidth="1"/>
    <col min="17" max="17" width="15.140625" bestFit="1" customWidth="1"/>
  </cols>
  <sheetData>
    <row r="1" spans="1:17" x14ac:dyDescent="0.25">
      <c r="A1" t="s">
        <v>315</v>
      </c>
      <c r="B1" s="156">
        <v>5.2999999999999999E-2</v>
      </c>
      <c r="F1" s="155"/>
      <c r="O1" s="149"/>
    </row>
    <row r="2" spans="1:17" x14ac:dyDescent="0.25">
      <c r="A2" t="s">
        <v>314</v>
      </c>
      <c r="B2" s="149">
        <f>O10-J10</f>
        <v>24292.726901684509</v>
      </c>
      <c r="O2" s="149"/>
    </row>
    <row r="3" spans="1:17" x14ac:dyDescent="0.25">
      <c r="A3" t="s">
        <v>313</v>
      </c>
      <c r="K3" s="149"/>
      <c r="L3" s="149"/>
      <c r="O3" s="149"/>
    </row>
    <row r="4" spans="1:17" x14ac:dyDescent="0.25">
      <c r="A4" t="s">
        <v>312</v>
      </c>
      <c r="H4" s="149"/>
      <c r="I4" s="149"/>
      <c r="J4" s="149"/>
      <c r="K4" s="154"/>
      <c r="L4" s="154"/>
      <c r="M4" s="154"/>
      <c r="O4" s="149"/>
      <c r="Q4" s="149"/>
    </row>
    <row r="5" spans="1:17" x14ac:dyDescent="0.25">
      <c r="A5" t="s">
        <v>311</v>
      </c>
      <c r="J5" s="149"/>
      <c r="K5" s="154"/>
      <c r="L5" s="148"/>
      <c r="O5" s="149"/>
      <c r="Q5" s="149"/>
    </row>
    <row r="6" spans="1:17" x14ac:dyDescent="0.25">
      <c r="A6" t="s">
        <v>310</v>
      </c>
      <c r="B6" s="153">
        <f>B2*100</f>
        <v>2429272.6901684511</v>
      </c>
      <c r="H6" s="148"/>
      <c r="J6" s="151"/>
      <c r="K6" s="151"/>
      <c r="L6" s="148"/>
      <c r="O6" s="151"/>
      <c r="Q6" s="151"/>
    </row>
    <row r="7" spans="1:17" x14ac:dyDescent="0.25">
      <c r="A7" t="s">
        <v>309</v>
      </c>
      <c r="B7" s="153">
        <f>(Q10-K10)*100</f>
        <v>65529.259205759896</v>
      </c>
      <c r="J7" s="151"/>
      <c r="K7" s="151"/>
      <c r="O7" s="151"/>
      <c r="Q7" s="151"/>
    </row>
    <row r="8" spans="1:17" x14ac:dyDescent="0.25">
      <c r="B8" s="153"/>
      <c r="J8" s="151"/>
      <c r="K8" s="151"/>
      <c r="O8" s="151"/>
      <c r="Q8" s="151"/>
    </row>
    <row r="9" spans="1:17" x14ac:dyDescent="0.25">
      <c r="B9" s="327" t="s">
        <v>308</v>
      </c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</row>
    <row r="10" spans="1:17" x14ac:dyDescent="0.25">
      <c r="J10" s="151">
        <f>SUM(J12:J252)</f>
        <v>133923.12199032944</v>
      </c>
      <c r="K10" s="151">
        <f>SUM(K12:K252)</f>
        <v>5721.6259828864759</v>
      </c>
      <c r="L10" s="327" t="s">
        <v>307</v>
      </c>
      <c r="M10" s="327"/>
      <c r="N10" s="327"/>
      <c r="O10" s="151">
        <f>SUM(O12:O252)</f>
        <v>158215.84889201395</v>
      </c>
      <c r="Q10" s="152">
        <f>SUM(Q12:Q252)</f>
        <v>6376.9185749440749</v>
      </c>
    </row>
    <row r="11" spans="1:17" x14ac:dyDescent="0.25">
      <c r="A11" t="s">
        <v>306</v>
      </c>
      <c r="B11" t="s">
        <v>178</v>
      </c>
      <c r="C11" t="s">
        <v>305</v>
      </c>
      <c r="D11" t="s">
        <v>304</v>
      </c>
      <c r="E11" t="s">
        <v>303</v>
      </c>
      <c r="F11" t="s">
        <v>302</v>
      </c>
      <c r="G11" t="s">
        <v>301</v>
      </c>
      <c r="H11" t="s">
        <v>300</v>
      </c>
      <c r="I11" t="s">
        <v>299</v>
      </c>
      <c r="J11" s="151" t="s">
        <v>298</v>
      </c>
      <c r="K11" s="151" t="s">
        <v>297</v>
      </c>
      <c r="L11" t="s">
        <v>296</v>
      </c>
      <c r="M11" t="s">
        <v>295</v>
      </c>
      <c r="N11" t="s">
        <v>294</v>
      </c>
      <c r="O11" s="151" t="s">
        <v>293</v>
      </c>
      <c r="P11" s="151" t="s">
        <v>292</v>
      </c>
      <c r="Q11" s="151" t="s">
        <v>291</v>
      </c>
    </row>
    <row r="12" spans="1:17" x14ac:dyDescent="0.25">
      <c r="A12">
        <v>1</v>
      </c>
      <c r="B12" s="150">
        <f>45+1/12</f>
        <v>45.083333333333336</v>
      </c>
      <c r="C12">
        <v>0.01</v>
      </c>
      <c r="D12">
        <f t="shared" ref="D12:D75" si="0">1-C12</f>
        <v>0.99</v>
      </c>
      <c r="E12">
        <f>D12</f>
        <v>0.99</v>
      </c>
      <c r="F12">
        <v>2000</v>
      </c>
      <c r="G12">
        <f>75*1.002</f>
        <v>75.150000000000006</v>
      </c>
      <c r="H12">
        <f t="shared" ref="H12:H75" si="1">1/(1+$B$1)^(1/12)</f>
        <v>0.99570564446549459</v>
      </c>
      <c r="I12">
        <f>H12</f>
        <v>0.99570564446549459</v>
      </c>
      <c r="J12" s="149">
        <f t="shared" ref="J12:J75" si="2">F12*E12*I12</f>
        <v>1971.4971760416793</v>
      </c>
      <c r="K12" s="149">
        <f t="shared" ref="K12:K75" si="3">G12*E12*I12</f>
        <v>74.079006389766093</v>
      </c>
      <c r="L12">
        <f t="shared" ref="L12:L75" si="4">C12*0.75</f>
        <v>7.4999999999999997E-3</v>
      </c>
      <c r="M12">
        <f t="shared" ref="M12:M75" si="5">1-L12</f>
        <v>0.99250000000000005</v>
      </c>
      <c r="N12">
        <f>M12</f>
        <v>0.99250000000000005</v>
      </c>
      <c r="O12" s="149">
        <f t="shared" ref="O12:O75" si="6">F12*N12*I12</f>
        <v>1976.4757042640067</v>
      </c>
      <c r="P12" s="131">
        <f t="shared" ref="P12:P23" si="7">G12*1.2</f>
        <v>90.18</v>
      </c>
      <c r="Q12" s="148">
        <f t="shared" ref="Q12:Q75" si="8">P12*E12*I12</f>
        <v>88.894807667719334</v>
      </c>
    </row>
    <row r="13" spans="1:17" x14ac:dyDescent="0.25">
      <c r="A13">
        <f t="shared" ref="A13:A76" si="9">A12+1</f>
        <v>2</v>
      </c>
      <c r="B13" s="150">
        <f t="shared" ref="B13:B76" si="10">B12+1/12</f>
        <v>45.166666666666671</v>
      </c>
      <c r="C13">
        <v>0.01</v>
      </c>
      <c r="D13">
        <f t="shared" si="0"/>
        <v>0.99</v>
      </c>
      <c r="E13">
        <f t="shared" ref="E13:E76" si="11">E12*D13</f>
        <v>0.98009999999999997</v>
      </c>
      <c r="F13">
        <v>2000</v>
      </c>
      <c r="G13">
        <f t="shared" ref="G13:G76" si="12">G12*1.002</f>
        <v>75.300300000000007</v>
      </c>
      <c r="H13">
        <f t="shared" si="1"/>
        <v>0.99570564446549459</v>
      </c>
      <c r="I13">
        <f t="shared" ref="I13:I76" si="13">H13*I12</f>
        <v>0.99142973042044591</v>
      </c>
      <c r="J13" s="149">
        <f t="shared" si="2"/>
        <v>1943.4005575701581</v>
      </c>
      <c r="K13" s="149">
        <f t="shared" si="3"/>
        <v>73.169322502600096</v>
      </c>
      <c r="L13">
        <f t="shared" si="4"/>
        <v>7.4999999999999997E-3</v>
      </c>
      <c r="M13">
        <f t="shared" si="5"/>
        <v>0.99250000000000005</v>
      </c>
      <c r="N13">
        <f t="shared" ref="N13:N76" si="14">M13*N12</f>
        <v>0.98505625000000008</v>
      </c>
      <c r="O13" s="149">
        <f t="shared" si="6"/>
        <v>1953.2281047729509</v>
      </c>
      <c r="P13" s="131">
        <f t="shared" si="7"/>
        <v>90.36036</v>
      </c>
      <c r="Q13" s="148">
        <f t="shared" si="8"/>
        <v>87.803187003120115</v>
      </c>
    </row>
    <row r="14" spans="1:17" x14ac:dyDescent="0.25">
      <c r="A14">
        <f t="shared" si="9"/>
        <v>3</v>
      </c>
      <c r="B14" s="150">
        <f t="shared" si="10"/>
        <v>45.250000000000007</v>
      </c>
      <c r="C14">
        <v>0.01</v>
      </c>
      <c r="D14">
        <f t="shared" si="0"/>
        <v>0.99</v>
      </c>
      <c r="E14">
        <f t="shared" si="11"/>
        <v>0.97029899999999991</v>
      </c>
      <c r="F14">
        <v>2000</v>
      </c>
      <c r="G14">
        <f t="shared" si="12"/>
        <v>75.450900600000011</v>
      </c>
      <c r="H14">
        <f t="shared" si="1"/>
        <v>0.99570564446549459</v>
      </c>
      <c r="I14">
        <f t="shared" si="13"/>
        <v>0.98717217867054163</v>
      </c>
      <c r="J14" s="149">
        <f t="shared" si="2"/>
        <v>1915.7043555836956</v>
      </c>
      <c r="K14" s="149">
        <f t="shared" si="3"/>
        <v>72.270809456066246</v>
      </c>
      <c r="L14">
        <f t="shared" si="4"/>
        <v>7.4999999999999997E-3</v>
      </c>
      <c r="M14">
        <f t="shared" si="5"/>
        <v>0.99250000000000005</v>
      </c>
      <c r="N14">
        <f t="shared" si="14"/>
        <v>0.97766832812500015</v>
      </c>
      <c r="O14" s="149">
        <f t="shared" si="6"/>
        <v>1930.2539469846847</v>
      </c>
      <c r="P14" s="131">
        <f t="shared" si="7"/>
        <v>90.541080720000011</v>
      </c>
      <c r="Q14" s="148">
        <f t="shared" si="8"/>
        <v>86.724971347279492</v>
      </c>
    </row>
    <row r="15" spans="1:17" x14ac:dyDescent="0.25">
      <c r="A15">
        <f t="shared" si="9"/>
        <v>4</v>
      </c>
      <c r="B15" s="150">
        <f t="shared" si="10"/>
        <v>45.333333333333343</v>
      </c>
      <c r="C15">
        <v>0.01</v>
      </c>
      <c r="D15">
        <f t="shared" si="0"/>
        <v>0.99</v>
      </c>
      <c r="E15">
        <f t="shared" si="11"/>
        <v>0.96059600999999994</v>
      </c>
      <c r="F15">
        <v>2000</v>
      </c>
      <c r="G15">
        <f t="shared" si="12"/>
        <v>75.601802401200018</v>
      </c>
      <c r="H15">
        <f t="shared" si="1"/>
        <v>0.99570564446549459</v>
      </c>
      <c r="I15">
        <f t="shared" si="13"/>
        <v>0.98293291036155805</v>
      </c>
      <c r="J15" s="149">
        <f t="shared" si="2"/>
        <v>1888.4028635820007</v>
      </c>
      <c r="K15" s="149">
        <f t="shared" si="3"/>
        <v>71.383330073193349</v>
      </c>
      <c r="L15">
        <f t="shared" si="4"/>
        <v>7.4999999999999997E-3</v>
      </c>
      <c r="M15">
        <f t="shared" si="5"/>
        <v>0.99250000000000005</v>
      </c>
      <c r="N15">
        <f t="shared" si="14"/>
        <v>0.97033581566406268</v>
      </c>
      <c r="O15" s="149">
        <f t="shared" si="6"/>
        <v>1907.5500146374668</v>
      </c>
      <c r="P15" s="131">
        <f t="shared" si="7"/>
        <v>90.722162881440013</v>
      </c>
      <c r="Q15" s="148">
        <f t="shared" si="8"/>
        <v>85.659996087831999</v>
      </c>
    </row>
    <row r="16" spans="1:17" x14ac:dyDescent="0.25">
      <c r="A16">
        <f t="shared" si="9"/>
        <v>5</v>
      </c>
      <c r="B16" s="150">
        <f t="shared" si="10"/>
        <v>45.416666666666679</v>
      </c>
      <c r="C16">
        <v>0.01</v>
      </c>
      <c r="D16">
        <f t="shared" si="0"/>
        <v>0.99</v>
      </c>
      <c r="E16">
        <f t="shared" si="11"/>
        <v>0.95099004989999991</v>
      </c>
      <c r="F16">
        <v>2000</v>
      </c>
      <c r="G16">
        <f t="shared" si="12"/>
        <v>75.753006006002423</v>
      </c>
      <c r="H16">
        <f t="shared" si="1"/>
        <v>0.99570564446549459</v>
      </c>
      <c r="I16">
        <f t="shared" si="13"/>
        <v>0.97871184697789937</v>
      </c>
      <c r="J16" s="149">
        <f t="shared" si="2"/>
        <v>1861.4904563904672</v>
      </c>
      <c r="K16" s="149">
        <f t="shared" si="3"/>
        <v>70.506748861531634</v>
      </c>
      <c r="L16">
        <f t="shared" si="4"/>
        <v>7.4999999999999997E-3</v>
      </c>
      <c r="M16">
        <f t="shared" si="5"/>
        <v>0.99250000000000005</v>
      </c>
      <c r="N16">
        <f t="shared" si="14"/>
        <v>0.9630582970465823</v>
      </c>
      <c r="O16" s="149">
        <f t="shared" si="6"/>
        <v>1885.113129299702</v>
      </c>
      <c r="P16" s="131">
        <f t="shared" si="7"/>
        <v>90.90360720720291</v>
      </c>
      <c r="Q16" s="148">
        <f t="shared" si="8"/>
        <v>84.608098633837955</v>
      </c>
    </row>
    <row r="17" spans="1:17" x14ac:dyDescent="0.25">
      <c r="A17">
        <f t="shared" si="9"/>
        <v>6</v>
      </c>
      <c r="B17" s="150">
        <f t="shared" si="10"/>
        <v>45.500000000000014</v>
      </c>
      <c r="C17">
        <v>0.01</v>
      </c>
      <c r="D17">
        <f t="shared" si="0"/>
        <v>0.99</v>
      </c>
      <c r="E17">
        <f t="shared" si="11"/>
        <v>0.94148014940099989</v>
      </c>
      <c r="F17">
        <v>2000</v>
      </c>
      <c r="G17">
        <f t="shared" si="12"/>
        <v>75.904512018014429</v>
      </c>
      <c r="H17">
        <f t="shared" si="1"/>
        <v>0.99570564446549459</v>
      </c>
      <c r="I17">
        <f t="shared" si="13"/>
        <v>0.97450891034114384</v>
      </c>
      <c r="J17" s="149">
        <f t="shared" si="2"/>
        <v>1834.9615890011712</v>
      </c>
      <c r="K17" s="149">
        <f t="shared" si="3"/>
        <v>69.640931992467145</v>
      </c>
      <c r="L17">
        <f t="shared" si="4"/>
        <v>7.4999999999999997E-3</v>
      </c>
      <c r="M17">
        <f t="shared" si="5"/>
        <v>0.99250000000000005</v>
      </c>
      <c r="N17">
        <f t="shared" si="14"/>
        <v>0.95583535981873302</v>
      </c>
      <c r="O17" s="149">
        <f t="shared" si="6"/>
        <v>1862.9401499249773</v>
      </c>
      <c r="P17" s="131">
        <f t="shared" si="7"/>
        <v>91.085414421617315</v>
      </c>
      <c r="Q17" s="148">
        <f t="shared" si="8"/>
        <v>83.569118390960554</v>
      </c>
    </row>
    <row r="18" spans="1:17" x14ac:dyDescent="0.25">
      <c r="A18">
        <f t="shared" si="9"/>
        <v>7</v>
      </c>
      <c r="B18" s="150">
        <f t="shared" si="10"/>
        <v>45.58333333333335</v>
      </c>
      <c r="C18">
        <v>0.01</v>
      </c>
      <c r="D18">
        <f t="shared" si="0"/>
        <v>0.99</v>
      </c>
      <c r="E18">
        <f t="shared" si="11"/>
        <v>0.93206534790698992</v>
      </c>
      <c r="F18">
        <v>2000</v>
      </c>
      <c r="G18">
        <f t="shared" si="12"/>
        <v>76.056321042050456</v>
      </c>
      <c r="H18">
        <f t="shared" si="1"/>
        <v>0.99570564446549459</v>
      </c>
      <c r="I18">
        <f t="shared" si="13"/>
        <v>0.97032402260859552</v>
      </c>
      <c r="J18" s="149">
        <f t="shared" si="2"/>
        <v>1808.8107954303812</v>
      </c>
      <c r="K18" s="149">
        <f t="shared" si="3"/>
        <v>68.785747280789849</v>
      </c>
      <c r="L18">
        <f t="shared" si="4"/>
        <v>7.4999999999999997E-3</v>
      </c>
      <c r="M18">
        <f t="shared" si="5"/>
        <v>0.99250000000000005</v>
      </c>
      <c r="N18">
        <f t="shared" si="14"/>
        <v>0.94866659462009262</v>
      </c>
      <c r="O18" s="149">
        <f t="shared" si="6"/>
        <v>1841.027972412332</v>
      </c>
      <c r="P18" s="131">
        <f t="shared" si="7"/>
        <v>91.267585250460542</v>
      </c>
      <c r="Q18" s="148">
        <f t="shared" si="8"/>
        <v>82.542896736947824</v>
      </c>
    </row>
    <row r="19" spans="1:17" x14ac:dyDescent="0.25">
      <c r="A19">
        <f t="shared" si="9"/>
        <v>8</v>
      </c>
      <c r="B19" s="150">
        <f t="shared" si="10"/>
        <v>45.666666666666686</v>
      </c>
      <c r="C19">
        <v>0.01</v>
      </c>
      <c r="D19">
        <f t="shared" si="0"/>
        <v>0.99</v>
      </c>
      <c r="E19">
        <f t="shared" si="11"/>
        <v>0.92274469442791995</v>
      </c>
      <c r="F19">
        <v>2000</v>
      </c>
      <c r="G19">
        <f t="shared" si="12"/>
        <v>76.208433684134562</v>
      </c>
      <c r="H19">
        <f t="shared" si="1"/>
        <v>0.99570564446549459</v>
      </c>
      <c r="I19">
        <f t="shared" si="13"/>
        <v>0.9661571062718427</v>
      </c>
      <c r="J19" s="149">
        <f t="shared" si="2"/>
        <v>1783.0326875923497</v>
      </c>
      <c r="K19" s="149">
        <f t="shared" si="3"/>
        <v>67.941064164512909</v>
      </c>
      <c r="L19">
        <f t="shared" si="4"/>
        <v>7.4999999999999997E-3</v>
      </c>
      <c r="M19">
        <f t="shared" si="5"/>
        <v>0.99250000000000005</v>
      </c>
      <c r="N19">
        <f t="shared" si="14"/>
        <v>0.94155159516044196</v>
      </c>
      <c r="O19" s="149">
        <f t="shared" si="6"/>
        <v>1819.3735291717003</v>
      </c>
      <c r="P19" s="131">
        <f t="shared" si="7"/>
        <v>91.450120420961468</v>
      </c>
      <c r="Q19" s="148">
        <f t="shared" si="8"/>
        <v>81.529276997415479</v>
      </c>
    </row>
    <row r="20" spans="1:17" x14ac:dyDescent="0.25">
      <c r="A20">
        <f t="shared" si="9"/>
        <v>9</v>
      </c>
      <c r="B20" s="150">
        <f t="shared" si="10"/>
        <v>45.750000000000021</v>
      </c>
      <c r="C20">
        <v>0.01</v>
      </c>
      <c r="D20">
        <f t="shared" si="0"/>
        <v>0.99</v>
      </c>
      <c r="E20">
        <f t="shared" si="11"/>
        <v>0.91351724748364072</v>
      </c>
      <c r="F20">
        <v>2000</v>
      </c>
      <c r="G20">
        <f t="shared" si="12"/>
        <v>76.360850551502836</v>
      </c>
      <c r="H20">
        <f t="shared" si="1"/>
        <v>0.99570564446549459</v>
      </c>
      <c r="I20">
        <f t="shared" si="13"/>
        <v>0.96200808415532246</v>
      </c>
      <c r="J20" s="149">
        <f t="shared" si="2"/>
        <v>1757.6219541891617</v>
      </c>
      <c r="K20" s="149">
        <f t="shared" si="3"/>
        <v>67.106753684939463</v>
      </c>
      <c r="L20">
        <f t="shared" si="4"/>
        <v>7.4999999999999997E-3</v>
      </c>
      <c r="M20">
        <f t="shared" si="5"/>
        <v>0.99250000000000005</v>
      </c>
      <c r="N20">
        <f t="shared" si="14"/>
        <v>0.93448995819673863</v>
      </c>
      <c r="O20" s="149">
        <f t="shared" si="6"/>
        <v>1797.9737886944638</v>
      </c>
      <c r="P20" s="131">
        <f t="shared" si="7"/>
        <v>91.6330206618034</v>
      </c>
      <c r="Q20" s="148">
        <f t="shared" si="8"/>
        <v>80.528104421927353</v>
      </c>
    </row>
    <row r="21" spans="1:17" x14ac:dyDescent="0.25">
      <c r="A21">
        <f t="shared" si="9"/>
        <v>10</v>
      </c>
      <c r="B21" s="150">
        <f t="shared" si="10"/>
        <v>45.833333333333357</v>
      </c>
      <c r="C21">
        <v>0.01</v>
      </c>
      <c r="D21">
        <f t="shared" si="0"/>
        <v>0.99</v>
      </c>
      <c r="E21">
        <f t="shared" si="11"/>
        <v>0.9043820750088043</v>
      </c>
      <c r="F21">
        <v>2000</v>
      </c>
      <c r="G21">
        <f t="shared" si="12"/>
        <v>76.51357225260584</v>
      </c>
      <c r="H21">
        <f t="shared" si="1"/>
        <v>0.99570564446549459</v>
      </c>
      <c r="I21">
        <f t="shared" si="13"/>
        <v>0.95787687941489108</v>
      </c>
      <c r="J21" s="149">
        <f t="shared" si="2"/>
        <v>1732.573359616395</v>
      </c>
      <c r="K21" s="149">
        <f t="shared" si="3"/>
        <v>66.282688466974534</v>
      </c>
      <c r="L21">
        <f t="shared" si="4"/>
        <v>7.4999999999999997E-3</v>
      </c>
      <c r="M21">
        <f t="shared" si="5"/>
        <v>0.99250000000000005</v>
      </c>
      <c r="N21">
        <f t="shared" si="14"/>
        <v>0.92748128351026315</v>
      </c>
      <c r="O21" s="149">
        <f t="shared" si="6"/>
        <v>1776.8257551290576</v>
      </c>
      <c r="P21" s="131">
        <f t="shared" si="7"/>
        <v>91.816286703127005</v>
      </c>
      <c r="Q21" s="148">
        <f t="shared" si="8"/>
        <v>79.539226160369438</v>
      </c>
    </row>
    <row r="22" spans="1:17" x14ac:dyDescent="0.25">
      <c r="A22">
        <f t="shared" si="9"/>
        <v>11</v>
      </c>
      <c r="B22" s="150">
        <f t="shared" si="10"/>
        <v>45.916666666666693</v>
      </c>
      <c r="C22">
        <v>0.01</v>
      </c>
      <c r="D22">
        <f t="shared" si="0"/>
        <v>0.99</v>
      </c>
      <c r="E22">
        <f t="shared" si="11"/>
        <v>0.89533825425871627</v>
      </c>
      <c r="F22">
        <v>2000</v>
      </c>
      <c r="G22">
        <f t="shared" si="12"/>
        <v>76.666599397111057</v>
      </c>
      <c r="H22">
        <f t="shared" si="1"/>
        <v>0.99570564446549459</v>
      </c>
      <c r="I22">
        <f t="shared" si="13"/>
        <v>0.95376341553640098</v>
      </c>
      <c r="J22" s="149">
        <f t="shared" si="2"/>
        <v>1707.8817428843836</v>
      </c>
      <c r="K22" s="149">
        <f t="shared" si="3"/>
        <v>65.468742699678444</v>
      </c>
      <c r="L22">
        <f t="shared" si="4"/>
        <v>7.4999999999999997E-3</v>
      </c>
      <c r="M22">
        <f t="shared" si="5"/>
        <v>0.99250000000000005</v>
      </c>
      <c r="N22">
        <f t="shared" si="14"/>
        <v>0.92052517388393618</v>
      </c>
      <c r="O22" s="149">
        <f t="shared" si="6"/>
        <v>1755.9264678615648</v>
      </c>
      <c r="P22" s="131">
        <f t="shared" si="7"/>
        <v>91.999919276533262</v>
      </c>
      <c r="Q22" s="148">
        <f t="shared" si="8"/>
        <v>78.562491239614118</v>
      </c>
    </row>
    <row r="23" spans="1:17" x14ac:dyDescent="0.25">
      <c r="A23">
        <f t="shared" si="9"/>
        <v>12</v>
      </c>
      <c r="B23" s="150">
        <f t="shared" si="10"/>
        <v>46.000000000000028</v>
      </c>
      <c r="C23">
        <v>0.01</v>
      </c>
      <c r="D23">
        <f t="shared" si="0"/>
        <v>0.99</v>
      </c>
      <c r="E23">
        <f t="shared" si="11"/>
        <v>0.88638487171612912</v>
      </c>
      <c r="F23">
        <v>2000</v>
      </c>
      <c r="G23">
        <f t="shared" si="12"/>
        <v>76.819932595905286</v>
      </c>
      <c r="H23">
        <f t="shared" si="1"/>
        <v>0.99570564446549459</v>
      </c>
      <c r="I23">
        <f t="shared" si="13"/>
        <v>0.94966761633428343</v>
      </c>
      <c r="J23" s="149">
        <f t="shared" si="2"/>
        <v>1683.5420165548519</v>
      </c>
      <c r="K23" s="149">
        <f t="shared" si="3"/>
        <v>64.664792117059093</v>
      </c>
      <c r="L23">
        <f t="shared" si="4"/>
        <v>7.4999999999999997E-3</v>
      </c>
      <c r="M23">
        <f t="shared" si="5"/>
        <v>0.99250000000000005</v>
      </c>
      <c r="N23">
        <f t="shared" si="14"/>
        <v>0.91362123507980675</v>
      </c>
      <c r="O23" s="149">
        <f t="shared" si="6"/>
        <v>1735.2730011012482</v>
      </c>
      <c r="P23" s="131">
        <f t="shared" si="7"/>
        <v>92.18391911508634</v>
      </c>
      <c r="Q23" s="148">
        <f t="shared" si="8"/>
        <v>77.597750540470912</v>
      </c>
    </row>
    <row r="24" spans="1:17" x14ac:dyDescent="0.25">
      <c r="A24">
        <f t="shared" si="9"/>
        <v>13</v>
      </c>
      <c r="B24" s="150">
        <f t="shared" si="10"/>
        <v>46.083333333333364</v>
      </c>
      <c r="C24">
        <v>0.01</v>
      </c>
      <c r="D24">
        <f t="shared" si="0"/>
        <v>0.99</v>
      </c>
      <c r="E24">
        <f t="shared" si="11"/>
        <v>0.87752102299896784</v>
      </c>
      <c r="F24">
        <v>2000</v>
      </c>
      <c r="G24">
        <f t="shared" si="12"/>
        <v>76.973572461097092</v>
      </c>
      <c r="H24">
        <f t="shared" si="1"/>
        <v>0.99570564446549459</v>
      </c>
      <c r="I24">
        <f t="shared" si="13"/>
        <v>0.94558940595013774</v>
      </c>
      <c r="J24" s="149">
        <f t="shared" si="2"/>
        <v>1659.5491656927024</v>
      </c>
      <c r="K24" s="149">
        <f t="shared" si="3"/>
        <v>63.870713979100216</v>
      </c>
      <c r="L24">
        <f t="shared" si="4"/>
        <v>7.4999999999999997E-3</v>
      </c>
      <c r="M24">
        <f t="shared" si="5"/>
        <v>0.99250000000000005</v>
      </c>
      <c r="N24">
        <f t="shared" si="14"/>
        <v>0.90676907581670829</v>
      </c>
      <c r="O24" s="149">
        <f t="shared" si="6"/>
        <v>1714.8624634709533</v>
      </c>
      <c r="P24" s="131">
        <f t="shared" ref="P24:P87" si="15">G24*1.1</f>
        <v>84.67092970720681</v>
      </c>
      <c r="Q24" s="148">
        <f t="shared" si="8"/>
        <v>70.257785377010265</v>
      </c>
    </row>
    <row r="25" spans="1:17" x14ac:dyDescent="0.25">
      <c r="A25">
        <f t="shared" si="9"/>
        <v>14</v>
      </c>
      <c r="B25" s="150">
        <f t="shared" si="10"/>
        <v>46.1666666666667</v>
      </c>
      <c r="C25">
        <v>0.01</v>
      </c>
      <c r="D25">
        <f t="shared" si="0"/>
        <v>0.99</v>
      </c>
      <c r="E25">
        <f t="shared" si="11"/>
        <v>0.86874581276897811</v>
      </c>
      <c r="F25">
        <v>2000</v>
      </c>
      <c r="G25">
        <f t="shared" si="12"/>
        <v>77.127519606019291</v>
      </c>
      <c r="H25">
        <f t="shared" si="1"/>
        <v>0.99570564446549459</v>
      </c>
      <c r="I25">
        <f t="shared" si="13"/>
        <v>0.94152870885132611</v>
      </c>
      <c r="J25" s="149">
        <f t="shared" si="2"/>
        <v>1635.8982468327438</v>
      </c>
      <c r="K25" s="149">
        <f t="shared" si="3"/>
        <v>63.08638705302252</v>
      </c>
      <c r="L25">
        <f t="shared" si="4"/>
        <v>7.4999999999999997E-3</v>
      </c>
      <c r="M25">
        <f t="shared" si="5"/>
        <v>0.99250000000000005</v>
      </c>
      <c r="N25">
        <f t="shared" si="14"/>
        <v>0.89996830774808301</v>
      </c>
      <c r="O25" s="149">
        <f t="shared" si="6"/>
        <v>1694.691997602331</v>
      </c>
      <c r="P25" s="131">
        <f t="shared" si="15"/>
        <v>84.840271566621226</v>
      </c>
      <c r="Q25" s="148">
        <f t="shared" si="8"/>
        <v>69.395025758324763</v>
      </c>
    </row>
    <row r="26" spans="1:17" x14ac:dyDescent="0.25">
      <c r="A26">
        <f t="shared" si="9"/>
        <v>15</v>
      </c>
      <c r="B26" s="150">
        <f t="shared" si="10"/>
        <v>46.250000000000036</v>
      </c>
      <c r="C26">
        <v>0.01</v>
      </c>
      <c r="D26">
        <f t="shared" si="0"/>
        <v>0.99</v>
      </c>
      <c r="E26">
        <f t="shared" si="11"/>
        <v>0.86005835464128833</v>
      </c>
      <c r="F26">
        <v>2000</v>
      </c>
      <c r="G26">
        <f t="shared" si="12"/>
        <v>77.281774645231323</v>
      </c>
      <c r="H26">
        <f t="shared" si="1"/>
        <v>0.99570564446549459</v>
      </c>
      <c r="I26">
        <f t="shared" si="13"/>
        <v>0.93748544982957471</v>
      </c>
      <c r="J26" s="149">
        <f t="shared" si="2"/>
        <v>1612.5843869611442</v>
      </c>
      <c r="K26" s="149">
        <f t="shared" si="3"/>
        <v>62.311691594774821</v>
      </c>
      <c r="L26">
        <f t="shared" si="4"/>
        <v>7.4999999999999997E-3</v>
      </c>
      <c r="M26">
        <f t="shared" si="5"/>
        <v>0.99250000000000005</v>
      </c>
      <c r="N26">
        <f t="shared" si="14"/>
        <v>0.89321854543997248</v>
      </c>
      <c r="O26" s="149">
        <f t="shared" si="6"/>
        <v>1674.7587797358219</v>
      </c>
      <c r="P26" s="131">
        <f t="shared" si="15"/>
        <v>85.009952109754465</v>
      </c>
      <c r="Q26" s="148">
        <f t="shared" si="8"/>
        <v>68.542860754252317</v>
      </c>
    </row>
    <row r="27" spans="1:17" x14ac:dyDescent="0.25">
      <c r="A27">
        <f t="shared" si="9"/>
        <v>16</v>
      </c>
      <c r="B27" s="150">
        <f t="shared" si="10"/>
        <v>46.333333333333371</v>
      </c>
      <c r="C27">
        <v>0.01</v>
      </c>
      <c r="D27">
        <f t="shared" si="0"/>
        <v>0.99</v>
      </c>
      <c r="E27">
        <f t="shared" si="11"/>
        <v>0.85145777109487542</v>
      </c>
      <c r="F27">
        <v>2000</v>
      </c>
      <c r="G27">
        <f t="shared" si="12"/>
        <v>77.436338194521781</v>
      </c>
      <c r="H27">
        <f t="shared" si="1"/>
        <v>0.99570564446549459</v>
      </c>
      <c r="I27">
        <f t="shared" si="13"/>
        <v>0.9334595539995808</v>
      </c>
      <c r="J27" s="149">
        <f t="shared" si="2"/>
        <v>1589.602782511399</v>
      </c>
      <c r="K27" s="149">
        <f t="shared" si="3"/>
        <v>61.546509330752777</v>
      </c>
      <c r="L27">
        <f t="shared" si="4"/>
        <v>7.4999999999999997E-3</v>
      </c>
      <c r="M27">
        <f t="shared" si="5"/>
        <v>0.99250000000000005</v>
      </c>
      <c r="N27">
        <f t="shared" si="14"/>
        <v>0.8865194063491727</v>
      </c>
      <c r="O27" s="149">
        <f t="shared" si="6"/>
        <v>1655.0600193253438</v>
      </c>
      <c r="P27" s="131">
        <f t="shared" si="15"/>
        <v>85.179972013973966</v>
      </c>
      <c r="Q27" s="148">
        <f t="shared" si="8"/>
        <v>67.701160263828058</v>
      </c>
    </row>
    <row r="28" spans="1:17" x14ac:dyDescent="0.25">
      <c r="A28">
        <f t="shared" si="9"/>
        <v>17</v>
      </c>
      <c r="B28" s="150">
        <f t="shared" si="10"/>
        <v>46.416666666666707</v>
      </c>
      <c r="C28">
        <v>0.01</v>
      </c>
      <c r="D28">
        <f t="shared" si="0"/>
        <v>0.99</v>
      </c>
      <c r="E28">
        <f t="shared" si="11"/>
        <v>0.84294319338392665</v>
      </c>
      <c r="F28">
        <v>2000</v>
      </c>
      <c r="G28">
        <f t="shared" si="12"/>
        <v>77.591210870910828</v>
      </c>
      <c r="H28">
        <f t="shared" si="1"/>
        <v>0.99570564446549459</v>
      </c>
      <c r="I28">
        <f t="shared" si="13"/>
        <v>0.92945094679762574</v>
      </c>
      <c r="J28" s="149">
        <f t="shared" si="2"/>
        <v>1566.9486983746094</v>
      </c>
      <c r="K28" s="149">
        <f t="shared" si="3"/>
        <v>60.790723439741782</v>
      </c>
      <c r="L28">
        <f t="shared" si="4"/>
        <v>7.4999999999999997E-3</v>
      </c>
      <c r="M28">
        <f t="shared" si="5"/>
        <v>0.99250000000000005</v>
      </c>
      <c r="N28">
        <f t="shared" si="14"/>
        <v>0.87987051080155398</v>
      </c>
      <c r="O28" s="149">
        <f t="shared" si="6"/>
        <v>1635.59295864763</v>
      </c>
      <c r="P28" s="131">
        <f t="shared" si="15"/>
        <v>85.350331958001917</v>
      </c>
      <c r="Q28" s="148">
        <f t="shared" si="8"/>
        <v>66.869795783715972</v>
      </c>
    </row>
    <row r="29" spans="1:17" x14ac:dyDescent="0.25">
      <c r="A29">
        <f t="shared" si="9"/>
        <v>18</v>
      </c>
      <c r="B29" s="150">
        <f t="shared" si="10"/>
        <v>46.500000000000043</v>
      </c>
      <c r="C29">
        <v>0.01</v>
      </c>
      <c r="D29">
        <f t="shared" si="0"/>
        <v>0.99</v>
      </c>
      <c r="E29">
        <f t="shared" si="11"/>
        <v>0.83451376145008738</v>
      </c>
      <c r="F29">
        <v>2000</v>
      </c>
      <c r="G29">
        <f t="shared" si="12"/>
        <v>77.746393292652655</v>
      </c>
      <c r="H29">
        <f t="shared" si="1"/>
        <v>0.99570564446549459</v>
      </c>
      <c r="I29">
        <f t="shared" si="13"/>
        <v>0.92545955398019408</v>
      </c>
      <c r="J29" s="149">
        <f t="shared" si="2"/>
        <v>1544.617466923864</v>
      </c>
      <c r="K29" s="149">
        <f t="shared" si="3"/>
        <v>60.044218535081811</v>
      </c>
      <c r="L29">
        <f t="shared" si="4"/>
        <v>7.4999999999999997E-3</v>
      </c>
      <c r="M29">
        <f t="shared" si="5"/>
        <v>0.99250000000000005</v>
      </c>
      <c r="N29">
        <f t="shared" si="14"/>
        <v>0.87327148197054238</v>
      </c>
      <c r="O29" s="149">
        <f t="shared" si="6"/>
        <v>1616.3548724161624</v>
      </c>
      <c r="P29" s="131">
        <f t="shared" si="15"/>
        <v>85.521032621917925</v>
      </c>
      <c r="Q29" s="148">
        <f t="shared" si="8"/>
        <v>66.048640388590002</v>
      </c>
    </row>
    <row r="30" spans="1:17" x14ac:dyDescent="0.25">
      <c r="A30">
        <f t="shared" si="9"/>
        <v>19</v>
      </c>
      <c r="B30" s="150">
        <f t="shared" si="10"/>
        <v>46.583333333333378</v>
      </c>
      <c r="C30">
        <v>0.01</v>
      </c>
      <c r="D30">
        <f t="shared" si="0"/>
        <v>0.99</v>
      </c>
      <c r="E30">
        <f t="shared" si="11"/>
        <v>0.82616862383558654</v>
      </c>
      <c r="F30">
        <v>2000</v>
      </c>
      <c r="G30">
        <f t="shared" si="12"/>
        <v>77.901886079237954</v>
      </c>
      <c r="H30">
        <f t="shared" si="1"/>
        <v>0.99570564446549459</v>
      </c>
      <c r="I30">
        <f t="shared" si="13"/>
        <v>0.92148530162259834</v>
      </c>
      <c r="J30" s="149">
        <f t="shared" si="2"/>
        <v>1522.604487052525</v>
      </c>
      <c r="K30" s="149">
        <f t="shared" si="3"/>
        <v>59.306880647051166</v>
      </c>
      <c r="L30">
        <f t="shared" si="4"/>
        <v>7.4999999999999997E-3</v>
      </c>
      <c r="M30">
        <f t="shared" si="5"/>
        <v>0.99250000000000005</v>
      </c>
      <c r="N30">
        <f t="shared" si="14"/>
        <v>0.86672194585576334</v>
      </c>
      <c r="O30" s="149">
        <f t="shared" si="6"/>
        <v>1597.3430673996468</v>
      </c>
      <c r="P30" s="131">
        <f t="shared" si="15"/>
        <v>85.69207468716175</v>
      </c>
      <c r="Q30" s="148">
        <f t="shared" si="8"/>
        <v>65.237568711756282</v>
      </c>
    </row>
    <row r="31" spans="1:17" x14ac:dyDescent="0.25">
      <c r="A31">
        <f t="shared" si="9"/>
        <v>20</v>
      </c>
      <c r="B31" s="150">
        <f t="shared" si="10"/>
        <v>46.666666666666714</v>
      </c>
      <c r="C31">
        <v>0.01</v>
      </c>
      <c r="D31">
        <f t="shared" si="0"/>
        <v>0.99</v>
      </c>
      <c r="E31">
        <f t="shared" si="11"/>
        <v>0.81790693759723065</v>
      </c>
      <c r="F31">
        <v>2000</v>
      </c>
      <c r="G31">
        <f t="shared" si="12"/>
        <v>78.057689851396432</v>
      </c>
      <c r="H31">
        <f t="shared" si="1"/>
        <v>0.99570564446549459</v>
      </c>
      <c r="I31">
        <f t="shared" si="13"/>
        <v>0.91752811611760998</v>
      </c>
      <c r="J31" s="149">
        <f t="shared" si="2"/>
        <v>1500.9052232262213</v>
      </c>
      <c r="K31" s="149">
        <f t="shared" si="3"/>
        <v>58.57859720546665</v>
      </c>
      <c r="L31">
        <f t="shared" si="4"/>
        <v>7.4999999999999997E-3</v>
      </c>
      <c r="M31">
        <f t="shared" si="5"/>
        <v>0.99250000000000005</v>
      </c>
      <c r="N31">
        <f t="shared" si="14"/>
        <v>0.8602215312618452</v>
      </c>
      <c r="O31" s="149">
        <f t="shared" si="6"/>
        <v>1578.5548820449731</v>
      </c>
      <c r="P31" s="131">
        <f t="shared" si="15"/>
        <v>85.863458836536083</v>
      </c>
      <c r="Q31" s="148">
        <f t="shared" si="8"/>
        <v>64.436456926013321</v>
      </c>
    </row>
    <row r="32" spans="1:17" x14ac:dyDescent="0.25">
      <c r="A32">
        <f t="shared" si="9"/>
        <v>21</v>
      </c>
      <c r="B32" s="150">
        <f t="shared" si="10"/>
        <v>46.75000000000005</v>
      </c>
      <c r="C32">
        <v>0.01</v>
      </c>
      <c r="D32">
        <f t="shared" si="0"/>
        <v>0.99</v>
      </c>
      <c r="E32">
        <f t="shared" si="11"/>
        <v>0.80972786822125831</v>
      </c>
      <c r="F32">
        <v>2000</v>
      </c>
      <c r="G32">
        <f t="shared" si="12"/>
        <v>78.213805231099229</v>
      </c>
      <c r="H32">
        <f t="shared" si="1"/>
        <v>0.99570564446549459</v>
      </c>
      <c r="I32">
        <f t="shared" si="13"/>
        <v>0.91358792417409596</v>
      </c>
      <c r="J32" s="149">
        <f t="shared" si="2"/>
        <v>1479.5152045483505</v>
      </c>
      <c r="K32" s="149">
        <f t="shared" si="3"/>
        <v>57.859257022497317</v>
      </c>
      <c r="L32">
        <f t="shared" si="4"/>
        <v>7.4999999999999997E-3</v>
      </c>
      <c r="M32">
        <f t="shared" si="5"/>
        <v>0.99250000000000005</v>
      </c>
      <c r="N32">
        <f t="shared" si="14"/>
        <v>0.85376986977738145</v>
      </c>
      <c r="O32" s="149">
        <f t="shared" si="6"/>
        <v>1559.9876861046123</v>
      </c>
      <c r="P32" s="131">
        <f t="shared" si="15"/>
        <v>86.035185754209152</v>
      </c>
      <c r="Q32" s="148">
        <f t="shared" si="8"/>
        <v>63.645182724747045</v>
      </c>
    </row>
    <row r="33" spans="1:17" x14ac:dyDescent="0.25">
      <c r="A33">
        <f t="shared" si="9"/>
        <v>22</v>
      </c>
      <c r="B33" s="150">
        <f t="shared" si="10"/>
        <v>46.833333333333385</v>
      </c>
      <c r="C33">
        <v>0.01</v>
      </c>
      <c r="D33">
        <f t="shared" si="0"/>
        <v>0.99</v>
      </c>
      <c r="E33">
        <f t="shared" si="11"/>
        <v>0.80163058953904576</v>
      </c>
      <c r="F33">
        <v>2000</v>
      </c>
      <c r="G33">
        <f t="shared" si="12"/>
        <v>78.370232841561432</v>
      </c>
      <c r="H33">
        <f t="shared" si="1"/>
        <v>0.99570564446549459</v>
      </c>
      <c r="I33">
        <f t="shared" si="13"/>
        <v>0.90966465281566167</v>
      </c>
      <c r="J33" s="149">
        <f t="shared" si="2"/>
        <v>1458.4300238389005</v>
      </c>
      <c r="K33" s="149">
        <f t="shared" si="3"/>
        <v>57.148750275689309</v>
      </c>
      <c r="L33">
        <f t="shared" si="4"/>
        <v>7.4999999999999997E-3</v>
      </c>
      <c r="M33">
        <f t="shared" si="5"/>
        <v>0.99250000000000005</v>
      </c>
      <c r="N33">
        <f t="shared" si="14"/>
        <v>0.84736659575405116</v>
      </c>
      <c r="O33" s="149">
        <f t="shared" si="6"/>
        <v>1541.638880268396</v>
      </c>
      <c r="P33" s="131">
        <f t="shared" si="15"/>
        <v>86.207256125717578</v>
      </c>
      <c r="Q33" s="148">
        <f t="shared" si="8"/>
        <v>62.863625303258246</v>
      </c>
    </row>
    <row r="34" spans="1:17" x14ac:dyDescent="0.25">
      <c r="A34">
        <f t="shared" si="9"/>
        <v>23</v>
      </c>
      <c r="B34" s="150">
        <f t="shared" si="10"/>
        <v>46.916666666666721</v>
      </c>
      <c r="C34">
        <v>0.01</v>
      </c>
      <c r="D34">
        <f t="shared" si="0"/>
        <v>0.99</v>
      </c>
      <c r="E34">
        <f t="shared" si="11"/>
        <v>0.79361428364365527</v>
      </c>
      <c r="F34">
        <v>2000</v>
      </c>
      <c r="G34">
        <f t="shared" si="12"/>
        <v>78.52697330724456</v>
      </c>
      <c r="H34">
        <f t="shared" si="1"/>
        <v>0.99570564446549459</v>
      </c>
      <c r="I34">
        <f t="shared" si="13"/>
        <v>0.90575822937929884</v>
      </c>
      <c r="J34" s="149">
        <f t="shared" si="2"/>
        <v>1437.6453367263957</v>
      </c>
      <c r="K34" s="149">
        <f t="shared" si="3"/>
        <v>56.446968491199144</v>
      </c>
      <c r="L34">
        <f t="shared" si="4"/>
        <v>7.4999999999999997E-3</v>
      </c>
      <c r="M34">
        <f t="shared" si="5"/>
        <v>0.99250000000000005</v>
      </c>
      <c r="N34">
        <f t="shared" si="14"/>
        <v>0.8410113462858958</v>
      </c>
      <c r="O34" s="149">
        <f t="shared" si="6"/>
        <v>1523.5058957996266</v>
      </c>
      <c r="P34" s="131">
        <f t="shared" si="15"/>
        <v>86.379670637969028</v>
      </c>
      <c r="Q34" s="148">
        <f t="shared" si="8"/>
        <v>62.091665340319061</v>
      </c>
    </row>
    <row r="35" spans="1:17" x14ac:dyDescent="0.25">
      <c r="A35">
        <f t="shared" si="9"/>
        <v>24</v>
      </c>
      <c r="B35" s="150">
        <f t="shared" si="10"/>
        <v>47.000000000000057</v>
      </c>
      <c r="C35">
        <v>0.01</v>
      </c>
      <c r="D35">
        <f t="shared" si="0"/>
        <v>0.99</v>
      </c>
      <c r="E35">
        <f t="shared" si="11"/>
        <v>0.78567814080721876</v>
      </c>
      <c r="F35">
        <v>2000</v>
      </c>
      <c r="G35">
        <f t="shared" si="12"/>
        <v>78.684027253859043</v>
      </c>
      <c r="H35">
        <f t="shared" si="1"/>
        <v>0.99570564446549459</v>
      </c>
      <c r="I35">
        <f t="shared" si="13"/>
        <v>0.90186858151404004</v>
      </c>
      <c r="J35" s="149">
        <f t="shared" si="2"/>
        <v>1417.156860752789</v>
      </c>
      <c r="K35" s="149">
        <f t="shared" si="3"/>
        <v>55.753804527232894</v>
      </c>
      <c r="L35">
        <f t="shared" si="4"/>
        <v>7.4999999999999997E-3</v>
      </c>
      <c r="M35">
        <f t="shared" si="5"/>
        <v>0.99250000000000005</v>
      </c>
      <c r="N35">
        <f t="shared" si="14"/>
        <v>0.83470376118875167</v>
      </c>
      <c r="O35" s="149">
        <f t="shared" si="6"/>
        <v>1505.586194175467</v>
      </c>
      <c r="P35" s="131">
        <f t="shared" si="15"/>
        <v>86.552429979244948</v>
      </c>
      <c r="Q35" s="148">
        <f t="shared" si="8"/>
        <v>61.329184979956182</v>
      </c>
    </row>
    <row r="36" spans="1:17" x14ac:dyDescent="0.25">
      <c r="A36">
        <f t="shared" si="9"/>
        <v>25</v>
      </c>
      <c r="B36" s="150">
        <f t="shared" si="10"/>
        <v>47.083333333333393</v>
      </c>
      <c r="C36">
        <v>0.01</v>
      </c>
      <c r="D36">
        <f t="shared" si="0"/>
        <v>0.99</v>
      </c>
      <c r="E36">
        <f t="shared" si="11"/>
        <v>0.77782135939914654</v>
      </c>
      <c r="F36">
        <v>2000</v>
      </c>
      <c r="G36">
        <f t="shared" si="12"/>
        <v>78.841395308366756</v>
      </c>
      <c r="H36">
        <f t="shared" si="1"/>
        <v>0.99570564446549459</v>
      </c>
      <c r="I36">
        <f t="shared" si="13"/>
        <v>0.89799563717961872</v>
      </c>
      <c r="J36" s="149">
        <f t="shared" si="2"/>
        <v>1396.9603744911076</v>
      </c>
      <c r="K36" s="149">
        <f t="shared" si="3"/>
        <v>55.069152557688739</v>
      </c>
      <c r="L36">
        <f t="shared" si="4"/>
        <v>7.4999999999999997E-3</v>
      </c>
      <c r="M36">
        <f t="shared" si="5"/>
        <v>0.99250000000000005</v>
      </c>
      <c r="N36">
        <f t="shared" si="14"/>
        <v>0.82844348297983605</v>
      </c>
      <c r="O36" s="149">
        <f t="shared" si="6"/>
        <v>1487.8772667315609</v>
      </c>
      <c r="P36" s="131">
        <f t="shared" si="15"/>
        <v>86.725534839203434</v>
      </c>
      <c r="Q36" s="148">
        <f t="shared" si="8"/>
        <v>60.57606781345762</v>
      </c>
    </row>
    <row r="37" spans="1:17" x14ac:dyDescent="0.25">
      <c r="A37">
        <f t="shared" si="9"/>
        <v>26</v>
      </c>
      <c r="B37" s="150">
        <f t="shared" si="10"/>
        <v>47.166666666666728</v>
      </c>
      <c r="C37">
        <v>0.01</v>
      </c>
      <c r="D37">
        <f t="shared" si="0"/>
        <v>0.99</v>
      </c>
      <c r="E37">
        <f t="shared" si="11"/>
        <v>0.77004314580515509</v>
      </c>
      <c r="F37">
        <v>2000</v>
      </c>
      <c r="G37">
        <f t="shared" si="12"/>
        <v>78.999078098983489</v>
      </c>
      <c r="H37">
        <f t="shared" si="1"/>
        <v>0.99570564446549459</v>
      </c>
      <c r="I37">
        <f t="shared" si="13"/>
        <v>0.89413932464513468</v>
      </c>
      <c r="J37" s="149">
        <f t="shared" si="2"/>
        <v>1377.0517166756727</v>
      </c>
      <c r="K37" s="149">
        <f t="shared" si="3"/>
        <v>54.39290805600038</v>
      </c>
      <c r="L37">
        <f t="shared" si="4"/>
        <v>7.4999999999999997E-3</v>
      </c>
      <c r="M37">
        <f t="shared" si="5"/>
        <v>0.99250000000000005</v>
      </c>
      <c r="N37">
        <f t="shared" si="14"/>
        <v>0.82223015685748735</v>
      </c>
      <c r="O37" s="149">
        <f t="shared" si="6"/>
        <v>1470.3766343108339</v>
      </c>
      <c r="P37" s="131">
        <f t="shared" si="15"/>
        <v>86.898985908881841</v>
      </c>
      <c r="Q37" s="148">
        <f t="shared" si="8"/>
        <v>59.832198861600418</v>
      </c>
    </row>
    <row r="38" spans="1:17" x14ac:dyDescent="0.25">
      <c r="A38">
        <f t="shared" si="9"/>
        <v>27</v>
      </c>
      <c r="B38" s="150">
        <f t="shared" si="10"/>
        <v>47.250000000000064</v>
      </c>
      <c r="C38">
        <v>0.01</v>
      </c>
      <c r="D38">
        <f t="shared" si="0"/>
        <v>0.99</v>
      </c>
      <c r="E38">
        <f t="shared" si="11"/>
        <v>0.76234271434710354</v>
      </c>
      <c r="F38">
        <v>2000</v>
      </c>
      <c r="G38">
        <f t="shared" si="12"/>
        <v>79.157076255181451</v>
      </c>
      <c r="H38">
        <f t="shared" si="1"/>
        <v>0.99570564446549459</v>
      </c>
      <c r="I38">
        <f t="shared" si="13"/>
        <v>0.89029957248772595</v>
      </c>
      <c r="J38" s="149">
        <f t="shared" si="2"/>
        <v>1357.4267853447177</v>
      </c>
      <c r="K38" s="149">
        <f t="shared" si="3"/>
        <v>53.724967779178826</v>
      </c>
      <c r="L38">
        <f t="shared" si="4"/>
        <v>7.4999999999999997E-3</v>
      </c>
      <c r="M38">
        <f t="shared" si="5"/>
        <v>0.99250000000000005</v>
      </c>
      <c r="N38">
        <f t="shared" si="14"/>
        <v>0.81606343068105625</v>
      </c>
      <c r="O38" s="149">
        <f t="shared" si="6"/>
        <v>1453.0818469164228</v>
      </c>
      <c r="P38" s="131">
        <f t="shared" si="15"/>
        <v>87.072783880699603</v>
      </c>
      <c r="Q38" s="148">
        <f t="shared" si="8"/>
        <v>59.097464557096714</v>
      </c>
    </row>
    <row r="39" spans="1:17" x14ac:dyDescent="0.25">
      <c r="A39">
        <f t="shared" si="9"/>
        <v>28</v>
      </c>
      <c r="B39" s="150">
        <f t="shared" si="10"/>
        <v>47.3333333333334</v>
      </c>
      <c r="C39">
        <v>0.01</v>
      </c>
      <c r="D39">
        <f t="shared" si="0"/>
        <v>0.99</v>
      </c>
      <c r="E39">
        <f t="shared" si="11"/>
        <v>0.75471928720363246</v>
      </c>
      <c r="F39">
        <v>2000</v>
      </c>
      <c r="G39">
        <f t="shared" si="12"/>
        <v>79.315390407691808</v>
      </c>
      <c r="H39">
        <f t="shared" si="1"/>
        <v>0.99570564446549459</v>
      </c>
      <c r="I39">
        <f t="shared" si="13"/>
        <v>0.88647630959124546</v>
      </c>
      <c r="J39" s="149">
        <f t="shared" si="2"/>
        <v>1338.0815369952227</v>
      </c>
      <c r="K39" s="149">
        <f t="shared" si="3"/>
        <v>53.0652297520502</v>
      </c>
      <c r="L39">
        <f t="shared" si="4"/>
        <v>7.4999999999999997E-3</v>
      </c>
      <c r="M39">
        <f t="shared" si="5"/>
        <v>0.99250000000000005</v>
      </c>
      <c r="N39">
        <f t="shared" si="14"/>
        <v>0.80994295495094837</v>
      </c>
      <c r="O39" s="149">
        <f t="shared" si="6"/>
        <v>1435.9904833686901</v>
      </c>
      <c r="P39" s="131">
        <f t="shared" si="15"/>
        <v>87.246929448460989</v>
      </c>
      <c r="Q39" s="148">
        <f t="shared" si="8"/>
        <v>58.37175272725522</v>
      </c>
    </row>
    <row r="40" spans="1:17" x14ac:dyDescent="0.25">
      <c r="A40">
        <f t="shared" si="9"/>
        <v>29</v>
      </c>
      <c r="B40" s="150">
        <f t="shared" si="10"/>
        <v>47.416666666666735</v>
      </c>
      <c r="C40">
        <v>0.01</v>
      </c>
      <c r="D40">
        <f t="shared" si="0"/>
        <v>0.99</v>
      </c>
      <c r="E40">
        <f t="shared" si="11"/>
        <v>0.74717209433159615</v>
      </c>
      <c r="F40">
        <v>2000</v>
      </c>
      <c r="G40">
        <f t="shared" si="12"/>
        <v>79.474021188507194</v>
      </c>
      <c r="H40">
        <f t="shared" si="1"/>
        <v>0.99570564446549459</v>
      </c>
      <c r="I40">
        <f t="shared" si="13"/>
        <v>0.88266946514494438</v>
      </c>
      <c r="J40" s="149">
        <f t="shared" si="2"/>
        <v>1319.0119857497957</v>
      </c>
      <c r="K40" s="149">
        <f t="shared" si="3"/>
        <v>52.413593251687111</v>
      </c>
      <c r="L40">
        <f t="shared" si="4"/>
        <v>7.4999999999999997E-3</v>
      </c>
      <c r="M40">
        <f t="shared" si="5"/>
        <v>0.99250000000000005</v>
      </c>
      <c r="N40">
        <f t="shared" si="14"/>
        <v>0.80386838278881634</v>
      </c>
      <c r="O40" s="149">
        <f t="shared" si="6"/>
        <v>1419.1001509662719</v>
      </c>
      <c r="P40" s="131">
        <f t="shared" si="15"/>
        <v>87.421423307357927</v>
      </c>
      <c r="Q40" s="148">
        <f t="shared" si="8"/>
        <v>57.654952576855834</v>
      </c>
    </row>
    <row r="41" spans="1:17" x14ac:dyDescent="0.25">
      <c r="A41">
        <f t="shared" si="9"/>
        <v>30</v>
      </c>
      <c r="B41" s="150">
        <f t="shared" si="10"/>
        <v>47.500000000000071</v>
      </c>
      <c r="C41">
        <v>0.01</v>
      </c>
      <c r="D41">
        <f t="shared" si="0"/>
        <v>0.99</v>
      </c>
      <c r="E41">
        <f t="shared" si="11"/>
        <v>0.73970037338828021</v>
      </c>
      <c r="F41">
        <v>2000</v>
      </c>
      <c r="G41">
        <f t="shared" si="12"/>
        <v>79.632969230884214</v>
      </c>
      <c r="H41">
        <f t="shared" si="1"/>
        <v>0.99570564446549459</v>
      </c>
      <c r="I41">
        <f t="shared" si="13"/>
        <v>0.87887896864216031</v>
      </c>
      <c r="J41" s="149">
        <f t="shared" si="2"/>
        <v>1300.2142025354253</v>
      </c>
      <c r="K41" s="149">
        <f t="shared" si="3"/>
        <v>51.76995879203109</v>
      </c>
      <c r="L41">
        <f t="shared" si="4"/>
        <v>7.4999999999999997E-3</v>
      </c>
      <c r="M41">
        <f t="shared" si="5"/>
        <v>0.99250000000000005</v>
      </c>
      <c r="N41">
        <f t="shared" si="14"/>
        <v>0.79783936991790028</v>
      </c>
      <c r="O41" s="149">
        <f t="shared" si="6"/>
        <v>1402.4084851511104</v>
      </c>
      <c r="P41" s="131">
        <f t="shared" si="15"/>
        <v>87.596266153972635</v>
      </c>
      <c r="Q41" s="148">
        <f t="shared" si="8"/>
        <v>56.946954671234188</v>
      </c>
    </row>
    <row r="42" spans="1:17" x14ac:dyDescent="0.25">
      <c r="A42">
        <f t="shared" si="9"/>
        <v>31</v>
      </c>
      <c r="B42" s="150">
        <f t="shared" si="10"/>
        <v>47.583333333333407</v>
      </c>
      <c r="C42">
        <v>0.01</v>
      </c>
      <c r="D42">
        <f t="shared" si="0"/>
        <v>0.99</v>
      </c>
      <c r="E42">
        <f t="shared" si="11"/>
        <v>0.73230336965439735</v>
      </c>
      <c r="F42">
        <v>2000</v>
      </c>
      <c r="G42">
        <f t="shared" si="12"/>
        <v>79.792235169345986</v>
      </c>
      <c r="H42">
        <f t="shared" si="1"/>
        <v>0.99570564446549459</v>
      </c>
      <c r="I42">
        <f t="shared" si="13"/>
        <v>0.87510474987901143</v>
      </c>
      <c r="J42" s="149">
        <f t="shared" si="2"/>
        <v>1281.6843142739372</v>
      </c>
      <c r="K42" s="149">
        <f t="shared" si="3"/>
        <v>51.134228108703979</v>
      </c>
      <c r="L42">
        <f t="shared" si="4"/>
        <v>7.4999999999999997E-3</v>
      </c>
      <c r="M42">
        <f t="shared" si="5"/>
        <v>0.99250000000000005</v>
      </c>
      <c r="N42">
        <f t="shared" si="14"/>
        <v>0.79185557464351608</v>
      </c>
      <c r="O42" s="149">
        <f t="shared" si="6"/>
        <v>1385.9131491774301</v>
      </c>
      <c r="P42" s="131">
        <f t="shared" si="15"/>
        <v>87.771458686280596</v>
      </c>
      <c r="Q42" s="148">
        <f t="shared" si="8"/>
        <v>56.247650919574383</v>
      </c>
    </row>
    <row r="43" spans="1:17" x14ac:dyDescent="0.25">
      <c r="A43">
        <f t="shared" si="9"/>
        <v>32</v>
      </c>
      <c r="B43" s="150">
        <f t="shared" si="10"/>
        <v>47.666666666666742</v>
      </c>
      <c r="C43">
        <v>0.01</v>
      </c>
      <c r="D43">
        <f t="shared" si="0"/>
        <v>0.99</v>
      </c>
      <c r="E43">
        <f t="shared" si="11"/>
        <v>0.72498033595785338</v>
      </c>
      <c r="F43">
        <v>2000</v>
      </c>
      <c r="G43">
        <f t="shared" si="12"/>
        <v>79.951819639684672</v>
      </c>
      <c r="H43">
        <f t="shared" si="1"/>
        <v>0.99570564446549459</v>
      </c>
      <c r="I43">
        <f t="shared" si="13"/>
        <v>0.87134673895309656</v>
      </c>
      <c r="J43" s="149">
        <f t="shared" si="2"/>
        <v>1263.4185030839919</v>
      </c>
      <c r="K43" s="149">
        <f t="shared" si="3"/>
        <v>50.506304144005853</v>
      </c>
      <c r="L43">
        <f t="shared" si="4"/>
        <v>7.4999999999999997E-3</v>
      </c>
      <c r="M43">
        <f t="shared" si="5"/>
        <v>0.99250000000000005</v>
      </c>
      <c r="N43">
        <f t="shared" si="14"/>
        <v>0.7859166578336898</v>
      </c>
      <c r="O43" s="149">
        <f t="shared" si="6"/>
        <v>1369.6118337846044</v>
      </c>
      <c r="P43" s="131">
        <f t="shared" si="15"/>
        <v>87.947001603653149</v>
      </c>
      <c r="Q43" s="148">
        <f t="shared" si="8"/>
        <v>55.556934558406446</v>
      </c>
    </row>
    <row r="44" spans="1:17" x14ac:dyDescent="0.25">
      <c r="A44">
        <f t="shared" si="9"/>
        <v>33</v>
      </c>
      <c r="B44" s="150">
        <f t="shared" si="10"/>
        <v>47.750000000000078</v>
      </c>
      <c r="C44">
        <v>0.01</v>
      </c>
      <c r="D44">
        <f t="shared" si="0"/>
        <v>0.99</v>
      </c>
      <c r="E44">
        <f t="shared" si="11"/>
        <v>0.7177305325982748</v>
      </c>
      <c r="F44">
        <v>2000</v>
      </c>
      <c r="G44">
        <f t="shared" si="12"/>
        <v>80.111723278964035</v>
      </c>
      <c r="H44">
        <f t="shared" si="1"/>
        <v>0.99570564446549459</v>
      </c>
      <c r="I44">
        <f t="shared" si="13"/>
        <v>0.86760486626220013</v>
      </c>
      <c r="J44" s="149">
        <f t="shared" si="2"/>
        <v>1245.4130054944476</v>
      </c>
      <c r="K44" s="149">
        <f t="shared" si="3"/>
        <v>49.886091032097056</v>
      </c>
      <c r="L44">
        <f t="shared" si="4"/>
        <v>7.4999999999999997E-3</v>
      </c>
      <c r="M44">
        <f t="shared" si="5"/>
        <v>0.99250000000000005</v>
      </c>
      <c r="N44">
        <f t="shared" si="14"/>
        <v>0.78002228289993714</v>
      </c>
      <c r="O44" s="149">
        <f t="shared" si="6"/>
        <v>1353.5022568738721</v>
      </c>
      <c r="P44" s="131">
        <f t="shared" si="15"/>
        <v>88.122895606860453</v>
      </c>
      <c r="Q44" s="148">
        <f t="shared" si="8"/>
        <v>54.874700135306774</v>
      </c>
    </row>
    <row r="45" spans="1:17" x14ac:dyDescent="0.25">
      <c r="A45">
        <f t="shared" si="9"/>
        <v>34</v>
      </c>
      <c r="B45" s="150">
        <f t="shared" si="10"/>
        <v>47.833333333333414</v>
      </c>
      <c r="C45">
        <v>0.01</v>
      </c>
      <c r="D45">
        <f t="shared" si="0"/>
        <v>0.99</v>
      </c>
      <c r="E45">
        <f t="shared" si="11"/>
        <v>0.71055322727229209</v>
      </c>
      <c r="F45">
        <v>2000</v>
      </c>
      <c r="G45">
        <f t="shared" si="12"/>
        <v>80.271946725521957</v>
      </c>
      <c r="H45">
        <f t="shared" si="1"/>
        <v>0.99570564446549459</v>
      </c>
      <c r="I45">
        <f t="shared" si="13"/>
        <v>0.86387906250300317</v>
      </c>
      <c r="J45" s="149">
        <f t="shared" si="2"/>
        <v>1227.664111668942</v>
      </c>
      <c r="K45" s="149">
        <f t="shared" si="3"/>
        <v>49.273494084362277</v>
      </c>
      <c r="L45">
        <f t="shared" si="4"/>
        <v>7.4999999999999997E-3</v>
      </c>
      <c r="M45">
        <f t="shared" si="5"/>
        <v>0.99250000000000005</v>
      </c>
      <c r="N45">
        <f t="shared" si="14"/>
        <v>0.77417211577818767</v>
      </c>
      <c r="O45" s="149">
        <f t="shared" si="6"/>
        <v>1337.5821631888546</v>
      </c>
      <c r="P45" s="131">
        <f t="shared" si="15"/>
        <v>88.299141398074156</v>
      </c>
      <c r="Q45" s="148">
        <f t="shared" si="8"/>
        <v>54.200843492798512</v>
      </c>
    </row>
    <row r="46" spans="1:17" x14ac:dyDescent="0.25">
      <c r="A46">
        <f t="shared" si="9"/>
        <v>35</v>
      </c>
      <c r="B46" s="150">
        <f t="shared" si="10"/>
        <v>47.91666666666675</v>
      </c>
      <c r="C46">
        <v>0.01</v>
      </c>
      <c r="D46">
        <f t="shared" si="0"/>
        <v>0.99</v>
      </c>
      <c r="E46">
        <f t="shared" si="11"/>
        <v>0.70344769499956916</v>
      </c>
      <c r="F46">
        <v>2000</v>
      </c>
      <c r="G46">
        <f t="shared" si="12"/>
        <v>80.432490618973006</v>
      </c>
      <c r="H46">
        <f t="shared" si="1"/>
        <v>0.99570564446549459</v>
      </c>
      <c r="I46">
        <f t="shared" si="13"/>
        <v>0.8601692586698001</v>
      </c>
      <c r="J46" s="149">
        <f t="shared" si="2"/>
        <v>1210.1681646415182</v>
      </c>
      <c r="K46" s="149">
        <f t="shared" si="3"/>
        <v>48.668419774954344</v>
      </c>
      <c r="L46">
        <f t="shared" si="4"/>
        <v>7.4999999999999997E-3</v>
      </c>
      <c r="M46">
        <f t="shared" si="5"/>
        <v>0.99250000000000005</v>
      </c>
      <c r="N46">
        <f t="shared" si="14"/>
        <v>0.76836582490985128</v>
      </c>
      <c r="O46" s="149">
        <f t="shared" si="6"/>
        <v>1321.8493239998324</v>
      </c>
      <c r="P46" s="131">
        <f t="shared" si="15"/>
        <v>88.475739680870319</v>
      </c>
      <c r="Q46" s="148">
        <f t="shared" si="8"/>
        <v>53.535261752449784</v>
      </c>
    </row>
    <row r="47" spans="1:17" x14ac:dyDescent="0.25">
      <c r="A47">
        <f t="shared" si="9"/>
        <v>36</v>
      </c>
      <c r="B47" s="150">
        <f t="shared" si="10"/>
        <v>48.000000000000085</v>
      </c>
      <c r="C47">
        <v>0.01</v>
      </c>
      <c r="D47">
        <f t="shared" si="0"/>
        <v>0.99</v>
      </c>
      <c r="E47">
        <f t="shared" si="11"/>
        <v>0.69641321804957346</v>
      </c>
      <c r="F47">
        <v>2000</v>
      </c>
      <c r="G47">
        <f t="shared" si="12"/>
        <v>80.593355600210955</v>
      </c>
      <c r="H47">
        <f t="shared" si="1"/>
        <v>0.99570564446549459</v>
      </c>
      <c r="I47">
        <f t="shared" si="13"/>
        <v>0.85647538605322004</v>
      </c>
      <c r="J47" s="149">
        <f t="shared" si="2"/>
        <v>1192.9215595631474</v>
      </c>
      <c r="K47" s="149">
        <f t="shared" si="3"/>
        <v>48.070775726515485</v>
      </c>
      <c r="L47">
        <f t="shared" si="4"/>
        <v>7.4999999999999997E-3</v>
      </c>
      <c r="M47">
        <f t="shared" si="5"/>
        <v>0.99250000000000005</v>
      </c>
      <c r="N47">
        <f t="shared" si="14"/>
        <v>0.76260308122302745</v>
      </c>
      <c r="O47" s="149">
        <f t="shared" si="6"/>
        <v>1306.3015367917351</v>
      </c>
      <c r="P47" s="131">
        <f t="shared" si="15"/>
        <v>88.652691160232052</v>
      </c>
      <c r="Q47" s="148">
        <f t="shared" si="8"/>
        <v>52.877853299167036</v>
      </c>
    </row>
    <row r="48" spans="1:17" x14ac:dyDescent="0.25">
      <c r="A48">
        <f t="shared" si="9"/>
        <v>37</v>
      </c>
      <c r="B48" s="150">
        <f t="shared" si="10"/>
        <v>48.083333333333421</v>
      </c>
      <c r="C48">
        <v>0.01</v>
      </c>
      <c r="D48">
        <f t="shared" si="0"/>
        <v>0.99</v>
      </c>
      <c r="E48">
        <f t="shared" si="11"/>
        <v>0.68944908586907772</v>
      </c>
      <c r="F48">
        <v>2000</v>
      </c>
      <c r="G48">
        <f t="shared" si="12"/>
        <v>80.754542311411385</v>
      </c>
      <c r="H48">
        <f t="shared" si="1"/>
        <v>0.99570564446549459</v>
      </c>
      <c r="I48">
        <f t="shared" si="13"/>
        <v>0.85279737623895469</v>
      </c>
      <c r="J48" s="149">
        <f t="shared" si="2"/>
        <v>1175.9207429589906</v>
      </c>
      <c r="K48" s="149">
        <f t="shared" si="3"/>
        <v>47.48047069607405</v>
      </c>
      <c r="L48">
        <f t="shared" si="4"/>
        <v>7.4999999999999997E-3</v>
      </c>
      <c r="M48">
        <f t="shared" si="5"/>
        <v>0.99250000000000005</v>
      </c>
      <c r="N48">
        <f t="shared" si="14"/>
        <v>0.75688355811385477</v>
      </c>
      <c r="O48" s="149">
        <f t="shared" si="6"/>
        <v>1290.9366249557995</v>
      </c>
      <c r="P48" s="131">
        <f t="shared" si="15"/>
        <v>88.829996542552536</v>
      </c>
      <c r="Q48" s="148">
        <f t="shared" si="8"/>
        <v>52.228517765681467</v>
      </c>
    </row>
    <row r="49" spans="1:17" x14ac:dyDescent="0.25">
      <c r="A49">
        <f t="shared" si="9"/>
        <v>38</v>
      </c>
      <c r="B49" s="150">
        <f t="shared" si="10"/>
        <v>48.166666666666757</v>
      </c>
      <c r="C49">
        <v>0.01</v>
      </c>
      <c r="D49">
        <f t="shared" si="0"/>
        <v>0.99</v>
      </c>
      <c r="E49">
        <f t="shared" si="11"/>
        <v>0.68255459501038696</v>
      </c>
      <c r="F49">
        <v>2000</v>
      </c>
      <c r="G49">
        <f t="shared" si="12"/>
        <v>80.916051396034206</v>
      </c>
      <c r="H49">
        <f t="shared" si="1"/>
        <v>0.99570564446549459</v>
      </c>
      <c r="I49">
        <f t="shared" si="13"/>
        <v>0.84913516110649123</v>
      </c>
      <c r="J49" s="149">
        <f t="shared" si="2"/>
        <v>1159.1622119962417</v>
      </c>
      <c r="K49" s="149">
        <f t="shared" si="3"/>
        <v>46.897414561114296</v>
      </c>
      <c r="L49">
        <f t="shared" si="4"/>
        <v>7.4999999999999997E-3</v>
      </c>
      <c r="M49">
        <f t="shared" si="5"/>
        <v>0.99250000000000005</v>
      </c>
      <c r="N49">
        <f t="shared" si="14"/>
        <v>0.75120693142800088</v>
      </c>
      <c r="O49" s="149">
        <f t="shared" si="6"/>
        <v>1275.752437484857</v>
      </c>
      <c r="P49" s="131">
        <f t="shared" si="15"/>
        <v>89.007656535637636</v>
      </c>
      <c r="Q49" s="148">
        <f t="shared" si="8"/>
        <v>51.587156017225723</v>
      </c>
    </row>
    <row r="50" spans="1:17" x14ac:dyDescent="0.25">
      <c r="A50">
        <f t="shared" si="9"/>
        <v>39</v>
      </c>
      <c r="B50" s="150">
        <f t="shared" si="10"/>
        <v>48.250000000000092</v>
      </c>
      <c r="C50">
        <v>0.01</v>
      </c>
      <c r="D50">
        <f t="shared" si="0"/>
        <v>0.99</v>
      </c>
      <c r="E50">
        <f t="shared" si="11"/>
        <v>0.67572904906028308</v>
      </c>
      <c r="F50">
        <v>2000</v>
      </c>
      <c r="G50">
        <f t="shared" si="12"/>
        <v>81.077883498826267</v>
      </c>
      <c r="H50">
        <f t="shared" si="1"/>
        <v>0.99570564446549459</v>
      </c>
      <c r="I50">
        <f t="shared" si="13"/>
        <v>0.84548867282785045</v>
      </c>
      <c r="J50" s="149">
        <f t="shared" si="2"/>
        <v>1142.6425137624083</v>
      </c>
      <c r="K50" s="149">
        <f t="shared" si="3"/>
        <v>46.321518305817271</v>
      </c>
      <c r="L50">
        <f t="shared" si="4"/>
        <v>7.4999999999999997E-3</v>
      </c>
      <c r="M50">
        <f t="shared" si="5"/>
        <v>0.99250000000000005</v>
      </c>
      <c r="N50">
        <f t="shared" si="14"/>
        <v>0.74557287944229089</v>
      </c>
      <c r="O50" s="149">
        <f t="shared" si="6"/>
        <v>1260.746848672203</v>
      </c>
      <c r="P50" s="131">
        <f t="shared" si="15"/>
        <v>89.185671848708907</v>
      </c>
      <c r="Q50" s="148">
        <f t="shared" si="8"/>
        <v>50.953670136399005</v>
      </c>
    </row>
    <row r="51" spans="1:17" x14ac:dyDescent="0.25">
      <c r="A51">
        <f t="shared" si="9"/>
        <v>40</v>
      </c>
      <c r="B51" s="150">
        <f t="shared" si="10"/>
        <v>48.333333333333428</v>
      </c>
      <c r="C51">
        <v>0.01</v>
      </c>
      <c r="D51">
        <f t="shared" si="0"/>
        <v>0.99</v>
      </c>
      <c r="E51">
        <f t="shared" si="11"/>
        <v>0.66897175856968027</v>
      </c>
      <c r="F51">
        <v>2000</v>
      </c>
      <c r="G51">
        <f t="shared" si="12"/>
        <v>81.240039265823924</v>
      </c>
      <c r="H51">
        <f t="shared" si="1"/>
        <v>0.99570564446549459</v>
      </c>
      <c r="I51">
        <f t="shared" si="13"/>
        <v>0.84185784386633056</v>
      </c>
      <c r="J51" s="149">
        <f t="shared" si="2"/>
        <v>1126.3582445538768</v>
      </c>
      <c r="K51" s="149">
        <f t="shared" si="3"/>
        <v>45.75269400747073</v>
      </c>
      <c r="L51">
        <f t="shared" si="4"/>
        <v>7.4999999999999997E-3</v>
      </c>
      <c r="M51">
        <f t="shared" si="5"/>
        <v>0.99250000000000005</v>
      </c>
      <c r="N51">
        <f t="shared" si="14"/>
        <v>0.73998108284647379</v>
      </c>
      <c r="O51" s="149">
        <f t="shared" si="6"/>
        <v>1245.91775781401</v>
      </c>
      <c r="P51" s="131">
        <f t="shared" si="15"/>
        <v>89.364043192406328</v>
      </c>
      <c r="Q51" s="148">
        <f t="shared" si="8"/>
        <v>50.327963408217812</v>
      </c>
    </row>
    <row r="52" spans="1:17" x14ac:dyDescent="0.25">
      <c r="A52">
        <f t="shared" si="9"/>
        <v>41</v>
      </c>
      <c r="B52" s="150">
        <f t="shared" si="10"/>
        <v>48.416666666666764</v>
      </c>
      <c r="C52">
        <v>0.01</v>
      </c>
      <c r="D52">
        <f t="shared" si="0"/>
        <v>0.99</v>
      </c>
      <c r="E52">
        <f t="shared" si="11"/>
        <v>0.66228204098398347</v>
      </c>
      <c r="F52">
        <v>2000</v>
      </c>
      <c r="G52">
        <f t="shared" si="12"/>
        <v>81.402519344355568</v>
      </c>
      <c r="H52">
        <f t="shared" si="1"/>
        <v>0.99570564446549459</v>
      </c>
      <c r="I52">
        <f t="shared" si="13"/>
        <v>0.83824260697525643</v>
      </c>
      <c r="J52" s="149">
        <f t="shared" si="2"/>
        <v>1110.306049174616</v>
      </c>
      <c r="K52" s="149">
        <f t="shared" si="3"/>
        <v>45.190854823045839</v>
      </c>
      <c r="L52">
        <f t="shared" si="4"/>
        <v>7.4999999999999997E-3</v>
      </c>
      <c r="M52">
        <f t="shared" si="5"/>
        <v>0.99250000000000005</v>
      </c>
      <c r="N52">
        <f t="shared" si="14"/>
        <v>0.73443122472512523</v>
      </c>
      <c r="O52" s="149">
        <f t="shared" si="6"/>
        <v>1231.2630889152388</v>
      </c>
      <c r="P52" s="131">
        <f t="shared" si="15"/>
        <v>89.542771278791136</v>
      </c>
      <c r="Q52" s="148">
        <f t="shared" si="8"/>
        <v>49.709940305350422</v>
      </c>
    </row>
    <row r="53" spans="1:17" x14ac:dyDescent="0.25">
      <c r="A53">
        <f t="shared" si="9"/>
        <v>42</v>
      </c>
      <c r="B53" s="150">
        <f t="shared" si="10"/>
        <v>48.500000000000099</v>
      </c>
      <c r="C53">
        <v>0.01</v>
      </c>
      <c r="D53">
        <f t="shared" si="0"/>
        <v>0.99</v>
      </c>
      <c r="E53">
        <f t="shared" si="11"/>
        <v>0.65565922057414361</v>
      </c>
      <c r="F53">
        <v>2000</v>
      </c>
      <c r="G53">
        <f t="shared" si="12"/>
        <v>81.565324383044285</v>
      </c>
      <c r="H53">
        <f t="shared" si="1"/>
        <v>0.99570564446549459</v>
      </c>
      <c r="I53">
        <f t="shared" si="13"/>
        <v>0.83464289519673396</v>
      </c>
      <c r="J53" s="149">
        <f t="shared" si="2"/>
        <v>1094.4826202448746</v>
      </c>
      <c r="K53" s="149">
        <f t="shared" si="3"/>
        <v>44.635914975938725</v>
      </c>
      <c r="L53">
        <f t="shared" si="4"/>
        <v>7.4999999999999997E-3</v>
      </c>
      <c r="M53">
        <f t="shared" si="5"/>
        <v>0.99250000000000005</v>
      </c>
      <c r="N53">
        <f t="shared" si="14"/>
        <v>0.72892299053968679</v>
      </c>
      <c r="O53" s="149">
        <f t="shared" si="6"/>
        <v>1216.7807903990115</v>
      </c>
      <c r="P53" s="131">
        <f t="shared" si="15"/>
        <v>89.721856821348723</v>
      </c>
      <c r="Q53" s="148">
        <f t="shared" si="8"/>
        <v>49.099506473532607</v>
      </c>
    </row>
    <row r="54" spans="1:17" x14ac:dyDescent="0.25">
      <c r="A54">
        <f t="shared" si="9"/>
        <v>43</v>
      </c>
      <c r="B54" s="150">
        <f t="shared" si="10"/>
        <v>48.583333333333435</v>
      </c>
      <c r="C54">
        <v>0.01</v>
      </c>
      <c r="D54">
        <f t="shared" si="0"/>
        <v>0.99</v>
      </c>
      <c r="E54">
        <f t="shared" si="11"/>
        <v>0.64910262836840216</v>
      </c>
      <c r="F54">
        <v>2000</v>
      </c>
      <c r="G54">
        <f t="shared" si="12"/>
        <v>81.72845503181037</v>
      </c>
      <c r="H54">
        <f t="shared" si="1"/>
        <v>0.99570564446549459</v>
      </c>
      <c r="I54">
        <f t="shared" si="13"/>
        <v>0.83105864186041023</v>
      </c>
      <c r="J54" s="149">
        <f t="shared" si="2"/>
        <v>1078.8846975197339</v>
      </c>
      <c r="K54" s="149">
        <f t="shared" si="3"/>
        <v>44.087789742874946</v>
      </c>
      <c r="L54">
        <f t="shared" si="4"/>
        <v>7.4999999999999997E-3</v>
      </c>
      <c r="M54">
        <f t="shared" si="5"/>
        <v>0.99250000000000005</v>
      </c>
      <c r="N54">
        <f t="shared" si="14"/>
        <v>0.72345606811063923</v>
      </c>
      <c r="O54" s="149">
        <f t="shared" si="6"/>
        <v>1202.4688348194004</v>
      </c>
      <c r="P54" s="131">
        <f t="shared" si="15"/>
        <v>89.901300534991421</v>
      </c>
      <c r="Q54" s="148">
        <f t="shared" si="8"/>
        <v>48.496568717162447</v>
      </c>
    </row>
    <row r="55" spans="1:17" x14ac:dyDescent="0.25">
      <c r="A55">
        <f t="shared" si="9"/>
        <v>44</v>
      </c>
      <c r="B55" s="150">
        <f t="shared" si="10"/>
        <v>48.666666666666771</v>
      </c>
      <c r="C55">
        <v>0.01</v>
      </c>
      <c r="D55">
        <f t="shared" si="0"/>
        <v>0.99</v>
      </c>
      <c r="E55">
        <f t="shared" si="11"/>
        <v>0.64261160208471813</v>
      </c>
      <c r="F55">
        <v>2000</v>
      </c>
      <c r="G55">
        <f t="shared" si="12"/>
        <v>81.891911941873985</v>
      </c>
      <c r="H55">
        <f t="shared" si="1"/>
        <v>0.99570564446549459</v>
      </c>
      <c r="I55">
        <f t="shared" si="13"/>
        <v>0.82748978058223843</v>
      </c>
      <c r="J55" s="149">
        <f t="shared" si="2"/>
        <v>1063.5090672173683</v>
      </c>
      <c r="K55" s="149">
        <f t="shared" si="3"/>
        <v>43.546395440974628</v>
      </c>
      <c r="L55">
        <f t="shared" si="4"/>
        <v>7.4999999999999997E-3</v>
      </c>
      <c r="M55">
        <f t="shared" si="5"/>
        <v>0.99250000000000005</v>
      </c>
      <c r="N55">
        <f t="shared" si="14"/>
        <v>0.71803014759980943</v>
      </c>
      <c r="O55" s="149">
        <f t="shared" si="6"/>
        <v>1188.3252185775971</v>
      </c>
      <c r="P55" s="131">
        <f t="shared" si="15"/>
        <v>90.081103136061387</v>
      </c>
      <c r="Q55" s="148">
        <f t="shared" si="8"/>
        <v>47.901034985072094</v>
      </c>
    </row>
    <row r="56" spans="1:17" x14ac:dyDescent="0.25">
      <c r="A56">
        <f t="shared" si="9"/>
        <v>45</v>
      </c>
      <c r="B56" s="150">
        <f t="shared" si="10"/>
        <v>48.750000000000107</v>
      </c>
      <c r="C56">
        <v>0.01</v>
      </c>
      <c r="D56">
        <f t="shared" si="0"/>
        <v>0.99</v>
      </c>
      <c r="E56">
        <f t="shared" si="11"/>
        <v>0.63618548606387093</v>
      </c>
      <c r="F56">
        <v>2000</v>
      </c>
      <c r="G56">
        <f t="shared" si="12"/>
        <v>82.055695765757733</v>
      </c>
      <c r="H56">
        <f t="shared" si="1"/>
        <v>0.99570564446549459</v>
      </c>
      <c r="I56">
        <f t="shared" si="13"/>
        <v>0.82393624526324838</v>
      </c>
      <c r="J56" s="149">
        <f t="shared" si="2"/>
        <v>1048.3525613568809</v>
      </c>
      <c r="K56" s="149">
        <f t="shared" si="3"/>
        <v>43.011649414976546</v>
      </c>
      <c r="L56">
        <f t="shared" si="4"/>
        <v>7.4999999999999997E-3</v>
      </c>
      <c r="M56">
        <f t="shared" si="5"/>
        <v>0.99250000000000005</v>
      </c>
      <c r="N56">
        <f t="shared" si="14"/>
        <v>0.71264492149281089</v>
      </c>
      <c r="O56" s="149">
        <f t="shared" si="6"/>
        <v>1174.3479616414181</v>
      </c>
      <c r="P56" s="131">
        <f t="shared" si="15"/>
        <v>90.261265342333516</v>
      </c>
      <c r="Q56" s="148">
        <f t="shared" si="8"/>
        <v>47.312814356474199</v>
      </c>
    </row>
    <row r="57" spans="1:17" x14ac:dyDescent="0.25">
      <c r="A57">
        <f t="shared" si="9"/>
        <v>46</v>
      </c>
      <c r="B57" s="150">
        <f t="shared" si="10"/>
        <v>48.833333333333442</v>
      </c>
      <c r="C57">
        <v>0.01</v>
      </c>
      <c r="D57">
        <f t="shared" si="0"/>
        <v>0.99</v>
      </c>
      <c r="E57">
        <f t="shared" si="11"/>
        <v>0.62982363120323226</v>
      </c>
      <c r="F57">
        <v>2000</v>
      </c>
      <c r="G57">
        <f t="shared" si="12"/>
        <v>82.219807157289253</v>
      </c>
      <c r="H57">
        <f t="shared" si="1"/>
        <v>0.99570564446549459</v>
      </c>
      <c r="I57">
        <f t="shared" si="13"/>
        <v>0.82039797008832249</v>
      </c>
      <c r="J57" s="149">
        <f t="shared" si="2"/>
        <v>1033.412057105576</v>
      </c>
      <c r="K57" s="149">
        <f t="shared" si="3"/>
        <v>42.483470024619024</v>
      </c>
      <c r="L57">
        <f t="shared" si="4"/>
        <v>7.4999999999999997E-3</v>
      </c>
      <c r="M57">
        <f t="shared" si="5"/>
        <v>0.99250000000000005</v>
      </c>
      <c r="N57">
        <f t="shared" si="14"/>
        <v>0.70730008458161486</v>
      </c>
      <c r="O57" s="149">
        <f t="shared" si="6"/>
        <v>1160.5351072681112</v>
      </c>
      <c r="P57" s="131">
        <f t="shared" si="15"/>
        <v>90.441787873018185</v>
      </c>
      <c r="Q57" s="148">
        <f t="shared" si="8"/>
        <v>46.731817027080929</v>
      </c>
    </row>
    <row r="58" spans="1:17" x14ac:dyDescent="0.25">
      <c r="A58">
        <f t="shared" si="9"/>
        <v>47</v>
      </c>
      <c r="B58" s="150">
        <f t="shared" si="10"/>
        <v>48.916666666666778</v>
      </c>
      <c r="C58">
        <v>0.01</v>
      </c>
      <c r="D58">
        <f t="shared" si="0"/>
        <v>0.99</v>
      </c>
      <c r="E58">
        <f t="shared" si="11"/>
        <v>0.62352539489119996</v>
      </c>
      <c r="F58">
        <v>2000</v>
      </c>
      <c r="G58">
        <f t="shared" si="12"/>
        <v>82.384246771603827</v>
      </c>
      <c r="H58">
        <f t="shared" si="1"/>
        <v>0.99570564446549459</v>
      </c>
      <c r="I58">
        <f t="shared" si="13"/>
        <v>0.81687488952497667</v>
      </c>
      <c r="J58" s="149">
        <f t="shared" si="2"/>
        <v>1018.6844761355329</v>
      </c>
      <c r="K58" s="149">
        <f t="shared" si="3"/>
        <v>41.961776632175855</v>
      </c>
      <c r="L58">
        <f t="shared" si="4"/>
        <v>7.4999999999999997E-3</v>
      </c>
      <c r="M58">
        <f t="shared" si="5"/>
        <v>0.99250000000000005</v>
      </c>
      <c r="N58">
        <f t="shared" si="14"/>
        <v>0.70199533394725278</v>
      </c>
      <c r="O58" s="149">
        <f t="shared" si="6"/>
        <v>1146.8847217304224</v>
      </c>
      <c r="P58" s="131">
        <f t="shared" si="15"/>
        <v>90.622671448764223</v>
      </c>
      <c r="Q58" s="148">
        <f t="shared" si="8"/>
        <v>46.157954295393445</v>
      </c>
    </row>
    <row r="59" spans="1:17" x14ac:dyDescent="0.25">
      <c r="A59">
        <f t="shared" si="9"/>
        <v>48</v>
      </c>
      <c r="B59" s="150">
        <f t="shared" si="10"/>
        <v>49.000000000000114</v>
      </c>
      <c r="C59">
        <v>0.01</v>
      </c>
      <c r="D59">
        <f t="shared" si="0"/>
        <v>0.99</v>
      </c>
      <c r="E59">
        <f t="shared" si="11"/>
        <v>0.61729014094228796</v>
      </c>
      <c r="F59">
        <v>2000</v>
      </c>
      <c r="G59">
        <f t="shared" si="12"/>
        <v>82.549015265147034</v>
      </c>
      <c r="H59">
        <f t="shared" si="1"/>
        <v>0.99570564446549459</v>
      </c>
      <c r="I59">
        <f t="shared" si="13"/>
        <v>0.81336693832214657</v>
      </c>
      <c r="J59" s="149">
        <f t="shared" si="2"/>
        <v>1004.1667839893502</v>
      </c>
      <c r="K59" s="149">
        <f t="shared" si="3"/>
        <v>41.446489590145234</v>
      </c>
      <c r="L59">
        <f t="shared" si="4"/>
        <v>7.4999999999999997E-3</v>
      </c>
      <c r="M59">
        <f t="shared" si="5"/>
        <v>0.99250000000000005</v>
      </c>
      <c r="N59">
        <f t="shared" si="14"/>
        <v>0.69673036894264839</v>
      </c>
      <c r="O59" s="149">
        <f t="shared" si="6"/>
        <v>1133.3948940458831</v>
      </c>
      <c r="P59" s="131">
        <f t="shared" si="15"/>
        <v>90.803916791661749</v>
      </c>
      <c r="Q59" s="148">
        <f t="shared" si="8"/>
        <v>45.591138549159766</v>
      </c>
    </row>
    <row r="60" spans="1:17" x14ac:dyDescent="0.25">
      <c r="A60">
        <f t="shared" si="9"/>
        <v>49</v>
      </c>
      <c r="B60" s="150">
        <f t="shared" si="10"/>
        <v>49.083333333333449</v>
      </c>
      <c r="C60">
        <v>0.01</v>
      </c>
      <c r="D60">
        <f t="shared" si="0"/>
        <v>0.99</v>
      </c>
      <c r="E60">
        <f t="shared" si="11"/>
        <v>0.61111723953286512</v>
      </c>
      <c r="F60">
        <v>2000</v>
      </c>
      <c r="G60">
        <f t="shared" si="12"/>
        <v>82.714113295677322</v>
      </c>
      <c r="H60">
        <f t="shared" si="1"/>
        <v>0.99570564446549459</v>
      </c>
      <c r="I60">
        <f t="shared" si="13"/>
        <v>0.80987405150897918</v>
      </c>
      <c r="J60" s="149">
        <f t="shared" si="2"/>
        <v>989.85598945492961</v>
      </c>
      <c r="K60" s="149">
        <f t="shared" si="3"/>
        <v>40.937530229089909</v>
      </c>
      <c r="L60">
        <f t="shared" si="4"/>
        <v>7.4999999999999997E-3</v>
      </c>
      <c r="M60">
        <f t="shared" si="5"/>
        <v>0.99250000000000005</v>
      </c>
      <c r="N60">
        <f t="shared" si="14"/>
        <v>0.69150489117557856</v>
      </c>
      <c r="O60" s="149">
        <f t="shared" si="6"/>
        <v>1120.063735709283</v>
      </c>
      <c r="P60" s="131">
        <f t="shared" si="15"/>
        <v>90.985524625245063</v>
      </c>
      <c r="Q60" s="148">
        <f t="shared" si="8"/>
        <v>45.0312832519989</v>
      </c>
    </row>
    <row r="61" spans="1:17" x14ac:dyDescent="0.25">
      <c r="A61">
        <f t="shared" si="9"/>
        <v>50</v>
      </c>
      <c r="B61" s="150">
        <f t="shared" si="10"/>
        <v>49.166666666666785</v>
      </c>
      <c r="C61">
        <v>0.01</v>
      </c>
      <c r="D61">
        <f t="shared" si="0"/>
        <v>0.99</v>
      </c>
      <c r="E61">
        <f t="shared" si="11"/>
        <v>0.60500606713753646</v>
      </c>
      <c r="F61">
        <v>2000</v>
      </c>
      <c r="G61">
        <f t="shared" si="12"/>
        <v>82.879541522268681</v>
      </c>
      <c r="H61">
        <f t="shared" si="1"/>
        <v>0.99570564446549459</v>
      </c>
      <c r="I61">
        <f t="shared" si="13"/>
        <v>0.80639616439362927</v>
      </c>
      <c r="J61" s="149">
        <f t="shared" si="2"/>
        <v>975.74914394916789</v>
      </c>
      <c r="K61" s="149">
        <f t="shared" si="3"/>
        <v>40.434820845626597</v>
      </c>
      <c r="L61">
        <f t="shared" si="4"/>
        <v>7.4999999999999997E-3</v>
      </c>
      <c r="M61">
        <f t="shared" si="5"/>
        <v>0.99250000000000005</v>
      </c>
      <c r="N61">
        <f t="shared" si="14"/>
        <v>0.68631860449176174</v>
      </c>
      <c r="O61" s="149">
        <f t="shared" si="6"/>
        <v>1106.88938042829</v>
      </c>
      <c r="P61" s="131">
        <f t="shared" si="15"/>
        <v>91.167495674495555</v>
      </c>
      <c r="Q61" s="148">
        <f t="shared" si="8"/>
        <v>44.478302930189251</v>
      </c>
    </row>
    <row r="62" spans="1:17" x14ac:dyDescent="0.25">
      <c r="A62">
        <f t="shared" si="9"/>
        <v>51</v>
      </c>
      <c r="B62" s="150">
        <f t="shared" si="10"/>
        <v>49.250000000000121</v>
      </c>
      <c r="C62">
        <v>0.01</v>
      </c>
      <c r="D62">
        <f t="shared" si="0"/>
        <v>0.99</v>
      </c>
      <c r="E62">
        <f t="shared" si="11"/>
        <v>0.59895600646616109</v>
      </c>
      <c r="F62">
        <v>2000</v>
      </c>
      <c r="G62">
        <f t="shared" si="12"/>
        <v>83.045300605313216</v>
      </c>
      <c r="H62">
        <f t="shared" si="1"/>
        <v>0.99570564446549459</v>
      </c>
      <c r="I62">
        <f t="shared" si="13"/>
        <v>0.80293321256206152</v>
      </c>
      <c r="J62" s="149">
        <f t="shared" si="2"/>
        <v>961.84334091043513</v>
      </c>
      <c r="K62" s="149">
        <f t="shared" si="3"/>
        <v>39.938284690562924</v>
      </c>
      <c r="L62">
        <f t="shared" si="4"/>
        <v>7.4999999999999997E-3</v>
      </c>
      <c r="M62">
        <f t="shared" si="5"/>
        <v>0.99250000000000005</v>
      </c>
      <c r="N62">
        <f t="shared" si="14"/>
        <v>0.68117121495807353</v>
      </c>
      <c r="O62" s="149">
        <f t="shared" si="6"/>
        <v>1093.8699838621772</v>
      </c>
      <c r="P62" s="131">
        <f t="shared" si="15"/>
        <v>91.34983066584455</v>
      </c>
      <c r="Q62" s="148">
        <f t="shared" si="8"/>
        <v>43.932113159619227</v>
      </c>
    </row>
    <row r="63" spans="1:17" x14ac:dyDescent="0.25">
      <c r="A63">
        <f t="shared" si="9"/>
        <v>52</v>
      </c>
      <c r="B63" s="150">
        <f t="shared" si="10"/>
        <v>49.333333333333456</v>
      </c>
      <c r="C63">
        <v>0.01</v>
      </c>
      <c r="D63">
        <f t="shared" si="0"/>
        <v>0.99</v>
      </c>
      <c r="E63">
        <f t="shared" si="11"/>
        <v>0.59296644640149943</v>
      </c>
      <c r="F63">
        <v>2000</v>
      </c>
      <c r="G63">
        <f t="shared" si="12"/>
        <v>83.211391206523842</v>
      </c>
      <c r="H63">
        <f t="shared" si="1"/>
        <v>0.99570564446549459</v>
      </c>
      <c r="I63">
        <f t="shared" si="13"/>
        <v>0.79948513187685744</v>
      </c>
      <c r="J63" s="149">
        <f t="shared" si="2"/>
        <v>948.13571519970856</v>
      </c>
      <c r="K63" s="149">
        <f t="shared" si="3"/>
        <v>39.447845957180107</v>
      </c>
      <c r="L63">
        <f t="shared" si="4"/>
        <v>7.4999999999999997E-3</v>
      </c>
      <c r="M63">
        <f t="shared" si="5"/>
        <v>0.99250000000000005</v>
      </c>
      <c r="N63">
        <f t="shared" si="14"/>
        <v>0.67606243084588802</v>
      </c>
      <c r="O63" s="149">
        <f t="shared" si="6"/>
        <v>1081.0037233636272</v>
      </c>
      <c r="P63" s="131">
        <f t="shared" si="15"/>
        <v>91.532530327176232</v>
      </c>
      <c r="Q63" s="148">
        <f t="shared" si="8"/>
        <v>43.392630552898126</v>
      </c>
    </row>
    <row r="64" spans="1:17" x14ac:dyDescent="0.25">
      <c r="A64">
        <f t="shared" si="9"/>
        <v>53</v>
      </c>
      <c r="B64" s="150">
        <f t="shared" si="10"/>
        <v>49.416666666666792</v>
      </c>
      <c r="C64">
        <v>0.01</v>
      </c>
      <c r="D64">
        <f t="shared" si="0"/>
        <v>0.99</v>
      </c>
      <c r="E64">
        <f t="shared" si="11"/>
        <v>0.58703678193748443</v>
      </c>
      <c r="F64">
        <v>2000</v>
      </c>
      <c r="G64">
        <f t="shared" si="12"/>
        <v>83.377813988936893</v>
      </c>
      <c r="H64">
        <f t="shared" si="1"/>
        <v>0.99570564446549459</v>
      </c>
      <c r="I64">
        <f t="shared" si="13"/>
        <v>0.79605185847602722</v>
      </c>
      <c r="J64" s="149">
        <f t="shared" si="2"/>
        <v>934.6234425102416</v>
      </c>
      <c r="K64" s="149">
        <f t="shared" si="3"/>
        <v>38.963429769659392</v>
      </c>
      <c r="L64">
        <f t="shared" si="4"/>
        <v>7.4999999999999997E-3</v>
      </c>
      <c r="M64">
        <f t="shared" si="5"/>
        <v>0.99250000000000005</v>
      </c>
      <c r="N64">
        <f t="shared" si="14"/>
        <v>0.67099196261454386</v>
      </c>
      <c r="O64" s="149">
        <f t="shared" si="6"/>
        <v>1068.2887977235691</v>
      </c>
      <c r="P64" s="131">
        <f t="shared" si="15"/>
        <v>91.715595387830589</v>
      </c>
      <c r="Q64" s="148">
        <f t="shared" si="8"/>
        <v>42.859772746625332</v>
      </c>
    </row>
    <row r="65" spans="1:17" x14ac:dyDescent="0.25">
      <c r="A65">
        <f t="shared" si="9"/>
        <v>54</v>
      </c>
      <c r="B65" s="150">
        <f t="shared" si="10"/>
        <v>49.500000000000128</v>
      </c>
      <c r="C65">
        <v>0.01</v>
      </c>
      <c r="D65">
        <f t="shared" si="0"/>
        <v>0.99</v>
      </c>
      <c r="E65">
        <f t="shared" si="11"/>
        <v>0.58116641411810954</v>
      </c>
      <c r="F65">
        <v>2000</v>
      </c>
      <c r="G65">
        <f t="shared" si="12"/>
        <v>83.544569616914771</v>
      </c>
      <c r="H65">
        <f t="shared" si="1"/>
        <v>0.99570564446549459</v>
      </c>
      <c r="I65">
        <f t="shared" si="13"/>
        <v>0.79263332877182735</v>
      </c>
      <c r="J65" s="149">
        <f t="shared" si="2"/>
        <v>921.30373878564694</v>
      </c>
      <c r="K65" s="149">
        <f t="shared" si="3"/>
        <v>38.484962171650672</v>
      </c>
      <c r="L65">
        <f t="shared" si="4"/>
        <v>7.4999999999999997E-3</v>
      </c>
      <c r="M65">
        <f t="shared" si="5"/>
        <v>0.99250000000000005</v>
      </c>
      <c r="N65">
        <f t="shared" si="14"/>
        <v>0.66595952289493476</v>
      </c>
      <c r="O65" s="149">
        <f t="shared" si="6"/>
        <v>1055.7234269190201</v>
      </c>
      <c r="P65" s="131">
        <f t="shared" si="15"/>
        <v>91.899026578606254</v>
      </c>
      <c r="Q65" s="148">
        <f t="shared" si="8"/>
        <v>42.333458388815743</v>
      </c>
    </row>
    <row r="66" spans="1:17" x14ac:dyDescent="0.25">
      <c r="A66">
        <f t="shared" si="9"/>
        <v>55</v>
      </c>
      <c r="B66" s="150">
        <f t="shared" si="10"/>
        <v>49.583333333333464</v>
      </c>
      <c r="C66">
        <v>0.01</v>
      </c>
      <c r="D66">
        <f t="shared" si="0"/>
        <v>0.99</v>
      </c>
      <c r="E66">
        <f t="shared" si="11"/>
        <v>0.57535474997692848</v>
      </c>
      <c r="F66">
        <v>2000</v>
      </c>
      <c r="G66">
        <f t="shared" si="12"/>
        <v>83.711658756148594</v>
      </c>
      <c r="H66">
        <f t="shared" si="1"/>
        <v>0.99570564446549459</v>
      </c>
      <c r="I66">
        <f t="shared" si="13"/>
        <v>0.78922947944958266</v>
      </c>
      <c r="J66" s="149">
        <f t="shared" si="2"/>
        <v>908.17385964627204</v>
      </c>
      <c r="K66" s="149">
        <f t="shared" si="3"/>
        <v>38.012370114981557</v>
      </c>
      <c r="L66">
        <f t="shared" si="4"/>
        <v>7.4999999999999997E-3</v>
      </c>
      <c r="M66">
        <f t="shared" si="5"/>
        <v>0.99250000000000005</v>
      </c>
      <c r="N66">
        <f t="shared" si="14"/>
        <v>0.66096482647322274</v>
      </c>
      <c r="O66" s="149">
        <f t="shared" si="6"/>
        <v>1043.3058518638907</v>
      </c>
      <c r="P66" s="131">
        <f t="shared" si="15"/>
        <v>92.082824631763458</v>
      </c>
      <c r="Q66" s="148">
        <f t="shared" si="8"/>
        <v>41.813607126479717</v>
      </c>
    </row>
    <row r="67" spans="1:17" x14ac:dyDescent="0.25">
      <c r="A67">
        <f t="shared" si="9"/>
        <v>56</v>
      </c>
      <c r="B67" s="150">
        <f t="shared" si="10"/>
        <v>49.666666666666799</v>
      </c>
      <c r="C67">
        <v>0.01</v>
      </c>
      <c r="D67">
        <f t="shared" si="0"/>
        <v>0.99</v>
      </c>
      <c r="E67">
        <f t="shared" si="11"/>
        <v>0.56960120247715917</v>
      </c>
      <c r="F67">
        <v>2000</v>
      </c>
      <c r="G67">
        <f t="shared" si="12"/>
        <v>83.879082073660896</v>
      </c>
      <c r="H67">
        <f t="shared" si="1"/>
        <v>0.99570564446549459</v>
      </c>
      <c r="I67">
        <f t="shared" si="13"/>
        <v>0.78584024746651349</v>
      </c>
      <c r="J67" s="149">
        <f t="shared" si="2"/>
        <v>895.23109982374888</v>
      </c>
      <c r="K67" s="149">
        <f t="shared" si="3"/>
        <v>37.545581448504976</v>
      </c>
      <c r="L67">
        <f t="shared" si="4"/>
        <v>7.4999999999999997E-3</v>
      </c>
      <c r="M67">
        <f t="shared" si="5"/>
        <v>0.99250000000000005</v>
      </c>
      <c r="N67">
        <f t="shared" si="14"/>
        <v>0.65600759027467359</v>
      </c>
      <c r="O67" s="149">
        <f t="shared" si="6"/>
        <v>1031.0343341627213</v>
      </c>
      <c r="P67" s="131">
        <f t="shared" si="15"/>
        <v>92.266990281026992</v>
      </c>
      <c r="Q67" s="148">
        <f t="shared" si="8"/>
        <v>41.300139593355475</v>
      </c>
    </row>
    <row r="68" spans="1:17" x14ac:dyDescent="0.25">
      <c r="A68">
        <f t="shared" si="9"/>
        <v>57</v>
      </c>
      <c r="B68" s="150">
        <f t="shared" si="10"/>
        <v>49.750000000000135</v>
      </c>
      <c r="C68">
        <v>0.01</v>
      </c>
      <c r="D68">
        <f t="shared" si="0"/>
        <v>0.99</v>
      </c>
      <c r="E68">
        <f t="shared" si="11"/>
        <v>0.56390519045238763</v>
      </c>
      <c r="F68">
        <v>2000</v>
      </c>
      <c r="G68">
        <f t="shared" si="12"/>
        <v>84.046840237808212</v>
      </c>
      <c r="H68">
        <f t="shared" si="1"/>
        <v>0.99570564446549459</v>
      </c>
      <c r="I68">
        <f t="shared" si="13"/>
        <v>0.7824655700505686</v>
      </c>
      <c r="J68" s="149">
        <f t="shared" si="2"/>
        <v>882.47279260360381</v>
      </c>
      <c r="K68" s="149">
        <f t="shared" si="3"/>
        <v>37.084524907083775</v>
      </c>
      <c r="L68">
        <f t="shared" si="4"/>
        <v>7.4999999999999997E-3</v>
      </c>
      <c r="M68">
        <f t="shared" si="5"/>
        <v>0.99250000000000005</v>
      </c>
      <c r="N68">
        <f t="shared" si="14"/>
        <v>0.6510875333476136</v>
      </c>
      <c r="O68" s="149">
        <f t="shared" si="6"/>
        <v>1018.907155867318</v>
      </c>
      <c r="P68" s="131">
        <f t="shared" si="15"/>
        <v>92.451524261589043</v>
      </c>
      <c r="Q68" s="148">
        <f t="shared" si="8"/>
        <v>40.792977397792164</v>
      </c>
    </row>
    <row r="69" spans="1:17" x14ac:dyDescent="0.25">
      <c r="A69">
        <f t="shared" si="9"/>
        <v>58</v>
      </c>
      <c r="B69" s="150">
        <f t="shared" si="10"/>
        <v>49.833333333333471</v>
      </c>
      <c r="C69">
        <v>0.01</v>
      </c>
      <c r="D69">
        <f t="shared" si="0"/>
        <v>0.99</v>
      </c>
      <c r="E69">
        <f t="shared" si="11"/>
        <v>0.55826613854786378</v>
      </c>
      <c r="F69">
        <v>2000</v>
      </c>
      <c r="G69">
        <f t="shared" si="12"/>
        <v>84.214933918283833</v>
      </c>
      <c r="H69">
        <f t="shared" si="1"/>
        <v>0.99570564446549459</v>
      </c>
      <c r="I69">
        <f t="shared" si="13"/>
        <v>0.77910538469926205</v>
      </c>
      <c r="J69" s="149">
        <f t="shared" si="2"/>
        <v>869.89630927580981</v>
      </c>
      <c r="K69" s="149">
        <f t="shared" si="3"/>
        <v>36.629130100710661</v>
      </c>
      <c r="L69">
        <f t="shared" si="4"/>
        <v>7.4999999999999997E-3</v>
      </c>
      <c r="M69">
        <f t="shared" si="5"/>
        <v>0.99250000000000005</v>
      </c>
      <c r="N69">
        <f t="shared" si="14"/>
        <v>0.64620437684750653</v>
      </c>
      <c r="O69" s="149">
        <f t="shared" si="6"/>
        <v>1006.922619236247</v>
      </c>
      <c r="P69" s="131">
        <f t="shared" si="15"/>
        <v>92.636427310112225</v>
      </c>
      <c r="Q69" s="148">
        <f t="shared" si="8"/>
        <v>40.292043110781734</v>
      </c>
    </row>
    <row r="70" spans="1:17" x14ac:dyDescent="0.25">
      <c r="A70">
        <f t="shared" si="9"/>
        <v>59</v>
      </c>
      <c r="B70" s="150">
        <f t="shared" si="10"/>
        <v>49.916666666666806</v>
      </c>
      <c r="C70">
        <v>0.01</v>
      </c>
      <c r="D70">
        <f t="shared" si="0"/>
        <v>0.99</v>
      </c>
      <c r="E70">
        <f t="shared" si="11"/>
        <v>0.55268347716238508</v>
      </c>
      <c r="F70">
        <v>2000</v>
      </c>
      <c r="G70">
        <f t="shared" si="12"/>
        <v>84.383363786120398</v>
      </c>
      <c r="H70">
        <f t="shared" si="1"/>
        <v>0.99570564446549459</v>
      </c>
      <c r="I70">
        <f t="shared" si="13"/>
        <v>0.77575962917851582</v>
      </c>
      <c r="J70" s="149">
        <f t="shared" si="2"/>
        <v>857.49905859316914</v>
      </c>
      <c r="K70" s="149">
        <f t="shared" si="3"/>
        <v>36.179327503761577</v>
      </c>
      <c r="L70">
        <f t="shared" si="4"/>
        <v>7.4999999999999997E-3</v>
      </c>
      <c r="M70">
        <f t="shared" si="5"/>
        <v>0.99250000000000005</v>
      </c>
      <c r="N70">
        <f t="shared" si="14"/>
        <v>0.64135784402115026</v>
      </c>
      <c r="O70" s="149">
        <f t="shared" si="6"/>
        <v>995.07904649715988</v>
      </c>
      <c r="P70" s="131">
        <f t="shared" si="15"/>
        <v>92.821700164732448</v>
      </c>
      <c r="Q70" s="148">
        <f t="shared" si="8"/>
        <v>39.79726025413774</v>
      </c>
    </row>
    <row r="71" spans="1:17" x14ac:dyDescent="0.25">
      <c r="A71">
        <f t="shared" si="9"/>
        <v>60</v>
      </c>
      <c r="B71" s="150">
        <f t="shared" si="10"/>
        <v>50.000000000000142</v>
      </c>
      <c r="C71">
        <v>0.01</v>
      </c>
      <c r="D71">
        <f t="shared" si="0"/>
        <v>0.99</v>
      </c>
      <c r="E71">
        <f t="shared" si="11"/>
        <v>0.54715664239076123</v>
      </c>
      <c r="F71">
        <v>2000</v>
      </c>
      <c r="G71">
        <f t="shared" si="12"/>
        <v>84.552130513692646</v>
      </c>
      <c r="H71">
        <f t="shared" si="1"/>
        <v>0.99570564446549459</v>
      </c>
      <c r="I71">
        <f t="shared" si="13"/>
        <v>0.77242824152150724</v>
      </c>
      <c r="J71" s="149">
        <f t="shared" si="2"/>
        <v>845.27848623741579</v>
      </c>
      <c r="K71" s="149">
        <f t="shared" si="3"/>
        <v>35.73504844438127</v>
      </c>
      <c r="L71">
        <f t="shared" si="4"/>
        <v>7.4999999999999997E-3</v>
      </c>
      <c r="M71">
        <f t="shared" si="5"/>
        <v>0.99250000000000005</v>
      </c>
      <c r="N71">
        <f t="shared" si="14"/>
        <v>0.63654766019099163</v>
      </c>
      <c r="O71" s="149">
        <f t="shared" si="6"/>
        <v>983.3747796119153</v>
      </c>
      <c r="P71" s="131">
        <f t="shared" si="15"/>
        <v>93.007343565061916</v>
      </c>
      <c r="Q71" s="148">
        <f t="shared" si="8"/>
        <v>39.308553288819397</v>
      </c>
    </row>
    <row r="72" spans="1:17" x14ac:dyDescent="0.25">
      <c r="A72">
        <f t="shared" si="9"/>
        <v>61</v>
      </c>
      <c r="B72" s="150">
        <f t="shared" si="10"/>
        <v>50.083333333333478</v>
      </c>
      <c r="C72">
        <v>0.01</v>
      </c>
      <c r="D72">
        <f t="shared" si="0"/>
        <v>0.99</v>
      </c>
      <c r="E72">
        <f t="shared" si="11"/>
        <v>0.54168507596685356</v>
      </c>
      <c r="F72">
        <v>2000</v>
      </c>
      <c r="G72">
        <f t="shared" si="12"/>
        <v>84.721234774720031</v>
      </c>
      <c r="H72">
        <f t="shared" si="1"/>
        <v>0.99570564446549459</v>
      </c>
      <c r="I72">
        <f t="shared" si="13"/>
        <v>0.76911116002752111</v>
      </c>
      <c r="J72" s="149">
        <f t="shared" si="2"/>
        <v>833.23207429292529</v>
      </c>
      <c r="K72" s="149">
        <f t="shared" si="3"/>
        <v>35.296225093998942</v>
      </c>
      <c r="L72">
        <f t="shared" si="4"/>
        <v>7.4999999999999997E-3</v>
      </c>
      <c r="M72">
        <f t="shared" si="5"/>
        <v>0.99250000000000005</v>
      </c>
      <c r="N72">
        <f t="shared" si="14"/>
        <v>0.63177355273955926</v>
      </c>
      <c r="O72" s="149">
        <f t="shared" si="6"/>
        <v>971.80818004446144</v>
      </c>
      <c r="P72" s="131">
        <f t="shared" si="15"/>
        <v>93.193358252192041</v>
      </c>
      <c r="Q72" s="148">
        <f t="shared" si="8"/>
        <v>38.825847603398834</v>
      </c>
    </row>
    <row r="73" spans="1:17" x14ac:dyDescent="0.25">
      <c r="A73">
        <f t="shared" si="9"/>
        <v>62</v>
      </c>
      <c r="B73" s="150">
        <f t="shared" si="10"/>
        <v>50.166666666666814</v>
      </c>
      <c r="C73">
        <v>0.01</v>
      </c>
      <c r="D73">
        <f t="shared" si="0"/>
        <v>0.99</v>
      </c>
      <c r="E73">
        <f t="shared" si="11"/>
        <v>0.53626822520718498</v>
      </c>
      <c r="F73">
        <v>2000</v>
      </c>
      <c r="G73">
        <f t="shared" si="12"/>
        <v>84.890677244269469</v>
      </c>
      <c r="H73">
        <f t="shared" si="1"/>
        <v>0.99570564446549459</v>
      </c>
      <c r="I73">
        <f t="shared" si="13"/>
        <v>0.76580832326080706</v>
      </c>
      <c r="J73" s="149">
        <f t="shared" si="2"/>
        <v>821.35734072792638</v>
      </c>
      <c r="K73" s="149">
        <f t="shared" si="3"/>
        <v>34.862790456972931</v>
      </c>
      <c r="L73">
        <f t="shared" si="4"/>
        <v>7.4999999999999997E-3</v>
      </c>
      <c r="M73">
        <f t="shared" si="5"/>
        <v>0.99250000000000005</v>
      </c>
      <c r="N73">
        <f t="shared" si="14"/>
        <v>0.62703525109401259</v>
      </c>
      <c r="O73" s="149">
        <f t="shared" si="6"/>
        <v>960.37762853144977</v>
      </c>
      <c r="P73" s="131">
        <f t="shared" si="15"/>
        <v>93.379744968696428</v>
      </c>
      <c r="Q73" s="148">
        <f t="shared" si="8"/>
        <v>38.349069502670233</v>
      </c>
    </row>
    <row r="74" spans="1:17" x14ac:dyDescent="0.25">
      <c r="A74">
        <f t="shared" si="9"/>
        <v>63</v>
      </c>
      <c r="B74" s="150">
        <f t="shared" si="10"/>
        <v>50.250000000000149</v>
      </c>
      <c r="C74">
        <v>0.01</v>
      </c>
      <c r="D74">
        <f t="shared" si="0"/>
        <v>0.99</v>
      </c>
      <c r="E74">
        <f t="shared" si="11"/>
        <v>0.53090554295511316</v>
      </c>
      <c r="F74">
        <v>2000</v>
      </c>
      <c r="G74">
        <f t="shared" si="12"/>
        <v>85.060458598758004</v>
      </c>
      <c r="H74">
        <f t="shared" si="1"/>
        <v>0.99570564446549459</v>
      </c>
      <c r="I74">
        <f t="shared" si="13"/>
        <v>0.76251967004944166</v>
      </c>
      <c r="J74" s="149">
        <f t="shared" si="2"/>
        <v>809.65183888310526</v>
      </c>
      <c r="K74" s="149">
        <f t="shared" si="3"/>
        <v>34.434678360362327</v>
      </c>
      <c r="L74">
        <f t="shared" si="4"/>
        <v>7.4999999999999997E-3</v>
      </c>
      <c r="M74">
        <f t="shared" si="5"/>
        <v>0.99250000000000005</v>
      </c>
      <c r="N74">
        <f t="shared" si="14"/>
        <v>0.62233248671080754</v>
      </c>
      <c r="O74" s="149">
        <f t="shared" si="6"/>
        <v>949.08152485554695</v>
      </c>
      <c r="P74" s="131">
        <f t="shared" si="15"/>
        <v>93.566504458633815</v>
      </c>
      <c r="Q74" s="148">
        <f t="shared" si="8"/>
        <v>37.878146196398561</v>
      </c>
    </row>
    <row r="75" spans="1:17" x14ac:dyDescent="0.25">
      <c r="A75">
        <f t="shared" si="9"/>
        <v>64</v>
      </c>
      <c r="B75" s="150">
        <f t="shared" si="10"/>
        <v>50.333333333333485</v>
      </c>
      <c r="C75">
        <v>0.01</v>
      </c>
      <c r="D75">
        <f t="shared" si="0"/>
        <v>0.99</v>
      </c>
      <c r="E75">
        <f t="shared" si="11"/>
        <v>0.52559648752556198</v>
      </c>
      <c r="F75">
        <v>2000</v>
      </c>
      <c r="G75">
        <f t="shared" si="12"/>
        <v>85.230579515955526</v>
      </c>
      <c r="H75">
        <f t="shared" si="1"/>
        <v>0.99570564446549459</v>
      </c>
      <c r="I75">
        <f t="shared" si="13"/>
        <v>0.75924513948419559</v>
      </c>
      <c r="J75" s="149">
        <f t="shared" si="2"/>
        <v>798.11315696749716</v>
      </c>
      <c r="K75" s="149">
        <f t="shared" si="3"/>
        <v>34.011823443824284</v>
      </c>
      <c r="L75">
        <f t="shared" si="4"/>
        <v>7.4999999999999997E-3</v>
      </c>
      <c r="M75">
        <f t="shared" si="5"/>
        <v>0.99250000000000005</v>
      </c>
      <c r="N75">
        <f t="shared" si="14"/>
        <v>0.61766499306047651</v>
      </c>
      <c r="O75" s="149">
        <f t="shared" si="6"/>
        <v>937.91828762141233</v>
      </c>
      <c r="P75" s="131">
        <f t="shared" si="15"/>
        <v>93.753637467551087</v>
      </c>
      <c r="Q75" s="148">
        <f t="shared" si="8"/>
        <v>37.413005788206711</v>
      </c>
    </row>
    <row r="76" spans="1:17" x14ac:dyDescent="0.25">
      <c r="A76">
        <f t="shared" si="9"/>
        <v>65</v>
      </c>
      <c r="B76" s="150">
        <f t="shared" si="10"/>
        <v>50.416666666666821</v>
      </c>
      <c r="C76">
        <v>0.01</v>
      </c>
      <c r="D76">
        <f t="shared" ref="D76:D139" si="16">1-C76</f>
        <v>0.99</v>
      </c>
      <c r="E76">
        <f t="shared" si="11"/>
        <v>0.52034052265030639</v>
      </c>
      <c r="F76">
        <v>2000</v>
      </c>
      <c r="G76">
        <f t="shared" si="12"/>
        <v>85.401040674987442</v>
      </c>
      <c r="H76">
        <f t="shared" ref="H76:H139" si="17">1/(1+$B$1)^(1/12)</f>
        <v>0.99570564446549459</v>
      </c>
      <c r="I76">
        <f t="shared" si="13"/>
        <v>0.75598467091740529</v>
      </c>
      <c r="J76" s="149">
        <f t="shared" ref="J76:J139" si="18">F76*E76*I76</f>
        <v>786.73891756156513</v>
      </c>
      <c r="K76" s="149">
        <f t="shared" ref="K76:K139" si="19">G76*E76*I76</f>
        <v>33.594161149635404</v>
      </c>
      <c r="L76">
        <f t="shared" ref="L76:L139" si="20">C76*0.75</f>
        <v>7.4999999999999997E-3</v>
      </c>
      <c r="M76">
        <f t="shared" ref="M76:M139" si="21">1-L76</f>
        <v>0.99250000000000005</v>
      </c>
      <c r="N76">
        <f t="shared" si="14"/>
        <v>0.61303250561252298</v>
      </c>
      <c r="O76" s="149">
        <f t="shared" ref="O76:O139" si="22">F76*N76*I76</f>
        <v>926.88635403431124</v>
      </c>
      <c r="P76" s="131">
        <f t="shared" si="15"/>
        <v>93.941144742486188</v>
      </c>
      <c r="Q76" s="148">
        <f t="shared" ref="Q76:Q139" si="23">P76*E76*I76</f>
        <v>36.953577264598948</v>
      </c>
    </row>
    <row r="77" spans="1:17" x14ac:dyDescent="0.25">
      <c r="A77">
        <f t="shared" ref="A77:A140" si="24">A76+1</f>
        <v>66</v>
      </c>
      <c r="B77" s="150">
        <f t="shared" ref="B77:B140" si="25">B76+1/12</f>
        <v>50.500000000000156</v>
      </c>
      <c r="C77">
        <v>0.01</v>
      </c>
      <c r="D77">
        <f t="shared" si="16"/>
        <v>0.99</v>
      </c>
      <c r="E77">
        <f t="shared" ref="E77:E140" si="26">E76*D77</f>
        <v>0.5151371174238033</v>
      </c>
      <c r="F77">
        <v>2000</v>
      </c>
      <c r="G77">
        <f t="shared" ref="G77:G140" si="27">G76*1.002</f>
        <v>85.571842756337418</v>
      </c>
      <c r="H77">
        <f t="shared" si="17"/>
        <v>0.99570564446549459</v>
      </c>
      <c r="I77">
        <f t="shared" ref="I77:I140" si="28">H77*I76</f>
        <v>0.75273820396184987</v>
      </c>
      <c r="J77" s="149">
        <f t="shared" si="18"/>
        <v>775.52677712735647</v>
      </c>
      <c r="K77" s="149">
        <f t="shared" si="19"/>
        <v>33.181627712835642</v>
      </c>
      <c r="L77">
        <f t="shared" si="20"/>
        <v>7.4999999999999997E-3</v>
      </c>
      <c r="M77">
        <f t="shared" si="21"/>
        <v>0.99250000000000005</v>
      </c>
      <c r="N77">
        <f t="shared" ref="N77:N140" si="29">M77*N76</f>
        <v>0.6084347618204291</v>
      </c>
      <c r="O77" s="149">
        <f t="shared" si="22"/>
        <v>915.9841796813314</v>
      </c>
      <c r="P77" s="131">
        <f t="shared" si="15"/>
        <v>94.129027031971162</v>
      </c>
      <c r="Q77" s="148">
        <f t="shared" si="23"/>
        <v>36.49979048411921</v>
      </c>
    </row>
    <row r="78" spans="1:17" x14ac:dyDescent="0.25">
      <c r="A78">
        <f t="shared" si="24"/>
        <v>67</v>
      </c>
      <c r="B78" s="150">
        <f t="shared" si="25"/>
        <v>50.583333333333492</v>
      </c>
      <c r="C78">
        <v>0.01</v>
      </c>
      <c r="D78">
        <f t="shared" si="16"/>
        <v>0.99</v>
      </c>
      <c r="E78">
        <f t="shared" si="26"/>
        <v>0.50998574624956527</v>
      </c>
      <c r="F78">
        <v>2000</v>
      </c>
      <c r="G78">
        <f t="shared" si="27"/>
        <v>85.742986441850093</v>
      </c>
      <c r="H78">
        <f t="shared" si="17"/>
        <v>0.99570564446549459</v>
      </c>
      <c r="I78">
        <f t="shared" si="28"/>
        <v>0.74950567848963268</v>
      </c>
      <c r="J78" s="149">
        <f t="shared" si="18"/>
        <v>764.47442552564416</v>
      </c>
      <c r="K78" s="149">
        <f t="shared" si="19"/>
        <v>32.77416015149322</v>
      </c>
      <c r="L78">
        <f t="shared" si="20"/>
        <v>7.4999999999999997E-3</v>
      </c>
      <c r="M78">
        <f t="shared" si="21"/>
        <v>0.99250000000000005</v>
      </c>
      <c r="N78">
        <f t="shared" si="29"/>
        <v>0.6038715011067759</v>
      </c>
      <c r="O78" s="149">
        <f t="shared" si="22"/>
        <v>905.21023831517402</v>
      </c>
      <c r="P78" s="131">
        <f t="shared" si="15"/>
        <v>94.317285086035113</v>
      </c>
      <c r="Q78" s="148">
        <f t="shared" si="23"/>
        <v>36.051576166642548</v>
      </c>
    </row>
    <row r="79" spans="1:17" x14ac:dyDescent="0.25">
      <c r="A79">
        <f t="shared" si="24"/>
        <v>68</v>
      </c>
      <c r="B79" s="150">
        <f t="shared" si="25"/>
        <v>50.666666666666828</v>
      </c>
      <c r="C79">
        <v>0.01</v>
      </c>
      <c r="D79">
        <f t="shared" si="16"/>
        <v>0.99</v>
      </c>
      <c r="E79">
        <f t="shared" si="26"/>
        <v>0.50488588878706964</v>
      </c>
      <c r="F79">
        <v>2000</v>
      </c>
      <c r="G79">
        <f t="shared" si="27"/>
        <v>85.914472414733794</v>
      </c>
      <c r="H79">
        <f t="shared" si="17"/>
        <v>0.99570564446549459</v>
      </c>
      <c r="I79">
        <f t="shared" si="28"/>
        <v>0.74628703463106749</v>
      </c>
      <c r="J79" s="149">
        <f t="shared" si="18"/>
        <v>753.57958553994627</v>
      </c>
      <c r="K79" s="149">
        <f t="shared" si="19"/>
        <v>32.37169625708912</v>
      </c>
      <c r="L79">
        <f t="shared" si="20"/>
        <v>7.4999999999999997E-3</v>
      </c>
      <c r="M79">
        <f t="shared" si="21"/>
        <v>0.99250000000000005</v>
      </c>
      <c r="N79">
        <f t="shared" si="29"/>
        <v>0.59934246484847509</v>
      </c>
      <c r="O79" s="149">
        <f t="shared" si="22"/>
        <v>894.56302164048657</v>
      </c>
      <c r="P79" s="131">
        <f t="shared" si="15"/>
        <v>94.505919656207183</v>
      </c>
      <c r="Q79" s="148">
        <f t="shared" si="23"/>
        <v>35.608865882798035</v>
      </c>
    </row>
    <row r="80" spans="1:17" x14ac:dyDescent="0.25">
      <c r="A80">
        <f t="shared" si="24"/>
        <v>69</v>
      </c>
      <c r="B80" s="150">
        <f t="shared" si="25"/>
        <v>50.750000000000163</v>
      </c>
      <c r="C80">
        <v>0.01</v>
      </c>
      <c r="D80">
        <f t="shared" si="16"/>
        <v>0.99</v>
      </c>
      <c r="E80">
        <f t="shared" si="26"/>
        <v>0.49983702989919893</v>
      </c>
      <c r="F80">
        <v>2000</v>
      </c>
      <c r="G80">
        <f t="shared" si="27"/>
        <v>86.086301359563265</v>
      </c>
      <c r="H80">
        <f t="shared" si="17"/>
        <v>0.99570564446549459</v>
      </c>
      <c r="I80">
        <f t="shared" si="28"/>
        <v>0.74308221277356989</v>
      </c>
      <c r="J80" s="149">
        <f t="shared" si="18"/>
        <v>742.84001240733153</v>
      </c>
      <c r="K80" s="149">
        <f t="shared" si="19"/>
        <v>31.974174585019629</v>
      </c>
      <c r="L80">
        <f t="shared" si="20"/>
        <v>7.4999999999999997E-3</v>
      </c>
      <c r="M80">
        <f t="shared" si="21"/>
        <v>0.99250000000000005</v>
      </c>
      <c r="N80">
        <f t="shared" si="29"/>
        <v>0.59484739636211159</v>
      </c>
      <c r="O80" s="149">
        <f t="shared" si="22"/>
        <v>884.04103910270931</v>
      </c>
      <c r="P80" s="131">
        <f t="shared" si="15"/>
        <v>94.694931495519597</v>
      </c>
      <c r="Q80" s="148">
        <f t="shared" si="23"/>
        <v>35.171592043521592</v>
      </c>
    </row>
    <row r="81" spans="1:17" x14ac:dyDescent="0.25">
      <c r="A81">
        <f t="shared" si="24"/>
        <v>70</v>
      </c>
      <c r="B81" s="150">
        <f t="shared" si="25"/>
        <v>50.833333333333499</v>
      </c>
      <c r="C81">
        <v>0.01</v>
      </c>
      <c r="D81">
        <f t="shared" si="16"/>
        <v>0.99</v>
      </c>
      <c r="E81">
        <f t="shared" si="26"/>
        <v>0.49483865960020695</v>
      </c>
      <c r="F81">
        <v>2000</v>
      </c>
      <c r="G81">
        <f t="shared" si="27"/>
        <v>86.258473962282395</v>
      </c>
      <c r="H81">
        <f t="shared" si="17"/>
        <v>0.99570564446549459</v>
      </c>
      <c r="I81">
        <f t="shared" si="28"/>
        <v>0.73989115356055324</v>
      </c>
      <c r="J81" s="149">
        <f t="shared" si="18"/>
        <v>732.25349335591011</v>
      </c>
      <c r="K81" s="149">
        <f t="shared" si="19"/>
        <v>31.581534445215549</v>
      </c>
      <c r="L81">
        <f t="shared" si="20"/>
        <v>7.4999999999999997E-3</v>
      </c>
      <c r="M81">
        <f t="shared" si="21"/>
        <v>0.99250000000000005</v>
      </c>
      <c r="N81">
        <f t="shared" si="29"/>
        <v>0.59038604088939584</v>
      </c>
      <c r="O81" s="149">
        <f t="shared" si="22"/>
        <v>873.64281767940611</v>
      </c>
      <c r="P81" s="131">
        <f t="shared" si="15"/>
        <v>94.884321358510647</v>
      </c>
      <c r="Q81" s="148">
        <f t="shared" si="23"/>
        <v>34.739687889737105</v>
      </c>
    </row>
    <row r="82" spans="1:17" x14ac:dyDescent="0.25">
      <c r="A82">
        <f t="shared" si="24"/>
        <v>71</v>
      </c>
      <c r="B82" s="150">
        <f t="shared" si="25"/>
        <v>50.916666666666835</v>
      </c>
      <c r="C82">
        <v>0.01</v>
      </c>
      <c r="D82">
        <f t="shared" si="16"/>
        <v>0.99</v>
      </c>
      <c r="E82">
        <f t="shared" si="26"/>
        <v>0.4898902730042049</v>
      </c>
      <c r="F82">
        <v>2000</v>
      </c>
      <c r="G82">
        <f t="shared" si="27"/>
        <v>86.430990910206958</v>
      </c>
      <c r="H82">
        <f t="shared" si="17"/>
        <v>0.99570564446549459</v>
      </c>
      <c r="I82">
        <f t="shared" si="28"/>
        <v>0.73671379789032887</v>
      </c>
      <c r="J82" s="149">
        <f t="shared" si="18"/>
        <v>721.81784714891569</v>
      </c>
      <c r="K82" s="149">
        <f t="shared" si="19"/>
        <v>31.193715892876543</v>
      </c>
      <c r="L82">
        <f t="shared" si="20"/>
        <v>7.4999999999999997E-3</v>
      </c>
      <c r="M82">
        <f t="shared" si="21"/>
        <v>0.99250000000000005</v>
      </c>
      <c r="N82">
        <f t="shared" si="29"/>
        <v>0.58595814558272541</v>
      </c>
      <c r="O82" s="149">
        <f t="shared" si="22"/>
        <v>863.36690167404765</v>
      </c>
      <c r="P82" s="131">
        <f t="shared" si="15"/>
        <v>95.07409000122766</v>
      </c>
      <c r="Q82" s="148">
        <f t="shared" si="23"/>
        <v>34.3130874821642</v>
      </c>
    </row>
    <row r="83" spans="1:17" x14ac:dyDescent="0.25">
      <c r="A83">
        <f t="shared" si="24"/>
        <v>72</v>
      </c>
      <c r="B83" s="150">
        <f t="shared" si="25"/>
        <v>51.000000000000171</v>
      </c>
      <c r="C83">
        <v>0.01</v>
      </c>
      <c r="D83">
        <f t="shared" si="16"/>
        <v>0.99</v>
      </c>
      <c r="E83">
        <f t="shared" si="26"/>
        <v>0.48499137027416284</v>
      </c>
      <c r="F83">
        <v>2000</v>
      </c>
      <c r="G83">
        <f t="shared" si="27"/>
        <v>86.603852892027376</v>
      </c>
      <c r="H83">
        <f t="shared" si="17"/>
        <v>0.99570564446549459</v>
      </c>
      <c r="I83">
        <f t="shared" si="28"/>
        <v>0.733550086915012</v>
      </c>
      <c r="J83" s="149">
        <f t="shared" si="18"/>
        <v>711.53092363528583</v>
      </c>
      <c r="K83" s="149">
        <f t="shared" si="19"/>
        <v>30.810659719319329</v>
      </c>
      <c r="L83">
        <f t="shared" si="20"/>
        <v>7.4999999999999997E-3</v>
      </c>
      <c r="M83">
        <f t="shared" si="21"/>
        <v>0.99250000000000005</v>
      </c>
      <c r="N83">
        <f t="shared" si="29"/>
        <v>0.58156345949085497</v>
      </c>
      <c r="O83" s="149">
        <f t="shared" si="22"/>
        <v>853.21185251222346</v>
      </c>
      <c r="P83" s="131">
        <f t="shared" si="15"/>
        <v>95.264238181230127</v>
      </c>
      <c r="Q83" s="148">
        <f t="shared" si="23"/>
        <v>33.891725691251267</v>
      </c>
    </row>
    <row r="84" spans="1:17" x14ac:dyDescent="0.25">
      <c r="A84">
        <f t="shared" si="24"/>
        <v>73</v>
      </c>
      <c r="B84" s="150">
        <f t="shared" si="25"/>
        <v>51.083333333333506</v>
      </c>
      <c r="C84">
        <v>0.01</v>
      </c>
      <c r="D84">
        <f t="shared" si="16"/>
        <v>0.99</v>
      </c>
      <c r="E84">
        <f t="shared" si="26"/>
        <v>0.48014145657142121</v>
      </c>
      <c r="F84">
        <v>2000</v>
      </c>
      <c r="G84">
        <f t="shared" si="27"/>
        <v>86.777060597811428</v>
      </c>
      <c r="H84">
        <f t="shared" si="17"/>
        <v>0.99570564446549459</v>
      </c>
      <c r="I84">
        <f t="shared" si="28"/>
        <v>0.73039996203943158</v>
      </c>
      <c r="J84" s="149">
        <f t="shared" si="18"/>
        <v>701.39060330664688</v>
      </c>
      <c r="K84" s="149">
        <f t="shared" si="19"/>
        <v>30.432307442938207</v>
      </c>
      <c r="L84">
        <f t="shared" si="20"/>
        <v>7.4999999999999997E-3</v>
      </c>
      <c r="M84">
        <f t="shared" si="21"/>
        <v>0.99250000000000005</v>
      </c>
      <c r="N84">
        <f t="shared" si="29"/>
        <v>0.57720173354467363</v>
      </c>
      <c r="O84" s="149">
        <f t="shared" si="22"/>
        <v>843.17624854024746</v>
      </c>
      <c r="P84" s="131">
        <f t="shared" si="15"/>
        <v>95.454766657592572</v>
      </c>
      <c r="Q84" s="148">
        <f t="shared" si="23"/>
        <v>33.475538187232026</v>
      </c>
    </row>
    <row r="85" spans="1:17" x14ac:dyDescent="0.25">
      <c r="A85">
        <f t="shared" si="24"/>
        <v>74</v>
      </c>
      <c r="B85" s="150">
        <f t="shared" si="25"/>
        <v>51.166666666666842</v>
      </c>
      <c r="C85">
        <v>0.01</v>
      </c>
      <c r="D85">
        <f t="shared" si="16"/>
        <v>0.99</v>
      </c>
      <c r="E85">
        <f t="shared" si="26"/>
        <v>0.47534004200570701</v>
      </c>
      <c r="F85">
        <v>2000</v>
      </c>
      <c r="G85">
        <f t="shared" si="27"/>
        <v>86.950614719007049</v>
      </c>
      <c r="H85">
        <f t="shared" si="17"/>
        <v>0.99570564446549459</v>
      </c>
      <c r="I85">
        <f t="shared" si="28"/>
        <v>0.72726336492004495</v>
      </c>
      <c r="J85" s="149">
        <f t="shared" si="18"/>
        <v>691.39479686061202</v>
      </c>
      <c r="K85" s="149">
        <f t="shared" si="19"/>
        <v>30.058601300276607</v>
      </c>
      <c r="L85">
        <f t="shared" si="20"/>
        <v>7.4999999999999997E-3</v>
      </c>
      <c r="M85">
        <f t="shared" si="21"/>
        <v>0.99250000000000005</v>
      </c>
      <c r="N85">
        <f t="shared" si="29"/>
        <v>0.57287272054308858</v>
      </c>
      <c r="O85" s="149">
        <f t="shared" si="22"/>
        <v>833.2586848261343</v>
      </c>
      <c r="P85" s="131">
        <f t="shared" si="15"/>
        <v>95.645676190907764</v>
      </c>
      <c r="Q85" s="148">
        <f t="shared" si="23"/>
        <v>33.064461430304277</v>
      </c>
    </row>
    <row r="86" spans="1:17" x14ac:dyDescent="0.25">
      <c r="A86">
        <f t="shared" si="24"/>
        <v>75</v>
      </c>
      <c r="B86" s="150">
        <f t="shared" si="25"/>
        <v>51.250000000000178</v>
      </c>
      <c r="C86">
        <v>0.01</v>
      </c>
      <c r="D86">
        <f t="shared" si="16"/>
        <v>0.99</v>
      </c>
      <c r="E86">
        <f t="shared" si="26"/>
        <v>0.47058664158564995</v>
      </c>
      <c r="F86">
        <v>2000</v>
      </c>
      <c r="G86">
        <f t="shared" si="27"/>
        <v>87.124515948445065</v>
      </c>
      <c r="H86">
        <f t="shared" si="17"/>
        <v>0.99570564446549459</v>
      </c>
      <c r="I86">
        <f t="shared" si="28"/>
        <v>0.72414023746385758</v>
      </c>
      <c r="J86" s="149">
        <f t="shared" si="18"/>
        <v>681.54144477030354</v>
      </c>
      <c r="K86" s="149">
        <f t="shared" si="19"/>
        <v>29.689484237208301</v>
      </c>
      <c r="L86">
        <f t="shared" si="20"/>
        <v>7.4999999999999997E-3</v>
      </c>
      <c r="M86">
        <f t="shared" si="21"/>
        <v>0.99250000000000005</v>
      </c>
      <c r="N86">
        <f t="shared" si="29"/>
        <v>0.56857617513901548</v>
      </c>
      <c r="O86" s="149">
        <f t="shared" si="22"/>
        <v>823.45777296291715</v>
      </c>
      <c r="P86" s="131">
        <f t="shared" si="15"/>
        <v>95.836967543289575</v>
      </c>
      <c r="Q86" s="148">
        <f t="shared" si="23"/>
        <v>32.658432660929137</v>
      </c>
    </row>
    <row r="87" spans="1:17" x14ac:dyDescent="0.25">
      <c r="A87">
        <f t="shared" si="24"/>
        <v>76</v>
      </c>
      <c r="B87" s="150">
        <f t="shared" si="25"/>
        <v>51.333333333333513</v>
      </c>
      <c r="C87">
        <v>0.01</v>
      </c>
      <c r="D87">
        <f t="shared" si="16"/>
        <v>0.99</v>
      </c>
      <c r="E87">
        <f t="shared" si="26"/>
        <v>0.46588077516979343</v>
      </c>
      <c r="F87">
        <v>2000</v>
      </c>
      <c r="G87">
        <f t="shared" si="27"/>
        <v>87.298764980341957</v>
      </c>
      <c r="H87">
        <f t="shared" si="17"/>
        <v>0.99570564446549459</v>
      </c>
      <c r="I87">
        <f t="shared" si="28"/>
        <v>0.72103052182734662</v>
      </c>
      <c r="J87" s="149">
        <f t="shared" si="18"/>
        <v>671.82851686000981</v>
      </c>
      <c r="K87" s="149">
        <f t="shared" si="19"/>
        <v>29.324899900226846</v>
      </c>
      <c r="L87">
        <f t="shared" si="20"/>
        <v>7.4999999999999997E-3</v>
      </c>
      <c r="M87">
        <f t="shared" si="21"/>
        <v>0.99250000000000005</v>
      </c>
      <c r="N87">
        <f t="shared" si="29"/>
        <v>0.56431185382547289</v>
      </c>
      <c r="O87" s="149">
        <f t="shared" si="22"/>
        <v>813.77214087427615</v>
      </c>
      <c r="P87" s="131">
        <f t="shared" si="15"/>
        <v>96.028641478376159</v>
      </c>
      <c r="Q87" s="148">
        <f t="shared" si="23"/>
        <v>32.257389890249534</v>
      </c>
    </row>
    <row r="88" spans="1:17" x14ac:dyDescent="0.25">
      <c r="A88">
        <f t="shared" si="24"/>
        <v>77</v>
      </c>
      <c r="B88" s="150">
        <f t="shared" si="25"/>
        <v>51.416666666666849</v>
      </c>
      <c r="C88">
        <v>0.01</v>
      </c>
      <c r="D88">
        <f t="shared" si="16"/>
        <v>0.99</v>
      </c>
      <c r="E88">
        <f t="shared" si="26"/>
        <v>0.46122196741809551</v>
      </c>
      <c r="F88">
        <v>2000</v>
      </c>
      <c r="G88">
        <f t="shared" si="27"/>
        <v>87.473362510302636</v>
      </c>
      <c r="H88">
        <f t="shared" si="17"/>
        <v>0.99570564446549459</v>
      </c>
      <c r="I88">
        <f t="shared" si="28"/>
        <v>0.71793416041539004</v>
      </c>
      <c r="J88" s="149">
        <f t="shared" si="18"/>
        <v>662.25401188688954</v>
      </c>
      <c r="K88" s="149">
        <f t="shared" si="19"/>
        <v>28.964792627842083</v>
      </c>
      <c r="L88">
        <f t="shared" si="20"/>
        <v>7.4999999999999997E-3</v>
      </c>
      <c r="M88">
        <f t="shared" si="21"/>
        <v>0.99250000000000005</v>
      </c>
      <c r="N88">
        <f t="shared" si="29"/>
        <v>0.56007951492178187</v>
      </c>
      <c r="O88" s="149">
        <f t="shared" si="22"/>
        <v>804.20043262245679</v>
      </c>
      <c r="P88" s="131">
        <f t="shared" ref="P88:P151" si="30">G88*1.1</f>
        <v>96.220698761332912</v>
      </c>
      <c r="Q88" s="148">
        <f t="shared" si="23"/>
        <v>31.861271890626291</v>
      </c>
    </row>
    <row r="89" spans="1:17" x14ac:dyDescent="0.25">
      <c r="A89">
        <f t="shared" si="24"/>
        <v>78</v>
      </c>
      <c r="B89" s="150">
        <f t="shared" si="25"/>
        <v>51.500000000000185</v>
      </c>
      <c r="C89">
        <v>0.01</v>
      </c>
      <c r="D89">
        <f t="shared" si="16"/>
        <v>0.99</v>
      </c>
      <c r="E89">
        <f t="shared" si="26"/>
        <v>0.45660974774391455</v>
      </c>
      <c r="F89">
        <v>2000</v>
      </c>
      <c r="G89">
        <f t="shared" si="27"/>
        <v>87.648309235323239</v>
      </c>
      <c r="H89">
        <f t="shared" si="17"/>
        <v>0.99570564446549459</v>
      </c>
      <c r="I89">
        <f t="shared" si="28"/>
        <v>0.71485109588019968</v>
      </c>
      <c r="J89" s="149">
        <f t="shared" si="18"/>
        <v>652.81595712863771</v>
      </c>
      <c r="K89" s="149">
        <f t="shared" si="19"/>
        <v>28.609107442082177</v>
      </c>
      <c r="L89">
        <f t="shared" si="20"/>
        <v>7.4999999999999997E-3</v>
      </c>
      <c r="M89">
        <f t="shared" si="21"/>
        <v>0.99250000000000005</v>
      </c>
      <c r="N89">
        <f t="shared" si="29"/>
        <v>0.55587891855986848</v>
      </c>
      <c r="O89" s="149">
        <f t="shared" si="22"/>
        <v>794.74130821844449</v>
      </c>
      <c r="P89" s="131">
        <f t="shared" si="30"/>
        <v>96.413140158855569</v>
      </c>
      <c r="Q89" s="148">
        <f t="shared" si="23"/>
        <v>31.4700181862904</v>
      </c>
    </row>
    <row r="90" spans="1:17" x14ac:dyDescent="0.25">
      <c r="A90">
        <f t="shared" si="24"/>
        <v>79</v>
      </c>
      <c r="B90" s="150">
        <f t="shared" si="25"/>
        <v>51.58333333333352</v>
      </c>
      <c r="C90">
        <v>0.01</v>
      </c>
      <c r="D90">
        <f t="shared" si="16"/>
        <v>0.99</v>
      </c>
      <c r="E90">
        <f t="shared" si="26"/>
        <v>0.45204365026647542</v>
      </c>
      <c r="F90">
        <v>2000</v>
      </c>
      <c r="G90">
        <f t="shared" si="27"/>
        <v>87.823605853793893</v>
      </c>
      <c r="H90">
        <f t="shared" si="17"/>
        <v>0.99570564446549459</v>
      </c>
      <c r="I90">
        <f t="shared" si="28"/>
        <v>0.71178127112025924</v>
      </c>
      <c r="J90" s="149">
        <f t="shared" si="18"/>
        <v>643.51240797702758</v>
      </c>
      <c r="K90" s="149">
        <f t="shared" si="19"/>
        <v>28.25779004010014</v>
      </c>
      <c r="L90">
        <f t="shared" si="20"/>
        <v>7.4999999999999997E-3</v>
      </c>
      <c r="M90">
        <f t="shared" si="21"/>
        <v>0.99250000000000005</v>
      </c>
      <c r="N90">
        <f t="shared" si="29"/>
        <v>0.55170982667066948</v>
      </c>
      <c r="O90" s="149">
        <f t="shared" si="22"/>
        <v>785.39344343437403</v>
      </c>
      <c r="P90" s="131">
        <f t="shared" si="30"/>
        <v>96.605966439173287</v>
      </c>
      <c r="Q90" s="148">
        <f t="shared" si="23"/>
        <v>31.083569044110156</v>
      </c>
    </row>
    <row r="91" spans="1:17" x14ac:dyDescent="0.25">
      <c r="A91">
        <f t="shared" si="24"/>
        <v>80</v>
      </c>
      <c r="B91" s="150">
        <f t="shared" si="25"/>
        <v>51.666666666666856</v>
      </c>
      <c r="C91">
        <v>0.01</v>
      </c>
      <c r="D91">
        <f t="shared" si="16"/>
        <v>0.99</v>
      </c>
      <c r="E91">
        <f t="shared" si="26"/>
        <v>0.44752321376381066</v>
      </c>
      <c r="F91">
        <v>2000</v>
      </c>
      <c r="G91">
        <f t="shared" si="27"/>
        <v>87.999253065501478</v>
      </c>
      <c r="H91">
        <f t="shared" si="17"/>
        <v>0.99570564446549459</v>
      </c>
      <c r="I91">
        <f t="shared" si="28"/>
        <v>0.7087246292792666</v>
      </c>
      <c r="J91" s="149">
        <f t="shared" si="18"/>
        <v>634.34144753724536</v>
      </c>
      <c r="K91" s="149">
        <f t="shared" si="19"/>
        <v>27.910786785883293</v>
      </c>
      <c r="L91">
        <f t="shared" si="20"/>
        <v>7.4999999999999997E-3</v>
      </c>
      <c r="M91">
        <f t="shared" si="21"/>
        <v>0.99250000000000005</v>
      </c>
      <c r="N91">
        <f t="shared" si="29"/>
        <v>0.54757200297063946</v>
      </c>
      <c r="O91" s="149">
        <f t="shared" si="22"/>
        <v>776.15552961814387</v>
      </c>
      <c r="P91" s="131">
        <f t="shared" si="30"/>
        <v>96.799178372051628</v>
      </c>
      <c r="Q91" s="148">
        <f t="shared" si="23"/>
        <v>30.70186546447162</v>
      </c>
    </row>
    <row r="92" spans="1:17" x14ac:dyDescent="0.25">
      <c r="A92">
        <f t="shared" si="24"/>
        <v>81</v>
      </c>
      <c r="B92" s="150">
        <f t="shared" si="25"/>
        <v>51.750000000000192</v>
      </c>
      <c r="C92">
        <v>0.01</v>
      </c>
      <c r="D92">
        <f t="shared" si="16"/>
        <v>0.99</v>
      </c>
      <c r="E92">
        <f t="shared" si="26"/>
        <v>0.44304798162617254</v>
      </c>
      <c r="F92">
        <v>2000</v>
      </c>
      <c r="G92">
        <f t="shared" si="27"/>
        <v>88.175251571632487</v>
      </c>
      <c r="H92">
        <f t="shared" si="17"/>
        <v>0.99570564446549459</v>
      </c>
      <c r="I92">
        <f t="shared" si="28"/>
        <v>0.70568111374508091</v>
      </c>
      <c r="J92" s="149">
        <f t="shared" si="18"/>
        <v>625.30118623293515</v>
      </c>
      <c r="K92" s="149">
        <f t="shared" si="19"/>
        <v>27.568044702064636</v>
      </c>
      <c r="L92">
        <f t="shared" si="20"/>
        <v>7.4999999999999997E-3</v>
      </c>
      <c r="M92">
        <f t="shared" si="21"/>
        <v>0.99250000000000005</v>
      </c>
      <c r="N92">
        <f t="shared" si="29"/>
        <v>0.5434652129483597</v>
      </c>
      <c r="O92" s="149">
        <f t="shared" si="22"/>
        <v>767.02627351021215</v>
      </c>
      <c r="P92" s="131">
        <f t="shared" si="30"/>
        <v>96.992776728795747</v>
      </c>
      <c r="Q92" s="148">
        <f t="shared" si="23"/>
        <v>30.324849172271104</v>
      </c>
    </row>
    <row r="93" spans="1:17" x14ac:dyDescent="0.25">
      <c r="A93">
        <f t="shared" si="24"/>
        <v>82</v>
      </c>
      <c r="B93" s="150">
        <f t="shared" si="25"/>
        <v>51.833333333333528</v>
      </c>
      <c r="C93">
        <v>0.01</v>
      </c>
      <c r="D93">
        <f t="shared" si="16"/>
        <v>0.99</v>
      </c>
      <c r="E93">
        <f t="shared" si="26"/>
        <v>0.43861750180991083</v>
      </c>
      <c r="F93">
        <v>2000</v>
      </c>
      <c r="G93">
        <f t="shared" si="27"/>
        <v>88.351602074775755</v>
      </c>
      <c r="H93">
        <f t="shared" si="17"/>
        <v>0.99570564446549459</v>
      </c>
      <c r="I93">
        <f t="shared" si="28"/>
        <v>0.70265066814867383</v>
      </c>
      <c r="J93" s="149">
        <f t="shared" si="18"/>
        <v>616.38976141687203</v>
      </c>
      <c r="K93" s="149">
        <f t="shared" si="19"/>
        <v>27.229511461834718</v>
      </c>
      <c r="L93">
        <f t="shared" si="20"/>
        <v>7.4999999999999997E-3</v>
      </c>
      <c r="M93">
        <f t="shared" si="21"/>
        <v>0.99250000000000005</v>
      </c>
      <c r="N93">
        <f t="shared" si="29"/>
        <v>0.53938922385124699</v>
      </c>
      <c r="O93" s="149">
        <f t="shared" si="22"/>
        <v>758.00439706254667</v>
      </c>
      <c r="P93" s="131">
        <f t="shared" si="30"/>
        <v>97.186762282253341</v>
      </c>
      <c r="Q93" s="148">
        <f t="shared" si="23"/>
        <v>29.952462608018195</v>
      </c>
    </row>
    <row r="94" spans="1:17" x14ac:dyDescent="0.25">
      <c r="A94">
        <f t="shared" si="24"/>
        <v>83</v>
      </c>
      <c r="B94" s="150">
        <f t="shared" si="25"/>
        <v>51.916666666666863</v>
      </c>
      <c r="C94">
        <v>0.01</v>
      </c>
      <c r="D94">
        <f t="shared" si="16"/>
        <v>0.99</v>
      </c>
      <c r="E94">
        <f t="shared" si="26"/>
        <v>0.4342313267918117</v>
      </c>
      <c r="F94">
        <v>2000</v>
      </c>
      <c r="G94">
        <f t="shared" si="27"/>
        <v>88.528305278925302</v>
      </c>
      <c r="H94">
        <f t="shared" si="17"/>
        <v>0.99570564446549459</v>
      </c>
      <c r="I94">
        <f t="shared" si="28"/>
        <v>0.69963323636308561</v>
      </c>
      <c r="J94" s="149">
        <f t="shared" si="18"/>
        <v>607.6053369871837</v>
      </c>
      <c r="K94" s="149">
        <f t="shared" si="19"/>
        <v>26.895135380952844</v>
      </c>
      <c r="L94">
        <f t="shared" si="20"/>
        <v>7.4999999999999997E-3</v>
      </c>
      <c r="M94">
        <f t="shared" si="21"/>
        <v>0.99250000000000005</v>
      </c>
      <c r="N94">
        <f t="shared" si="29"/>
        <v>0.53534380467236264</v>
      </c>
      <c r="O94" s="149">
        <f t="shared" si="22"/>
        <v>749.08863725970537</v>
      </c>
      <c r="P94" s="131">
        <f t="shared" si="30"/>
        <v>97.381135806817838</v>
      </c>
      <c r="Q94" s="148">
        <f t="shared" si="23"/>
        <v>29.584648919048128</v>
      </c>
    </row>
    <row r="95" spans="1:17" x14ac:dyDescent="0.25">
      <c r="A95">
        <f t="shared" si="24"/>
        <v>84</v>
      </c>
      <c r="B95" s="150">
        <f t="shared" si="25"/>
        <v>52.000000000000199</v>
      </c>
      <c r="C95">
        <v>0.01</v>
      </c>
      <c r="D95">
        <f t="shared" si="16"/>
        <v>0.99</v>
      </c>
      <c r="E95">
        <f t="shared" si="26"/>
        <v>0.42988901352389358</v>
      </c>
      <c r="F95">
        <v>2000</v>
      </c>
      <c r="G95">
        <f t="shared" si="27"/>
        <v>88.705361889483157</v>
      </c>
      <c r="H95">
        <f t="shared" si="17"/>
        <v>0.99570564446549459</v>
      </c>
      <c r="I95">
        <f t="shared" si="28"/>
        <v>0.69662876250238581</v>
      </c>
      <c r="J95" s="149">
        <f t="shared" si="18"/>
        <v>598.94610300904276</v>
      </c>
      <c r="K95" s="149">
        <f t="shared" si="19"/>
        <v>26.564865409856399</v>
      </c>
      <c r="L95">
        <f t="shared" si="20"/>
        <v>7.4999999999999997E-3</v>
      </c>
      <c r="M95">
        <f t="shared" si="21"/>
        <v>0.99250000000000005</v>
      </c>
      <c r="N95">
        <f t="shared" si="29"/>
        <v>0.53132872613731996</v>
      </c>
      <c r="O95" s="149">
        <f t="shared" si="22"/>
        <v>740.2777459420206</v>
      </c>
      <c r="P95" s="131">
        <f t="shared" si="30"/>
        <v>97.575898078431479</v>
      </c>
      <c r="Q95" s="148">
        <f t="shared" si="23"/>
        <v>29.221351950842042</v>
      </c>
    </row>
    <row r="96" spans="1:17" x14ac:dyDescent="0.25">
      <c r="A96">
        <f t="shared" si="24"/>
        <v>85</v>
      </c>
      <c r="B96" s="150">
        <f t="shared" si="25"/>
        <v>52.083333333333535</v>
      </c>
      <c r="C96">
        <v>0.01</v>
      </c>
      <c r="D96">
        <f t="shared" si="16"/>
        <v>0.99</v>
      </c>
      <c r="E96">
        <f t="shared" si="26"/>
        <v>0.42559012338865465</v>
      </c>
      <c r="F96">
        <v>2000</v>
      </c>
      <c r="G96">
        <f t="shared" si="27"/>
        <v>88.882772613262119</v>
      </c>
      <c r="H96">
        <f t="shared" si="17"/>
        <v>0.99570564446549459</v>
      </c>
      <c r="I96">
        <f t="shared" si="28"/>
        <v>0.69363719092063802</v>
      </c>
      <c r="J96" s="149">
        <f t="shared" si="18"/>
        <v>590.41027534174827</v>
      </c>
      <c r="K96" s="149">
        <f t="shared" si="19"/>
        <v>26.238651125867044</v>
      </c>
      <c r="L96">
        <f t="shared" si="20"/>
        <v>7.4999999999999997E-3</v>
      </c>
      <c r="M96">
        <f t="shared" si="21"/>
        <v>0.99250000000000005</v>
      </c>
      <c r="N96">
        <f t="shared" si="29"/>
        <v>0.52734376069129008</v>
      </c>
      <c r="O96" s="149">
        <f t="shared" si="22"/>
        <v>731.57048963086322</v>
      </c>
      <c r="P96" s="131">
        <f t="shared" si="30"/>
        <v>97.771049874588343</v>
      </c>
      <c r="Q96" s="148">
        <f t="shared" si="23"/>
        <v>28.862516238453754</v>
      </c>
    </row>
    <row r="97" spans="1:17" x14ac:dyDescent="0.25">
      <c r="A97">
        <f t="shared" si="24"/>
        <v>86</v>
      </c>
      <c r="B97" s="150">
        <f t="shared" si="25"/>
        <v>52.16666666666687</v>
      </c>
      <c r="C97">
        <v>0.01</v>
      </c>
      <c r="D97">
        <f t="shared" si="16"/>
        <v>0.99</v>
      </c>
      <c r="E97">
        <f t="shared" si="26"/>
        <v>0.42133422215476812</v>
      </c>
      <c r="F97">
        <v>2000</v>
      </c>
      <c r="G97">
        <f t="shared" si="27"/>
        <v>89.06053815848864</v>
      </c>
      <c r="H97">
        <f t="shared" si="17"/>
        <v>0.99570564446549459</v>
      </c>
      <c r="I97">
        <f t="shared" si="28"/>
        <v>0.69065846621086924</v>
      </c>
      <c r="J97" s="149">
        <f t="shared" si="18"/>
        <v>581.99609527112352</v>
      </c>
      <c r="K97" s="149">
        <f t="shared" si="19"/>
        <v>25.916442725492644</v>
      </c>
      <c r="L97">
        <f t="shared" si="20"/>
        <v>7.4999999999999997E-3</v>
      </c>
      <c r="M97">
        <f t="shared" si="21"/>
        <v>0.99250000000000005</v>
      </c>
      <c r="N97">
        <f t="shared" si="29"/>
        <v>0.52338868248610537</v>
      </c>
      <c r="O97" s="149">
        <f t="shared" si="22"/>
        <v>722.96564935596234</v>
      </c>
      <c r="P97" s="131">
        <f t="shared" si="30"/>
        <v>97.966591974337518</v>
      </c>
      <c r="Q97" s="148">
        <f t="shared" si="23"/>
        <v>28.508086998041918</v>
      </c>
    </row>
    <row r="98" spans="1:17" x14ac:dyDescent="0.25">
      <c r="A98">
        <f t="shared" si="24"/>
        <v>87</v>
      </c>
      <c r="B98" s="150">
        <f t="shared" si="25"/>
        <v>52.250000000000206</v>
      </c>
      <c r="C98">
        <v>0.01</v>
      </c>
      <c r="D98">
        <f t="shared" si="16"/>
        <v>0.99</v>
      </c>
      <c r="E98">
        <f t="shared" si="26"/>
        <v>0.41712087993322045</v>
      </c>
      <c r="F98">
        <v>2000</v>
      </c>
      <c r="G98">
        <f t="shared" si="27"/>
        <v>89.238659234805624</v>
      </c>
      <c r="H98">
        <f t="shared" si="17"/>
        <v>0.99570564446549459</v>
      </c>
      <c r="I98">
        <f t="shared" si="28"/>
        <v>0.68769253320404355</v>
      </c>
      <c r="J98" s="149">
        <f t="shared" si="18"/>
        <v>573.70182914715213</v>
      </c>
      <c r="K98" s="149">
        <f t="shared" si="19"/>
        <v>25.598191016823691</v>
      </c>
      <c r="L98">
        <f t="shared" si="20"/>
        <v>7.4999999999999997E-3</v>
      </c>
      <c r="M98">
        <f t="shared" si="21"/>
        <v>0.99250000000000005</v>
      </c>
      <c r="N98">
        <f t="shared" si="29"/>
        <v>0.51946326736745962</v>
      </c>
      <c r="O98" s="149">
        <f t="shared" si="22"/>
        <v>714.46202048475527</v>
      </c>
      <c r="P98" s="131">
        <f t="shared" si="30"/>
        <v>98.162525158286201</v>
      </c>
      <c r="Q98" s="148">
        <f t="shared" si="23"/>
        <v>28.158010118506066</v>
      </c>
    </row>
    <row r="99" spans="1:17" x14ac:dyDescent="0.25">
      <c r="A99">
        <f t="shared" si="24"/>
        <v>88</v>
      </c>
      <c r="B99" s="150">
        <f t="shared" si="25"/>
        <v>52.333333333333542</v>
      </c>
      <c r="C99">
        <v>0.01</v>
      </c>
      <c r="D99">
        <f t="shared" si="16"/>
        <v>0.99</v>
      </c>
      <c r="E99">
        <f t="shared" si="26"/>
        <v>0.41294967113388825</v>
      </c>
      <c r="F99">
        <v>2000</v>
      </c>
      <c r="G99">
        <f t="shared" si="27"/>
        <v>89.417136553275242</v>
      </c>
      <c r="H99">
        <f t="shared" si="17"/>
        <v>0.99570564446549459</v>
      </c>
      <c r="I99">
        <f t="shared" si="28"/>
        <v>0.68473933696804068</v>
      </c>
      <c r="J99" s="149">
        <f t="shared" si="18"/>
        <v>565.52576802677822</v>
      </c>
      <c r="K99" s="149">
        <f t="shared" si="19"/>
        <v>25.283847412023139</v>
      </c>
      <c r="L99">
        <f t="shared" si="20"/>
        <v>7.4999999999999997E-3</v>
      </c>
      <c r="M99">
        <f t="shared" si="21"/>
        <v>0.99250000000000005</v>
      </c>
      <c r="N99">
        <f t="shared" si="29"/>
        <v>0.51556729286220371</v>
      </c>
      <c r="O99" s="149">
        <f t="shared" si="22"/>
        <v>706.05841255374594</v>
      </c>
      <c r="P99" s="131">
        <f t="shared" si="30"/>
        <v>98.358850208602775</v>
      </c>
      <c r="Q99" s="148">
        <f t="shared" si="23"/>
        <v>27.812232153225459</v>
      </c>
    </row>
    <row r="100" spans="1:17" x14ac:dyDescent="0.25">
      <c r="A100">
        <f t="shared" si="24"/>
        <v>89</v>
      </c>
      <c r="B100" s="150">
        <f t="shared" si="25"/>
        <v>52.416666666666877</v>
      </c>
      <c r="C100">
        <v>0.01</v>
      </c>
      <c r="D100">
        <f t="shared" si="16"/>
        <v>0.99</v>
      </c>
      <c r="E100">
        <f t="shared" si="26"/>
        <v>0.40882017442254937</v>
      </c>
      <c r="F100">
        <v>2000</v>
      </c>
      <c r="G100">
        <f t="shared" si="27"/>
        <v>89.595970826381787</v>
      </c>
      <c r="H100">
        <f t="shared" si="17"/>
        <v>0.99570564446549459</v>
      </c>
      <c r="I100">
        <f t="shared" si="28"/>
        <v>0.68179882280663839</v>
      </c>
      <c r="J100" s="149">
        <f t="shared" si="18"/>
        <v>557.46622732179753</v>
      </c>
      <c r="K100" s="149">
        <f t="shared" si="19"/>
        <v>24.97336391990844</v>
      </c>
      <c r="L100">
        <f t="shared" si="20"/>
        <v>7.4999999999999997E-3</v>
      </c>
      <c r="M100">
        <f t="shared" si="21"/>
        <v>0.99250000000000005</v>
      </c>
      <c r="N100">
        <f t="shared" si="29"/>
        <v>0.51170053816573724</v>
      </c>
      <c r="O100" s="149">
        <f t="shared" si="22"/>
        <v>697.75364910184589</v>
      </c>
      <c r="P100" s="131">
        <f t="shared" si="30"/>
        <v>98.55556790901997</v>
      </c>
      <c r="Q100" s="148">
        <f t="shared" si="23"/>
        <v>27.470700311899289</v>
      </c>
    </row>
    <row r="101" spans="1:17" x14ac:dyDescent="0.25">
      <c r="A101">
        <f t="shared" si="24"/>
        <v>90</v>
      </c>
      <c r="B101" s="150">
        <f t="shared" si="25"/>
        <v>52.500000000000213</v>
      </c>
      <c r="C101">
        <v>0.01</v>
      </c>
      <c r="D101">
        <f t="shared" si="16"/>
        <v>0.99</v>
      </c>
      <c r="E101">
        <f t="shared" si="26"/>
        <v>0.40473197267832389</v>
      </c>
      <c r="F101">
        <v>2000</v>
      </c>
      <c r="G101">
        <f t="shared" si="27"/>
        <v>89.775162768034548</v>
      </c>
      <c r="H101">
        <f t="shared" si="17"/>
        <v>0.99570564446549459</v>
      </c>
      <c r="I101">
        <f t="shared" si="28"/>
        <v>0.67887093625849948</v>
      </c>
      <c r="J101" s="149">
        <f t="shared" si="18"/>
        <v>549.52154645176631</v>
      </c>
      <c r="K101" s="149">
        <f t="shared" si="19"/>
        <v>24.666693138624691</v>
      </c>
      <c r="L101">
        <f t="shared" si="20"/>
        <v>7.4999999999999997E-3</v>
      </c>
      <c r="M101">
        <f t="shared" si="21"/>
        <v>0.99250000000000005</v>
      </c>
      <c r="N101">
        <f t="shared" si="29"/>
        <v>0.50786278412949426</v>
      </c>
      <c r="O101" s="149">
        <f t="shared" si="22"/>
        <v>689.54656750567597</v>
      </c>
      <c r="P101" s="131">
        <f t="shared" si="30"/>
        <v>98.752679044838004</v>
      </c>
      <c r="Q101" s="148">
        <f t="shared" si="23"/>
        <v>27.133362452487159</v>
      </c>
    </row>
    <row r="102" spans="1:17" x14ac:dyDescent="0.25">
      <c r="A102">
        <f t="shared" si="24"/>
        <v>91</v>
      </c>
      <c r="B102" s="150">
        <f t="shared" si="25"/>
        <v>52.583333333333549</v>
      </c>
      <c r="C102">
        <v>0.01</v>
      </c>
      <c r="D102">
        <f t="shared" si="16"/>
        <v>0.99</v>
      </c>
      <c r="E102">
        <f t="shared" si="26"/>
        <v>0.40068465295154065</v>
      </c>
      <c r="F102">
        <v>2000</v>
      </c>
      <c r="G102">
        <f t="shared" si="27"/>
        <v>89.954713093570618</v>
      </c>
      <c r="H102">
        <f t="shared" si="17"/>
        <v>0.99570564446549459</v>
      </c>
      <c r="I102">
        <f t="shared" si="28"/>
        <v>0.67595562309616297</v>
      </c>
      <c r="J102" s="149">
        <f t="shared" si="18"/>
        <v>541.69008850185696</v>
      </c>
      <c r="K102" s="149">
        <f t="shared" si="19"/>
        <v>24.363788248407712</v>
      </c>
      <c r="L102">
        <f t="shared" si="20"/>
        <v>7.4999999999999997E-3</v>
      </c>
      <c r="M102">
        <f t="shared" si="21"/>
        <v>0.99250000000000005</v>
      </c>
      <c r="N102">
        <f t="shared" si="29"/>
        <v>0.50405381324852305</v>
      </c>
      <c r="O102" s="149">
        <f t="shared" si="22"/>
        <v>681.43601881680479</v>
      </c>
      <c r="P102" s="131">
        <f t="shared" si="30"/>
        <v>98.95018440292769</v>
      </c>
      <c r="Q102" s="148">
        <f t="shared" si="23"/>
        <v>26.800167073248485</v>
      </c>
    </row>
    <row r="103" spans="1:17" x14ac:dyDescent="0.25">
      <c r="A103">
        <f t="shared" si="24"/>
        <v>92</v>
      </c>
      <c r="B103" s="150">
        <f t="shared" si="25"/>
        <v>52.666666666666885</v>
      </c>
      <c r="C103">
        <v>0.01</v>
      </c>
      <c r="D103">
        <f t="shared" si="16"/>
        <v>0.99</v>
      </c>
      <c r="E103">
        <f t="shared" si="26"/>
        <v>0.39667780642202527</v>
      </c>
      <c r="F103">
        <v>2000</v>
      </c>
      <c r="G103">
        <f t="shared" si="27"/>
        <v>90.134622519757755</v>
      </c>
      <c r="H103">
        <f t="shared" si="17"/>
        <v>0.99570564446549459</v>
      </c>
      <c r="I103">
        <f t="shared" si="28"/>
        <v>0.67305282932503996</v>
      </c>
      <c r="J103" s="149">
        <f t="shared" si="18"/>
        <v>533.97023988558919</v>
      </c>
      <c r="K103" s="149">
        <f t="shared" si="19"/>
        <v>24.064603004436037</v>
      </c>
      <c r="L103">
        <f t="shared" si="20"/>
        <v>7.4999999999999997E-3</v>
      </c>
      <c r="M103">
        <f t="shared" si="21"/>
        <v>0.99250000000000005</v>
      </c>
      <c r="N103">
        <f t="shared" si="29"/>
        <v>0.50027340964915912</v>
      </c>
      <c r="O103" s="149">
        <f t="shared" si="22"/>
        <v>673.42086760090262</v>
      </c>
      <c r="P103" s="131">
        <f t="shared" si="30"/>
        <v>99.148084771733537</v>
      </c>
      <c r="Q103" s="148">
        <f t="shared" si="23"/>
        <v>26.471063304879646</v>
      </c>
    </row>
    <row r="104" spans="1:17" x14ac:dyDescent="0.25">
      <c r="A104">
        <f t="shared" si="24"/>
        <v>93</v>
      </c>
      <c r="B104" s="150">
        <f t="shared" si="25"/>
        <v>52.75000000000022</v>
      </c>
      <c r="C104">
        <v>0.01</v>
      </c>
      <c r="D104">
        <f t="shared" si="16"/>
        <v>0.99</v>
      </c>
      <c r="E104">
        <f t="shared" si="26"/>
        <v>0.39271102835780503</v>
      </c>
      <c r="F104">
        <v>2000</v>
      </c>
      <c r="G104">
        <f t="shared" si="27"/>
        <v>90.314891764797267</v>
      </c>
      <c r="H104">
        <f t="shared" si="17"/>
        <v>0.99570564446549459</v>
      </c>
      <c r="I104">
        <f t="shared" si="28"/>
        <v>0.67016250118241349</v>
      </c>
      <c r="J104" s="149">
        <f t="shared" si="18"/>
        <v>526.36041001236867</v>
      </c>
      <c r="K104" s="149">
        <f t="shared" si="19"/>
        <v>23.769091729770693</v>
      </c>
      <c r="L104">
        <f t="shared" si="20"/>
        <v>7.4999999999999997E-3</v>
      </c>
      <c r="M104">
        <f t="shared" si="21"/>
        <v>0.99250000000000005</v>
      </c>
      <c r="N104">
        <f t="shared" si="29"/>
        <v>0.49652135907679046</v>
      </c>
      <c r="O104" s="149">
        <f t="shared" si="22"/>
        <v>665.49999177878635</v>
      </c>
      <c r="P104" s="131">
        <f t="shared" si="30"/>
        <v>99.346380941277005</v>
      </c>
      <c r="Q104" s="148">
        <f t="shared" si="23"/>
        <v>26.146000902747765</v>
      </c>
    </row>
    <row r="105" spans="1:17" x14ac:dyDescent="0.25">
      <c r="A105">
        <f t="shared" si="24"/>
        <v>94</v>
      </c>
      <c r="B105" s="150">
        <f t="shared" si="25"/>
        <v>52.833333333333556</v>
      </c>
      <c r="C105">
        <v>0.01</v>
      </c>
      <c r="D105">
        <f t="shared" si="16"/>
        <v>0.99</v>
      </c>
      <c r="E105">
        <f t="shared" si="26"/>
        <v>0.38878391807422696</v>
      </c>
      <c r="F105">
        <v>2000</v>
      </c>
      <c r="G105">
        <f t="shared" si="27"/>
        <v>90.495521548326863</v>
      </c>
      <c r="H105">
        <f t="shared" si="17"/>
        <v>0.99570564446549459</v>
      </c>
      <c r="I105">
        <f t="shared" si="28"/>
        <v>0.66728458513644284</v>
      </c>
      <c r="J105" s="149">
        <f t="shared" si="18"/>
        <v>518.85903095976266</v>
      </c>
      <c r="K105" s="149">
        <f t="shared" si="19"/>
        <v>23.4772093083816</v>
      </c>
      <c r="L105">
        <f t="shared" si="20"/>
        <v>7.4999999999999997E-3</v>
      </c>
      <c r="M105">
        <f t="shared" si="21"/>
        <v>0.99250000000000005</v>
      </c>
      <c r="N105">
        <f t="shared" si="29"/>
        <v>0.49279744888371457</v>
      </c>
      <c r="O105" s="149">
        <f t="shared" si="22"/>
        <v>657.67228246933382</v>
      </c>
      <c r="P105" s="131">
        <f t="shared" si="30"/>
        <v>99.545073703159559</v>
      </c>
      <c r="Q105" s="148">
        <f t="shared" si="23"/>
        <v>25.824930239219761</v>
      </c>
    </row>
    <row r="106" spans="1:17" x14ac:dyDescent="0.25">
      <c r="A106">
        <f t="shared" si="24"/>
        <v>95</v>
      </c>
      <c r="B106" s="150">
        <f t="shared" si="25"/>
        <v>52.916666666666892</v>
      </c>
      <c r="C106">
        <v>0.01</v>
      </c>
      <c r="D106">
        <f t="shared" si="16"/>
        <v>0.99</v>
      </c>
      <c r="E106">
        <f t="shared" si="26"/>
        <v>0.38489607889348471</v>
      </c>
      <c r="F106">
        <v>2000</v>
      </c>
      <c r="G106">
        <f t="shared" si="27"/>
        <v>90.676512591423517</v>
      </c>
      <c r="H106">
        <f t="shared" si="17"/>
        <v>0.99570564446549459</v>
      </c>
      <c r="I106">
        <f t="shared" si="28"/>
        <v>0.66441902788517204</v>
      </c>
      <c r="J106" s="149">
        <f t="shared" si="18"/>
        <v>511.46455715044715</v>
      </c>
      <c r="K106" s="149">
        <f t="shared" si="19"/>
        <v>23.188911178259687</v>
      </c>
      <c r="L106">
        <f t="shared" si="20"/>
        <v>7.4999999999999997E-3</v>
      </c>
      <c r="M106">
        <f t="shared" si="21"/>
        <v>0.99250000000000005</v>
      </c>
      <c r="N106">
        <f t="shared" si="29"/>
        <v>0.48910146801708676</v>
      </c>
      <c r="O106" s="149">
        <f t="shared" si="22"/>
        <v>649.93664383424664</v>
      </c>
      <c r="P106" s="131">
        <f t="shared" si="30"/>
        <v>99.744163850565883</v>
      </c>
      <c r="Q106" s="148">
        <f t="shared" si="23"/>
        <v>25.507802296085661</v>
      </c>
    </row>
    <row r="107" spans="1:17" x14ac:dyDescent="0.25">
      <c r="A107">
        <f t="shared" si="24"/>
        <v>96</v>
      </c>
      <c r="B107" s="150">
        <f t="shared" si="25"/>
        <v>53.000000000000227</v>
      </c>
      <c r="C107">
        <v>0.01</v>
      </c>
      <c r="D107">
        <f t="shared" si="16"/>
        <v>0.99</v>
      </c>
      <c r="E107">
        <f t="shared" si="26"/>
        <v>0.38104711810454983</v>
      </c>
      <c r="F107">
        <v>2000</v>
      </c>
      <c r="G107">
        <f t="shared" si="27"/>
        <v>90.857865616606361</v>
      </c>
      <c r="H107">
        <f t="shared" si="17"/>
        <v>0.99570564446549459</v>
      </c>
      <c r="I107">
        <f t="shared" si="28"/>
        <v>0.6615657763555427</v>
      </c>
      <c r="J107" s="149">
        <f t="shared" si="18"/>
        <v>504.17546503375735</v>
      </c>
      <c r="K107" s="149">
        <f t="shared" si="19"/>
        <v>22.904153324613571</v>
      </c>
      <c r="L107">
        <f t="shared" si="20"/>
        <v>7.4999999999999997E-3</v>
      </c>
      <c r="M107">
        <f t="shared" si="21"/>
        <v>0.99250000000000005</v>
      </c>
      <c r="N107">
        <f t="shared" si="29"/>
        <v>0.48543320700695863</v>
      </c>
      <c r="O107" s="149">
        <f t="shared" si="22"/>
        <v>642.29199292463898</v>
      </c>
      <c r="P107" s="131">
        <f t="shared" si="30"/>
        <v>99.943652178267001</v>
      </c>
      <c r="Q107" s="148">
        <f t="shared" si="23"/>
        <v>25.194568657074932</v>
      </c>
    </row>
    <row r="108" spans="1:17" x14ac:dyDescent="0.25">
      <c r="A108">
        <f t="shared" si="24"/>
        <v>97</v>
      </c>
      <c r="B108" s="150">
        <f t="shared" si="25"/>
        <v>53.083333333333563</v>
      </c>
      <c r="C108">
        <v>0.01</v>
      </c>
      <c r="D108">
        <f t="shared" si="16"/>
        <v>0.99</v>
      </c>
      <c r="E108">
        <f t="shared" si="26"/>
        <v>0.37723664692350434</v>
      </c>
      <c r="F108">
        <v>2000</v>
      </c>
      <c r="G108">
        <f t="shared" si="27"/>
        <v>91.039581347839572</v>
      </c>
      <c r="H108">
        <f t="shared" si="17"/>
        <v>0.99570564446549459</v>
      </c>
      <c r="I108">
        <f t="shared" si="28"/>
        <v>0.65872477770241089</v>
      </c>
      <c r="J108" s="149">
        <f t="shared" si="18"/>
        <v>496.99025277177651</v>
      </c>
      <c r="K108" s="149">
        <f t="shared" si="19"/>
        <v>22.622892273149748</v>
      </c>
      <c r="L108">
        <f t="shared" si="20"/>
        <v>7.4999999999999997E-3</v>
      </c>
      <c r="M108">
        <f t="shared" si="21"/>
        <v>0.99250000000000005</v>
      </c>
      <c r="N108">
        <f t="shared" si="29"/>
        <v>0.48179245795440645</v>
      </c>
      <c r="O108" s="149">
        <f t="shared" si="22"/>
        <v>634.73725952942914</v>
      </c>
      <c r="P108" s="131">
        <f t="shared" si="30"/>
        <v>100.14353948262354</v>
      </c>
      <c r="Q108" s="148">
        <f t="shared" si="23"/>
        <v>24.885181500464725</v>
      </c>
    </row>
    <row r="109" spans="1:17" x14ac:dyDescent="0.25">
      <c r="A109">
        <f t="shared" si="24"/>
        <v>98</v>
      </c>
      <c r="B109" s="150">
        <f t="shared" si="25"/>
        <v>53.166666666666899</v>
      </c>
      <c r="C109">
        <v>0.01</v>
      </c>
      <c r="D109">
        <f t="shared" si="16"/>
        <v>0.99</v>
      </c>
      <c r="E109">
        <f t="shared" si="26"/>
        <v>0.37346428045426927</v>
      </c>
      <c r="F109">
        <v>2000</v>
      </c>
      <c r="G109">
        <f t="shared" si="27"/>
        <v>91.221660510535258</v>
      </c>
      <c r="H109">
        <f t="shared" si="17"/>
        <v>0.99570564446549459</v>
      </c>
      <c r="I109">
        <f t="shared" si="28"/>
        <v>0.65589597930756871</v>
      </c>
      <c r="J109" s="149">
        <f t="shared" si="18"/>
        <v>489.90743992989889</v>
      </c>
      <c r="K109" s="149">
        <f t="shared" si="19"/>
        <v>22.34508508343534</v>
      </c>
      <c r="L109">
        <f t="shared" si="20"/>
        <v>7.4999999999999997E-3</v>
      </c>
      <c r="M109">
        <f t="shared" si="21"/>
        <v>0.99250000000000005</v>
      </c>
      <c r="N109">
        <f t="shared" si="29"/>
        <v>0.47817901451974842</v>
      </c>
      <c r="O109" s="149">
        <f t="shared" si="22"/>
        <v>627.27138602551702</v>
      </c>
      <c r="P109" s="131">
        <f t="shared" si="30"/>
        <v>100.3438265615888</v>
      </c>
      <c r="Q109" s="148">
        <f t="shared" si="23"/>
        <v>24.579593591778877</v>
      </c>
    </row>
    <row r="110" spans="1:17" x14ac:dyDescent="0.25">
      <c r="A110">
        <f t="shared" si="24"/>
        <v>99</v>
      </c>
      <c r="B110" s="150">
        <f t="shared" si="25"/>
        <v>53.250000000000234</v>
      </c>
      <c r="C110">
        <v>0.01</v>
      </c>
      <c r="D110">
        <f t="shared" si="16"/>
        <v>0.99</v>
      </c>
      <c r="E110">
        <f t="shared" si="26"/>
        <v>0.36972963764972655</v>
      </c>
      <c r="F110">
        <v>2000</v>
      </c>
      <c r="G110">
        <f t="shared" si="27"/>
        <v>91.404103831556327</v>
      </c>
      <c r="H110">
        <f t="shared" si="17"/>
        <v>0.99570564446549459</v>
      </c>
      <c r="I110">
        <f t="shared" si="28"/>
        <v>0.6530793287787694</v>
      </c>
      <c r="J110" s="149">
        <f t="shared" si="18"/>
        <v>482.92556717180207</v>
      </c>
      <c r="K110" s="149">
        <f t="shared" si="19"/>
        <v>22.070689342342316</v>
      </c>
      <c r="L110">
        <f t="shared" si="20"/>
        <v>7.4999999999999997E-3</v>
      </c>
      <c r="M110">
        <f t="shared" si="21"/>
        <v>0.99250000000000005</v>
      </c>
      <c r="N110">
        <f t="shared" si="29"/>
        <v>0.47459267191085036</v>
      </c>
      <c r="O110" s="149">
        <f t="shared" si="22"/>
        <v>619.89332722972176</v>
      </c>
      <c r="P110" s="131">
        <f t="shared" si="30"/>
        <v>100.54451421471197</v>
      </c>
      <c r="Q110" s="148">
        <f t="shared" si="23"/>
        <v>24.277758276576549</v>
      </c>
    </row>
    <row r="111" spans="1:17" x14ac:dyDescent="0.25">
      <c r="A111">
        <f t="shared" si="24"/>
        <v>100</v>
      </c>
      <c r="B111" s="150">
        <f t="shared" si="25"/>
        <v>53.33333333333357</v>
      </c>
      <c r="C111">
        <v>0.01</v>
      </c>
      <c r="D111">
        <f t="shared" si="16"/>
        <v>0.99</v>
      </c>
      <c r="E111">
        <f t="shared" si="26"/>
        <v>0.36603234127322926</v>
      </c>
      <c r="F111">
        <v>2000</v>
      </c>
      <c r="G111">
        <f t="shared" si="27"/>
        <v>91.586912039219442</v>
      </c>
      <c r="H111">
        <f t="shared" si="17"/>
        <v>0.99570564446549459</v>
      </c>
      <c r="I111">
        <f t="shared" si="28"/>
        <v>0.65027477394875721</v>
      </c>
      <c r="J111" s="149">
        <f t="shared" si="18"/>
        <v>476.043195958767</v>
      </c>
      <c r="K111" s="149">
        <f t="shared" si="19"/>
        <v>21.799663157572251</v>
      </c>
      <c r="L111">
        <f t="shared" si="20"/>
        <v>7.4999999999999997E-3</v>
      </c>
      <c r="M111">
        <f t="shared" si="21"/>
        <v>0.99250000000000005</v>
      </c>
      <c r="N111">
        <f t="shared" si="29"/>
        <v>0.471033226871519</v>
      </c>
      <c r="O111" s="149">
        <f t="shared" si="22"/>
        <v>612.60205025246137</v>
      </c>
      <c r="P111" s="131">
        <f t="shared" si="30"/>
        <v>100.74560324314139</v>
      </c>
      <c r="Q111" s="148">
        <f t="shared" si="23"/>
        <v>23.979629473329478</v>
      </c>
    </row>
    <row r="112" spans="1:17" x14ac:dyDescent="0.25">
      <c r="A112">
        <f t="shared" si="24"/>
        <v>101</v>
      </c>
      <c r="B112" s="150">
        <f t="shared" si="25"/>
        <v>53.416666666666906</v>
      </c>
      <c r="C112">
        <v>0.01</v>
      </c>
      <c r="D112">
        <f t="shared" si="16"/>
        <v>0.99</v>
      </c>
      <c r="E112">
        <f t="shared" si="26"/>
        <v>0.36237201786049694</v>
      </c>
      <c r="F112">
        <v>2000</v>
      </c>
      <c r="G112">
        <f t="shared" si="27"/>
        <v>91.770085863297879</v>
      </c>
      <c r="H112">
        <f t="shared" si="17"/>
        <v>0.99570564446549459</v>
      </c>
      <c r="I112">
        <f t="shared" si="28"/>
        <v>0.64748226287430111</v>
      </c>
      <c r="J112" s="149">
        <f t="shared" si="18"/>
        <v>469.25890825328247</v>
      </c>
      <c r="K112" s="149">
        <f t="shared" si="19"/>
        <v>21.531965151260575</v>
      </c>
      <c r="L112">
        <f t="shared" si="20"/>
        <v>7.4999999999999997E-3</v>
      </c>
      <c r="M112">
        <f t="shared" si="21"/>
        <v>0.99250000000000005</v>
      </c>
      <c r="N112">
        <f t="shared" si="29"/>
        <v>0.46750047766998265</v>
      </c>
      <c r="O112" s="149">
        <f t="shared" si="22"/>
        <v>605.39653435315415</v>
      </c>
      <c r="P112" s="131">
        <f t="shared" si="30"/>
        <v>100.94709444962767</v>
      </c>
      <c r="Q112" s="148">
        <f t="shared" si="23"/>
        <v>23.685161666386634</v>
      </c>
    </row>
    <row r="113" spans="1:17" x14ac:dyDescent="0.25">
      <c r="A113">
        <f t="shared" si="24"/>
        <v>102</v>
      </c>
      <c r="B113" s="150">
        <f t="shared" si="25"/>
        <v>53.500000000000242</v>
      </c>
      <c r="C113">
        <v>0.01</v>
      </c>
      <c r="D113">
        <f t="shared" si="16"/>
        <v>0.99</v>
      </c>
      <c r="E113">
        <f t="shared" si="26"/>
        <v>0.35874829768189198</v>
      </c>
      <c r="F113">
        <v>2000</v>
      </c>
      <c r="G113">
        <f t="shared" si="27"/>
        <v>91.95362603502447</v>
      </c>
      <c r="H113">
        <f t="shared" si="17"/>
        <v>0.99570564446549459</v>
      </c>
      <c r="I113">
        <f t="shared" si="28"/>
        <v>0.64470174383523271</v>
      </c>
      <c r="J113" s="149">
        <f t="shared" si="18"/>
        <v>462.57130622687384</v>
      </c>
      <c r="K113" s="149">
        <f t="shared" si="19"/>
        <v>21.267554453659372</v>
      </c>
      <c r="L113">
        <f t="shared" si="20"/>
        <v>7.4999999999999997E-3</v>
      </c>
      <c r="M113">
        <f t="shared" si="21"/>
        <v>0.99250000000000005</v>
      </c>
      <c r="N113">
        <f t="shared" si="29"/>
        <v>0.46399422408745783</v>
      </c>
      <c r="O113" s="149">
        <f t="shared" si="22"/>
        <v>598.27577079731964</v>
      </c>
      <c r="P113" s="131">
        <f t="shared" si="30"/>
        <v>101.14898863852693</v>
      </c>
      <c r="Q113" s="148">
        <f t="shared" si="23"/>
        <v>23.394309899025313</v>
      </c>
    </row>
    <row r="114" spans="1:17" x14ac:dyDescent="0.25">
      <c r="A114">
        <f t="shared" si="24"/>
        <v>103</v>
      </c>
      <c r="B114" s="150">
        <f t="shared" si="25"/>
        <v>53.583333333333577</v>
      </c>
      <c r="C114">
        <v>0.01</v>
      </c>
      <c r="D114">
        <f t="shared" si="16"/>
        <v>0.99</v>
      </c>
      <c r="E114">
        <f t="shared" si="26"/>
        <v>0.35516081470507305</v>
      </c>
      <c r="F114">
        <v>2000</v>
      </c>
      <c r="G114">
        <f t="shared" si="27"/>
        <v>92.137533287094513</v>
      </c>
      <c r="H114">
        <f t="shared" si="17"/>
        <v>0.99570564446549459</v>
      </c>
      <c r="I114">
        <f t="shared" si="28"/>
        <v>0.64193316533348854</v>
      </c>
      <c r="J114" s="149">
        <f t="shared" si="18"/>
        <v>455.97901197209632</v>
      </c>
      <c r="K114" s="149">
        <f t="shared" si="19"/>
        <v>21.006390696897743</v>
      </c>
      <c r="L114">
        <f t="shared" si="20"/>
        <v>7.4999999999999997E-3</v>
      </c>
      <c r="M114">
        <f t="shared" si="21"/>
        <v>0.99250000000000005</v>
      </c>
      <c r="N114">
        <f t="shared" si="29"/>
        <v>0.4605142674068019</v>
      </c>
      <c r="O114" s="149">
        <f t="shared" si="22"/>
        <v>591.23876271536176</v>
      </c>
      <c r="P114" s="131">
        <f t="shared" si="30"/>
        <v>101.35128661580397</v>
      </c>
      <c r="Q114" s="148">
        <f t="shared" si="23"/>
        <v>23.107029766587523</v>
      </c>
    </row>
    <row r="115" spans="1:17" x14ac:dyDescent="0.25">
      <c r="A115">
        <f t="shared" si="24"/>
        <v>104</v>
      </c>
      <c r="B115" s="150">
        <f t="shared" si="25"/>
        <v>53.666666666666913</v>
      </c>
      <c r="C115">
        <v>0.01</v>
      </c>
      <c r="D115">
        <f t="shared" si="16"/>
        <v>0.99</v>
      </c>
      <c r="E115">
        <f t="shared" si="26"/>
        <v>0.3516092065580223</v>
      </c>
      <c r="F115">
        <v>2000</v>
      </c>
      <c r="G115">
        <f t="shared" si="27"/>
        <v>92.3218083536687</v>
      </c>
      <c r="H115">
        <f t="shared" si="17"/>
        <v>0.99570564446549459</v>
      </c>
      <c r="I115">
        <f t="shared" si="28"/>
        <v>0.63917647609215611</v>
      </c>
      <c r="J115" s="149">
        <f t="shared" si="18"/>
        <v>449.48066721863148</v>
      </c>
      <c r="K115" s="149">
        <f t="shared" si="19"/>
        <v>20.748434008818815</v>
      </c>
      <c r="L115">
        <f t="shared" si="20"/>
        <v>7.4999999999999997E-3</v>
      </c>
      <c r="M115">
        <f t="shared" si="21"/>
        <v>0.99250000000000005</v>
      </c>
      <c r="N115">
        <f t="shared" si="29"/>
        <v>0.45706041040125089</v>
      </c>
      <c r="O115" s="149">
        <f t="shared" si="22"/>
        <v>584.28452496301247</v>
      </c>
      <c r="P115" s="131">
        <f t="shared" si="30"/>
        <v>101.55398918903558</v>
      </c>
      <c r="Q115" s="148">
        <f t="shared" si="23"/>
        <v>22.823277409700697</v>
      </c>
    </row>
    <row r="116" spans="1:17" x14ac:dyDescent="0.25">
      <c r="A116">
        <f t="shared" si="24"/>
        <v>105</v>
      </c>
      <c r="B116" s="150">
        <f t="shared" si="25"/>
        <v>53.750000000000249</v>
      </c>
      <c r="C116">
        <v>0.01</v>
      </c>
      <c r="D116">
        <f t="shared" si="16"/>
        <v>0.99</v>
      </c>
      <c r="E116">
        <f t="shared" si="26"/>
        <v>0.34809311449244207</v>
      </c>
      <c r="F116">
        <v>2000</v>
      </c>
      <c r="G116">
        <f t="shared" si="27"/>
        <v>92.506451970376034</v>
      </c>
      <c r="H116">
        <f t="shared" si="17"/>
        <v>0.99570564446549459</v>
      </c>
      <c r="I116">
        <f t="shared" si="28"/>
        <v>0.63643162505452411</v>
      </c>
      <c r="J116" s="149">
        <f t="shared" si="18"/>
        <v>443.07493305343081</v>
      </c>
      <c r="K116" s="149">
        <f t="shared" si="19"/>
        <v>20.493645006892386</v>
      </c>
      <c r="L116">
        <f t="shared" si="20"/>
        <v>7.4999999999999997E-3</v>
      </c>
      <c r="M116">
        <f t="shared" si="21"/>
        <v>0.99250000000000005</v>
      </c>
      <c r="N116">
        <f t="shared" si="29"/>
        <v>0.45363245732324153</v>
      </c>
      <c r="O116" s="149">
        <f t="shared" si="22"/>
        <v>577.4120839834153</v>
      </c>
      <c r="P116" s="131">
        <f t="shared" si="30"/>
        <v>101.75709716741365</v>
      </c>
      <c r="Q116" s="148">
        <f t="shared" si="23"/>
        <v>22.54300950758163</v>
      </c>
    </row>
    <row r="117" spans="1:17" x14ac:dyDescent="0.25">
      <c r="A117">
        <f t="shared" si="24"/>
        <v>106</v>
      </c>
      <c r="B117" s="150">
        <f t="shared" si="25"/>
        <v>53.833333333333584</v>
      </c>
      <c r="C117">
        <v>0.01</v>
      </c>
      <c r="D117">
        <f t="shared" si="16"/>
        <v>0.99</v>
      </c>
      <c r="E117">
        <f t="shared" si="26"/>
        <v>0.34461218334751764</v>
      </c>
      <c r="F117">
        <v>2000</v>
      </c>
      <c r="G117">
        <f t="shared" si="27"/>
        <v>92.691464874316793</v>
      </c>
      <c r="H117">
        <f t="shared" si="17"/>
        <v>0.99570564446549459</v>
      </c>
      <c r="I117">
        <f t="shared" si="28"/>
        <v>0.63369856138313696</v>
      </c>
      <c r="J117" s="149">
        <f t="shared" si="18"/>
        <v>436.76048964484755</v>
      </c>
      <c r="K117" s="149">
        <f t="shared" si="19"/>
        <v>20.241984792202395</v>
      </c>
      <c r="L117">
        <f t="shared" si="20"/>
        <v>7.4999999999999997E-3</v>
      </c>
      <c r="M117">
        <f t="shared" si="21"/>
        <v>0.99250000000000005</v>
      </c>
      <c r="N117">
        <f t="shared" si="29"/>
        <v>0.45023021389331724</v>
      </c>
      <c r="O117" s="149">
        <f t="shared" si="22"/>
        <v>570.62047767083436</v>
      </c>
      <c r="P117" s="131">
        <f t="shared" si="30"/>
        <v>101.96061136174848</v>
      </c>
      <c r="Q117" s="148">
        <f t="shared" si="23"/>
        <v>22.266183271422634</v>
      </c>
    </row>
    <row r="118" spans="1:17" x14ac:dyDescent="0.25">
      <c r="A118">
        <f t="shared" si="24"/>
        <v>107</v>
      </c>
      <c r="B118" s="150">
        <f t="shared" si="25"/>
        <v>53.91666666666692</v>
      </c>
      <c r="C118">
        <v>0.01</v>
      </c>
      <c r="D118">
        <f t="shared" si="16"/>
        <v>0.99</v>
      </c>
      <c r="E118">
        <f t="shared" si="26"/>
        <v>0.34116606151404244</v>
      </c>
      <c r="F118">
        <v>2000</v>
      </c>
      <c r="G118">
        <f t="shared" si="27"/>
        <v>92.87684780406542</v>
      </c>
      <c r="H118">
        <f t="shared" si="17"/>
        <v>0.99570564446549459</v>
      </c>
      <c r="I118">
        <f t="shared" si="28"/>
        <v>0.63097723445885312</v>
      </c>
      <c r="J118" s="149">
        <f t="shared" si="18"/>
        <v>430.53603597069895</v>
      </c>
      <c r="K118" s="149">
        <f t="shared" si="19"/>
        <v>19.993414943508117</v>
      </c>
      <c r="L118">
        <f t="shared" si="20"/>
        <v>7.4999999999999997E-3</v>
      </c>
      <c r="M118">
        <f t="shared" si="21"/>
        <v>0.99250000000000005</v>
      </c>
      <c r="N118">
        <f t="shared" si="29"/>
        <v>0.44685348728911739</v>
      </c>
      <c r="O118" s="149">
        <f t="shared" si="22"/>
        <v>563.9087552359631</v>
      </c>
      <c r="P118" s="131">
        <f t="shared" si="30"/>
        <v>102.16453258447197</v>
      </c>
      <c r="Q118" s="148">
        <f t="shared" si="23"/>
        <v>21.99275643785893</v>
      </c>
    </row>
    <row r="119" spans="1:17" x14ac:dyDescent="0.25">
      <c r="A119">
        <f t="shared" si="24"/>
        <v>108</v>
      </c>
      <c r="B119" s="150">
        <f t="shared" si="25"/>
        <v>54.000000000000256</v>
      </c>
      <c r="C119">
        <v>0.01</v>
      </c>
      <c r="D119">
        <f t="shared" si="16"/>
        <v>0.99</v>
      </c>
      <c r="E119">
        <f t="shared" si="26"/>
        <v>0.33775440089890202</v>
      </c>
      <c r="F119">
        <v>2000</v>
      </c>
      <c r="G119">
        <f t="shared" si="27"/>
        <v>93.062601499673548</v>
      </c>
      <c r="H119">
        <f t="shared" si="17"/>
        <v>0.99570564446549459</v>
      </c>
      <c r="I119">
        <f t="shared" si="28"/>
        <v>0.62826759387990783</v>
      </c>
      <c r="J119" s="149">
        <f t="shared" si="18"/>
        <v>424.40028955020591</v>
      </c>
      <c r="K119" s="149">
        <f t="shared" si="19"/>
        <v>19.74789751137844</v>
      </c>
      <c r="L119">
        <f t="shared" si="20"/>
        <v>7.4999999999999997E-3</v>
      </c>
      <c r="M119">
        <f t="shared" si="21"/>
        <v>0.99250000000000005</v>
      </c>
      <c r="N119">
        <f t="shared" si="29"/>
        <v>0.44350208613444903</v>
      </c>
      <c r="O119" s="149">
        <f t="shared" si="22"/>
        <v>557.27597707281984</v>
      </c>
      <c r="P119" s="131">
        <f t="shared" si="30"/>
        <v>102.36886164964091</v>
      </c>
      <c r="Q119" s="148">
        <f t="shared" si="23"/>
        <v>21.722687262516285</v>
      </c>
    </row>
    <row r="120" spans="1:17" x14ac:dyDescent="0.25">
      <c r="A120">
        <f t="shared" si="24"/>
        <v>109</v>
      </c>
      <c r="B120" s="150">
        <f t="shared" si="25"/>
        <v>54.083333333333591</v>
      </c>
      <c r="C120">
        <v>0.01</v>
      </c>
      <c r="D120">
        <f t="shared" si="16"/>
        <v>0.99</v>
      </c>
      <c r="E120">
        <f t="shared" si="26"/>
        <v>0.33437685688991298</v>
      </c>
      <c r="F120">
        <v>2000</v>
      </c>
      <c r="G120">
        <f t="shared" si="27"/>
        <v>93.248726702672897</v>
      </c>
      <c r="H120">
        <f t="shared" si="17"/>
        <v>0.99570564446549459</v>
      </c>
      <c r="I120">
        <f t="shared" si="28"/>
        <v>0.62556958946097929</v>
      </c>
      <c r="J120" s="149">
        <f t="shared" si="18"/>
        <v>418.35198617975095</v>
      </c>
      <c r="K120" s="149">
        <f t="shared" si="19"/>
        <v>19.505395012397994</v>
      </c>
      <c r="L120">
        <f t="shared" si="20"/>
        <v>7.4999999999999997E-3</v>
      </c>
      <c r="M120">
        <f t="shared" si="21"/>
        <v>0.99250000000000005</v>
      </c>
      <c r="N120">
        <f t="shared" si="29"/>
        <v>0.44017582048844067</v>
      </c>
      <c r="O120" s="149">
        <f t="shared" si="22"/>
        <v>550.72121462720702</v>
      </c>
      <c r="P120" s="131">
        <f t="shared" si="30"/>
        <v>102.57359937294019</v>
      </c>
      <c r="Q120" s="148">
        <f t="shared" si="23"/>
        <v>21.455934513637796</v>
      </c>
    </row>
    <row r="121" spans="1:17" x14ac:dyDescent="0.25">
      <c r="A121">
        <f t="shared" si="24"/>
        <v>110</v>
      </c>
      <c r="B121" s="150">
        <f t="shared" si="25"/>
        <v>54.166666666666927</v>
      </c>
      <c r="C121">
        <v>0.01</v>
      </c>
      <c r="D121">
        <f t="shared" si="16"/>
        <v>0.99</v>
      </c>
      <c r="E121">
        <f t="shared" si="26"/>
        <v>0.33103308832101386</v>
      </c>
      <c r="F121">
        <v>2000</v>
      </c>
      <c r="G121">
        <f t="shared" si="27"/>
        <v>93.435224156078249</v>
      </c>
      <c r="H121">
        <f t="shared" si="17"/>
        <v>0.99570564446549459</v>
      </c>
      <c r="I121">
        <f t="shared" si="28"/>
        <v>0.62288317123225923</v>
      </c>
      <c r="J121" s="149">
        <f t="shared" si="18"/>
        <v>412.38987967240331</v>
      </c>
      <c r="K121" s="149">
        <f t="shared" si="19"/>
        <v>19.265870423444571</v>
      </c>
      <c r="L121">
        <f t="shared" si="20"/>
        <v>7.4999999999999997E-3</v>
      </c>
      <c r="M121">
        <f t="shared" si="21"/>
        <v>0.99250000000000005</v>
      </c>
      <c r="N121">
        <f t="shared" si="29"/>
        <v>0.43687450183477738</v>
      </c>
      <c r="O121" s="149">
        <f t="shared" si="22"/>
        <v>544.24355026671924</v>
      </c>
      <c r="P121" s="131">
        <f t="shared" si="30"/>
        <v>102.77874657168609</v>
      </c>
      <c r="Q121" s="148">
        <f t="shared" si="23"/>
        <v>21.19245746578903</v>
      </c>
    </row>
    <row r="122" spans="1:17" x14ac:dyDescent="0.25">
      <c r="A122">
        <f t="shared" si="24"/>
        <v>111</v>
      </c>
      <c r="B122" s="150">
        <f t="shared" si="25"/>
        <v>54.250000000000263</v>
      </c>
      <c r="C122">
        <v>0.01</v>
      </c>
      <c r="D122">
        <f t="shared" si="16"/>
        <v>0.99</v>
      </c>
      <c r="E122">
        <f t="shared" si="26"/>
        <v>0.32772275743780371</v>
      </c>
      <c r="F122">
        <v>2000</v>
      </c>
      <c r="G122">
        <f t="shared" si="27"/>
        <v>93.622094604390412</v>
      </c>
      <c r="H122">
        <f t="shared" si="17"/>
        <v>0.99570564446549459</v>
      </c>
      <c r="I122">
        <f t="shared" si="28"/>
        <v>0.62020828943852768</v>
      </c>
      <c r="J122" s="149">
        <f t="shared" si="18"/>
        <v>406.51274160115548</v>
      </c>
      <c r="K122" s="149">
        <f t="shared" si="19"/>
        <v>19.02928717603675</v>
      </c>
      <c r="L122">
        <f t="shared" si="20"/>
        <v>7.4999999999999997E-3</v>
      </c>
      <c r="M122">
        <f t="shared" si="21"/>
        <v>0.99250000000000005</v>
      </c>
      <c r="N122">
        <f t="shared" si="29"/>
        <v>0.43359794307101657</v>
      </c>
      <c r="O122" s="149">
        <f t="shared" si="22"/>
        <v>537.84207715227853</v>
      </c>
      <c r="P122" s="131">
        <f t="shared" si="30"/>
        <v>102.98430406482946</v>
      </c>
      <c r="Q122" s="148">
        <f t="shared" si="23"/>
        <v>20.932215893640425</v>
      </c>
    </row>
    <row r="123" spans="1:17" x14ac:dyDescent="0.25">
      <c r="A123">
        <f t="shared" si="24"/>
        <v>112</v>
      </c>
      <c r="B123" s="150">
        <f t="shared" si="25"/>
        <v>54.333333333333599</v>
      </c>
      <c r="C123">
        <v>0.01</v>
      </c>
      <c r="D123">
        <f t="shared" si="16"/>
        <v>0.99</v>
      </c>
      <c r="E123">
        <f t="shared" si="26"/>
        <v>0.32444552986342567</v>
      </c>
      <c r="F123">
        <v>2000</v>
      </c>
      <c r="G123">
        <f t="shared" si="27"/>
        <v>93.809338793599196</v>
      </c>
      <c r="H123">
        <f t="shared" si="17"/>
        <v>0.99570564446549459</v>
      </c>
      <c r="I123">
        <f t="shared" si="28"/>
        <v>0.61754489453823125</v>
      </c>
      <c r="J123" s="149">
        <f t="shared" si="18"/>
        <v>400.71936104581954</v>
      </c>
      <c r="K123" s="149">
        <f t="shared" si="19"/>
        <v>18.795609150750938</v>
      </c>
      <c r="L123">
        <f t="shared" si="20"/>
        <v>7.4999999999999997E-3</v>
      </c>
      <c r="M123">
        <f t="shared" si="21"/>
        <v>0.99250000000000005</v>
      </c>
      <c r="N123">
        <f t="shared" si="29"/>
        <v>0.43034595849798396</v>
      </c>
      <c r="O123" s="149">
        <f t="shared" si="22"/>
        <v>531.5158991111831</v>
      </c>
      <c r="P123" s="131">
        <f t="shared" si="30"/>
        <v>103.19027267295913</v>
      </c>
      <c r="Q123" s="148">
        <f t="shared" si="23"/>
        <v>20.675170065826034</v>
      </c>
    </row>
    <row r="124" spans="1:17" x14ac:dyDescent="0.25">
      <c r="A124">
        <f t="shared" si="24"/>
        <v>113</v>
      </c>
      <c r="B124" s="150">
        <f t="shared" si="25"/>
        <v>54.416666666666934</v>
      </c>
      <c r="C124">
        <v>0.01</v>
      </c>
      <c r="D124">
        <f t="shared" si="16"/>
        <v>0.99</v>
      </c>
      <c r="E124">
        <f t="shared" si="26"/>
        <v>0.32120107456479141</v>
      </c>
      <c r="F124">
        <v>2000</v>
      </c>
      <c r="G124">
        <f t="shared" si="27"/>
        <v>93.996957471186391</v>
      </c>
      <c r="H124">
        <f t="shared" si="17"/>
        <v>0.99570564446549459</v>
      </c>
      <c r="I124">
        <f t="shared" si="28"/>
        <v>0.61489293720256544</v>
      </c>
      <c r="J124" s="149">
        <f t="shared" si="18"/>
        <v>395.00854434352959</v>
      </c>
      <c r="K124" s="149">
        <f t="shared" si="19"/>
        <v>18.564800671707001</v>
      </c>
      <c r="L124">
        <f t="shared" si="20"/>
        <v>7.4999999999999997E-3</v>
      </c>
      <c r="M124">
        <f t="shared" si="21"/>
        <v>0.99250000000000005</v>
      </c>
      <c r="N124">
        <f t="shared" si="29"/>
        <v>0.42711836380924911</v>
      </c>
      <c r="O124" s="149">
        <f t="shared" si="22"/>
        <v>525.26413051164616</v>
      </c>
      <c r="P124" s="131">
        <f t="shared" si="30"/>
        <v>103.39665321830503</v>
      </c>
      <c r="Q124" s="148">
        <f t="shared" si="23"/>
        <v>20.421280738877702</v>
      </c>
    </row>
    <row r="125" spans="1:17" x14ac:dyDescent="0.25">
      <c r="A125">
        <f t="shared" si="24"/>
        <v>114</v>
      </c>
      <c r="B125" s="150">
        <f t="shared" si="25"/>
        <v>54.50000000000027</v>
      </c>
      <c r="C125">
        <v>0.01</v>
      </c>
      <c r="D125">
        <f t="shared" si="16"/>
        <v>0.99</v>
      </c>
      <c r="E125">
        <f t="shared" si="26"/>
        <v>0.31798906381914349</v>
      </c>
      <c r="F125">
        <v>2000</v>
      </c>
      <c r="G125">
        <f t="shared" si="27"/>
        <v>94.184951386128759</v>
      </c>
      <c r="H125">
        <f t="shared" si="17"/>
        <v>0.99570564446549459</v>
      </c>
      <c r="I125">
        <f t="shared" si="28"/>
        <v>0.61225236831456131</v>
      </c>
      <c r="J125" s="149">
        <f t="shared" si="18"/>
        <v>389.37911484280158</v>
      </c>
      <c r="K125" s="149">
        <f t="shared" si="19"/>
        <v>18.336826501121557</v>
      </c>
      <c r="L125">
        <f t="shared" si="20"/>
        <v>7.4999999999999997E-3</v>
      </c>
      <c r="M125">
        <f t="shared" si="21"/>
        <v>0.99250000000000005</v>
      </c>
      <c r="N125">
        <f t="shared" si="29"/>
        <v>0.42391497608067974</v>
      </c>
      <c r="O125" s="149">
        <f t="shared" si="22"/>
        <v>519.08589613881361</v>
      </c>
      <c r="P125" s="131">
        <f t="shared" si="30"/>
        <v>103.60344652474164</v>
      </c>
      <c r="Q125" s="148">
        <f t="shared" si="23"/>
        <v>20.170509151233716</v>
      </c>
    </row>
    <row r="126" spans="1:17" x14ac:dyDescent="0.25">
      <c r="A126">
        <f t="shared" si="24"/>
        <v>115</v>
      </c>
      <c r="B126" s="150">
        <f t="shared" si="25"/>
        <v>54.583333333333606</v>
      </c>
      <c r="C126">
        <v>0.01</v>
      </c>
      <c r="D126">
        <f t="shared" si="16"/>
        <v>0.99</v>
      </c>
      <c r="E126">
        <f t="shared" si="26"/>
        <v>0.31480917318095203</v>
      </c>
      <c r="F126">
        <v>2000</v>
      </c>
      <c r="G126">
        <f t="shared" si="27"/>
        <v>94.37332128890101</v>
      </c>
      <c r="H126">
        <f t="shared" si="17"/>
        <v>0.99570564446549459</v>
      </c>
      <c r="I126">
        <f t="shared" si="28"/>
        <v>0.60962313896817566</v>
      </c>
      <c r="J126" s="149">
        <f t="shared" si="18"/>
        <v>383.82991266109599</v>
      </c>
      <c r="K126" s="149">
        <f t="shared" si="19"/>
        <v>18.111651833928214</v>
      </c>
      <c r="L126">
        <f t="shared" si="20"/>
        <v>7.4999999999999997E-3</v>
      </c>
      <c r="M126">
        <f t="shared" si="21"/>
        <v>0.99250000000000005</v>
      </c>
      <c r="N126">
        <f t="shared" si="29"/>
        <v>0.42073561376007468</v>
      </c>
      <c r="O126" s="149">
        <f t="shared" si="22"/>
        <v>512.98033107223739</v>
      </c>
      <c r="P126" s="131">
        <f t="shared" si="30"/>
        <v>103.81065341779112</v>
      </c>
      <c r="Q126" s="148">
        <f t="shared" si="23"/>
        <v>19.922817017321034</v>
      </c>
    </row>
    <row r="127" spans="1:17" x14ac:dyDescent="0.25">
      <c r="A127">
        <f t="shared" si="24"/>
        <v>116</v>
      </c>
      <c r="B127" s="150">
        <f t="shared" si="25"/>
        <v>54.666666666666941</v>
      </c>
      <c r="C127">
        <v>0.01</v>
      </c>
      <c r="D127">
        <f t="shared" si="16"/>
        <v>0.99</v>
      </c>
      <c r="E127">
        <f t="shared" si="26"/>
        <v>0.31166108144914251</v>
      </c>
      <c r="F127">
        <v>2000</v>
      </c>
      <c r="G127">
        <f t="shared" si="27"/>
        <v>94.562067931478808</v>
      </c>
      <c r="H127">
        <f t="shared" si="17"/>
        <v>0.99570564446549459</v>
      </c>
      <c r="I127">
        <f t="shared" si="28"/>
        <v>0.60700520046738515</v>
      </c>
      <c r="J127" s="149">
        <f t="shared" si="18"/>
        <v>378.35979444583757</v>
      </c>
      <c r="K127" s="149">
        <f t="shared" si="19"/>
        <v>17.889242292463827</v>
      </c>
      <c r="L127">
        <f t="shared" si="20"/>
        <v>7.4999999999999997E-3</v>
      </c>
      <c r="M127">
        <f t="shared" si="21"/>
        <v>0.99250000000000005</v>
      </c>
      <c r="N127">
        <f t="shared" si="29"/>
        <v>0.41758009665687412</v>
      </c>
      <c r="O127" s="149">
        <f t="shared" si="22"/>
        <v>506.94658056479187</v>
      </c>
      <c r="P127" s="131">
        <f t="shared" si="30"/>
        <v>104.01827472462669</v>
      </c>
      <c r="Q127" s="148">
        <f t="shared" si="23"/>
        <v>19.67816652171021</v>
      </c>
    </row>
    <row r="128" spans="1:17" x14ac:dyDescent="0.25">
      <c r="A128">
        <f t="shared" si="24"/>
        <v>117</v>
      </c>
      <c r="B128" s="150">
        <f t="shared" si="25"/>
        <v>54.750000000000277</v>
      </c>
      <c r="C128">
        <v>0.01</v>
      </c>
      <c r="D128">
        <f t="shared" si="16"/>
        <v>0.99</v>
      </c>
      <c r="E128">
        <f t="shared" si="26"/>
        <v>0.30854447063465107</v>
      </c>
      <c r="F128">
        <v>2000</v>
      </c>
      <c r="G128">
        <f t="shared" si="27"/>
        <v>94.751192067341762</v>
      </c>
      <c r="H128">
        <f t="shared" si="17"/>
        <v>0.99570564446549459</v>
      </c>
      <c r="I128">
        <f t="shared" si="28"/>
        <v>0.60439850432528452</v>
      </c>
      <c r="J128" s="149">
        <f t="shared" si="18"/>
        <v>372.96763313883957</v>
      </c>
      <c r="K128" s="149">
        <f t="shared" si="19"/>
        <v>17.669563921220025</v>
      </c>
      <c r="L128">
        <f t="shared" si="20"/>
        <v>7.4999999999999997E-3</v>
      </c>
      <c r="M128">
        <f t="shared" si="21"/>
        <v>0.99250000000000005</v>
      </c>
      <c r="N128">
        <f t="shared" si="29"/>
        <v>0.41444824593194757</v>
      </c>
      <c r="O128" s="149">
        <f t="shared" si="22"/>
        <v>500.98379992301358</v>
      </c>
      <c r="P128" s="131">
        <f t="shared" si="30"/>
        <v>104.22631127407594</v>
      </c>
      <c r="Q128" s="148">
        <f t="shared" si="23"/>
        <v>19.436520313342026</v>
      </c>
    </row>
    <row r="129" spans="1:17" x14ac:dyDescent="0.25">
      <c r="A129">
        <f t="shared" si="24"/>
        <v>118</v>
      </c>
      <c r="B129" s="150">
        <f t="shared" si="25"/>
        <v>54.833333333333613</v>
      </c>
      <c r="C129">
        <v>0.01</v>
      </c>
      <c r="D129">
        <f t="shared" si="16"/>
        <v>0.99</v>
      </c>
      <c r="E129">
        <f t="shared" si="26"/>
        <v>0.30545902592830454</v>
      </c>
      <c r="F129">
        <v>2000</v>
      </c>
      <c r="G129">
        <f t="shared" si="27"/>
        <v>94.940694451476446</v>
      </c>
      <c r="H129">
        <f t="shared" si="17"/>
        <v>0.99570564446549459</v>
      </c>
      <c r="I129">
        <f t="shared" si="28"/>
        <v>0.60180300226318839</v>
      </c>
      <c r="J129" s="149">
        <f t="shared" si="18"/>
        <v>367.65231774408556</v>
      </c>
      <c r="K129" s="149">
        <f t="shared" si="19"/>
        <v>17.452583181659179</v>
      </c>
      <c r="L129">
        <f t="shared" si="20"/>
        <v>7.4999999999999997E-3</v>
      </c>
      <c r="M129">
        <f t="shared" si="21"/>
        <v>0.99250000000000005</v>
      </c>
      <c r="N129">
        <f t="shared" si="29"/>
        <v>0.41133988408745797</v>
      </c>
      <c r="O129" s="149">
        <f t="shared" si="22"/>
        <v>495.09115438884822</v>
      </c>
      <c r="P129" s="131">
        <f t="shared" si="30"/>
        <v>104.4347638966241</v>
      </c>
      <c r="Q129" s="148">
        <f t="shared" si="23"/>
        <v>19.197841499825099</v>
      </c>
    </row>
    <row r="130" spans="1:17" x14ac:dyDescent="0.25">
      <c r="A130">
        <f t="shared" si="24"/>
        <v>119</v>
      </c>
      <c r="B130" s="150">
        <f t="shared" si="25"/>
        <v>54.916666666666949</v>
      </c>
      <c r="C130">
        <v>0.01</v>
      </c>
      <c r="D130">
        <f t="shared" si="16"/>
        <v>0.99</v>
      </c>
      <c r="E130">
        <f t="shared" si="26"/>
        <v>0.30240443566902148</v>
      </c>
      <c r="F130">
        <v>2000</v>
      </c>
      <c r="G130">
        <f t="shared" si="27"/>
        <v>95.130575840379393</v>
      </c>
      <c r="H130">
        <f t="shared" si="17"/>
        <v>0.99570564446549459</v>
      </c>
      <c r="I130">
        <f t="shared" si="28"/>
        <v>0.59921864620973753</v>
      </c>
      <c r="J130" s="149">
        <f t="shared" si="18"/>
        <v>362.41275309882144</v>
      </c>
      <c r="K130" s="149">
        <f t="shared" si="19"/>
        <v>17.238266947094061</v>
      </c>
      <c r="L130">
        <f t="shared" si="20"/>
        <v>7.4999999999999997E-3</v>
      </c>
      <c r="M130">
        <f t="shared" si="21"/>
        <v>0.99250000000000005</v>
      </c>
      <c r="N130">
        <f t="shared" si="29"/>
        <v>0.40825483495680204</v>
      </c>
      <c r="O130" s="149">
        <f t="shared" si="22"/>
        <v>489.26781902278947</v>
      </c>
      <c r="P130" s="131">
        <f t="shared" si="30"/>
        <v>104.64363342441735</v>
      </c>
      <c r="Q130" s="148">
        <f t="shared" si="23"/>
        <v>18.96209364180347</v>
      </c>
    </row>
    <row r="131" spans="1:17" x14ac:dyDescent="0.25">
      <c r="A131">
        <f t="shared" si="24"/>
        <v>120</v>
      </c>
      <c r="B131" s="150">
        <f t="shared" si="25"/>
        <v>55.000000000000284</v>
      </c>
      <c r="C131">
        <v>0.01</v>
      </c>
      <c r="D131">
        <f t="shared" si="16"/>
        <v>0.99</v>
      </c>
      <c r="E131">
        <f t="shared" si="26"/>
        <v>0.29938039131233124</v>
      </c>
      <c r="F131">
        <v>2000</v>
      </c>
      <c r="G131">
        <f t="shared" si="27"/>
        <v>95.320836992060151</v>
      </c>
      <c r="H131">
        <f t="shared" si="17"/>
        <v>0.99570564446549459</v>
      </c>
      <c r="I131">
        <f t="shared" si="28"/>
        <v>0.59664538830000791</v>
      </c>
      <c r="J131" s="149">
        <f t="shared" si="18"/>
        <v>357.2478596479084</v>
      </c>
      <c r="K131" s="149">
        <f t="shared" si="19"/>
        <v>17.026582497630329</v>
      </c>
      <c r="L131">
        <f t="shared" si="20"/>
        <v>7.4999999999999997E-3</v>
      </c>
      <c r="M131">
        <f t="shared" si="21"/>
        <v>0.99250000000000005</v>
      </c>
      <c r="N131">
        <f t="shared" si="29"/>
        <v>0.40519292369462606</v>
      </c>
      <c r="O131" s="149">
        <f t="shared" si="22"/>
        <v>483.51297858839132</v>
      </c>
      <c r="P131" s="131">
        <f t="shared" si="30"/>
        <v>104.85292069126618</v>
      </c>
      <c r="Q131" s="148">
        <f t="shared" si="23"/>
        <v>18.729240747393362</v>
      </c>
    </row>
    <row r="132" spans="1:17" x14ac:dyDescent="0.25">
      <c r="A132">
        <f t="shared" si="24"/>
        <v>121</v>
      </c>
      <c r="B132" s="150">
        <f t="shared" si="25"/>
        <v>55.08333333333362</v>
      </c>
      <c r="C132">
        <v>0.01</v>
      </c>
      <c r="D132">
        <f t="shared" si="16"/>
        <v>0.99</v>
      </c>
      <c r="E132">
        <f t="shared" si="26"/>
        <v>0.29638658739920792</v>
      </c>
      <c r="F132">
        <v>2000</v>
      </c>
      <c r="G132">
        <f t="shared" si="27"/>
        <v>95.511478666044269</v>
      </c>
      <c r="H132">
        <f t="shared" si="17"/>
        <v>0.99570564446549459</v>
      </c>
      <c r="I132">
        <f t="shared" si="28"/>
        <v>0.59408318087462464</v>
      </c>
      <c r="J132" s="149">
        <f t="shared" si="18"/>
        <v>352.15657322139276</v>
      </c>
      <c r="K132" s="149">
        <f t="shared" si="19"/>
        <v>16.817497515171155</v>
      </c>
      <c r="L132">
        <f t="shared" si="20"/>
        <v>7.4999999999999997E-3</v>
      </c>
      <c r="M132">
        <f t="shared" si="21"/>
        <v>0.99250000000000005</v>
      </c>
      <c r="N132">
        <f t="shared" si="29"/>
        <v>0.40215397676691639</v>
      </c>
      <c r="O132" s="149">
        <f t="shared" si="22"/>
        <v>477.82582743813919</v>
      </c>
      <c r="P132" s="131">
        <f t="shared" si="30"/>
        <v>105.06262653264871</v>
      </c>
      <c r="Q132" s="148">
        <f t="shared" si="23"/>
        <v>18.499247266688272</v>
      </c>
    </row>
    <row r="133" spans="1:17" x14ac:dyDescent="0.25">
      <c r="A133">
        <f t="shared" si="24"/>
        <v>122</v>
      </c>
      <c r="B133" s="150">
        <f t="shared" si="25"/>
        <v>55.166666666666956</v>
      </c>
      <c r="C133">
        <v>0.01</v>
      </c>
      <c r="D133">
        <f t="shared" si="16"/>
        <v>0.99</v>
      </c>
      <c r="E133">
        <f t="shared" si="26"/>
        <v>0.29342272152521587</v>
      </c>
      <c r="F133">
        <v>2000</v>
      </c>
      <c r="G133">
        <f t="shared" si="27"/>
        <v>95.702501623376364</v>
      </c>
      <c r="H133">
        <f t="shared" si="17"/>
        <v>0.99570564446549459</v>
      </c>
      <c r="I133">
        <f t="shared" si="28"/>
        <v>0.59153197647887912</v>
      </c>
      <c r="J133" s="149">
        <f t="shared" si="18"/>
        <v>347.13784481524539</v>
      </c>
      <c r="K133" s="149">
        <f t="shared" si="19"/>
        <v>16.610980078483198</v>
      </c>
      <c r="L133">
        <f t="shared" si="20"/>
        <v>7.4999999999999997E-3</v>
      </c>
      <c r="M133">
        <f t="shared" si="21"/>
        <v>0.99250000000000005</v>
      </c>
      <c r="N133">
        <f t="shared" si="29"/>
        <v>0.39913782194116454</v>
      </c>
      <c r="O133" s="149">
        <f t="shared" si="22"/>
        <v>472.20556940066393</v>
      </c>
      <c r="P133" s="131">
        <f t="shared" si="30"/>
        <v>105.27275178571401</v>
      </c>
      <c r="Q133" s="148">
        <f t="shared" si="23"/>
        <v>18.272078086331518</v>
      </c>
    </row>
    <row r="134" spans="1:17" x14ac:dyDescent="0.25">
      <c r="A134">
        <f t="shared" si="24"/>
        <v>123</v>
      </c>
      <c r="B134" s="150">
        <f t="shared" si="25"/>
        <v>55.250000000000291</v>
      </c>
      <c r="C134">
        <v>0.01</v>
      </c>
      <c r="D134">
        <f t="shared" si="16"/>
        <v>0.99</v>
      </c>
      <c r="E134">
        <f t="shared" si="26"/>
        <v>0.29048849430996371</v>
      </c>
      <c r="F134">
        <v>2000</v>
      </c>
      <c r="G134">
        <f t="shared" si="27"/>
        <v>95.893906626623121</v>
      </c>
      <c r="H134">
        <f t="shared" si="17"/>
        <v>0.99570564446549459</v>
      </c>
      <c r="I134">
        <f t="shared" si="28"/>
        <v>0.58899172786185017</v>
      </c>
      <c r="J134" s="149">
        <f t="shared" si="18"/>
        <v>342.19064037522548</v>
      </c>
      <c r="K134" s="149">
        <f t="shared" si="19"/>
        <v>16.406998658323122</v>
      </c>
      <c r="L134">
        <f t="shared" si="20"/>
        <v>7.4999999999999997E-3</v>
      </c>
      <c r="M134">
        <f t="shared" si="21"/>
        <v>0.99250000000000005</v>
      </c>
      <c r="N134">
        <f t="shared" si="29"/>
        <v>0.3961442882766058</v>
      </c>
      <c r="O134" s="149">
        <f t="shared" si="22"/>
        <v>466.65141766928184</v>
      </c>
      <c r="P134" s="131">
        <f t="shared" si="30"/>
        <v>105.48329728928545</v>
      </c>
      <c r="Q134" s="148">
        <f t="shared" si="23"/>
        <v>18.047698524155436</v>
      </c>
    </row>
    <row r="135" spans="1:17" x14ac:dyDescent="0.25">
      <c r="A135">
        <f t="shared" si="24"/>
        <v>124</v>
      </c>
      <c r="B135" s="150">
        <f t="shared" si="25"/>
        <v>55.333333333333627</v>
      </c>
      <c r="C135">
        <v>0.01</v>
      </c>
      <c r="D135">
        <f t="shared" si="16"/>
        <v>0.99</v>
      </c>
      <c r="E135">
        <f t="shared" si="26"/>
        <v>0.28758360936686406</v>
      </c>
      <c r="F135">
        <v>2000</v>
      </c>
      <c r="G135">
        <f t="shared" si="27"/>
        <v>96.085694439876363</v>
      </c>
      <c r="H135">
        <f t="shared" si="17"/>
        <v>0.99570564446549459</v>
      </c>
      <c r="I135">
        <f t="shared" si="28"/>
        <v>0.58646238797552874</v>
      </c>
      <c r="J135" s="149">
        <f t="shared" si="18"/>
        <v>337.31394058382546</v>
      </c>
      <c r="K135" s="149">
        <f t="shared" si="19"/>
        <v>16.205522112624031</v>
      </c>
      <c r="L135">
        <f t="shared" si="20"/>
        <v>7.4999999999999997E-3</v>
      </c>
      <c r="M135">
        <f t="shared" si="21"/>
        <v>0.99250000000000005</v>
      </c>
      <c r="N135">
        <f t="shared" si="29"/>
        <v>0.39317320611453127</v>
      </c>
      <c r="O135" s="149">
        <f t="shared" si="22"/>
        <v>461.16259469184558</v>
      </c>
      <c r="P135" s="131">
        <f t="shared" si="30"/>
        <v>105.69426388386401</v>
      </c>
      <c r="Q135" s="148">
        <f t="shared" si="23"/>
        <v>17.826074323886438</v>
      </c>
    </row>
    <row r="136" spans="1:17" x14ac:dyDescent="0.25">
      <c r="A136">
        <f t="shared" si="24"/>
        <v>125</v>
      </c>
      <c r="B136" s="150">
        <f t="shared" si="25"/>
        <v>55.416666666666963</v>
      </c>
      <c r="C136">
        <v>0.01</v>
      </c>
      <c r="D136">
        <f t="shared" si="16"/>
        <v>0.99</v>
      </c>
      <c r="E136">
        <f t="shared" si="26"/>
        <v>0.28470777327319541</v>
      </c>
      <c r="F136">
        <v>2000</v>
      </c>
      <c r="G136">
        <f t="shared" si="27"/>
        <v>96.27786582875612</v>
      </c>
      <c r="H136">
        <f t="shared" si="17"/>
        <v>0.99570564446549459</v>
      </c>
      <c r="I136">
        <f t="shared" si="28"/>
        <v>0.58394390997394674</v>
      </c>
      <c r="J136" s="149">
        <f t="shared" si="18"/>
        <v>332.50674065025134</v>
      </c>
      <c r="K136" s="149">
        <f t="shared" si="19"/>
        <v>16.006519681740954</v>
      </c>
      <c r="L136">
        <f t="shared" si="20"/>
        <v>7.4999999999999997E-3</v>
      </c>
      <c r="M136">
        <f t="shared" si="21"/>
        <v>0.99250000000000005</v>
      </c>
      <c r="N136">
        <f t="shared" si="29"/>
        <v>0.39022440706867229</v>
      </c>
      <c r="O136" s="149">
        <f t="shared" si="22"/>
        <v>455.73833206189101</v>
      </c>
      <c r="P136" s="131">
        <f t="shared" si="30"/>
        <v>105.90565241163173</v>
      </c>
      <c r="Q136" s="148">
        <f t="shared" si="23"/>
        <v>17.607171649915049</v>
      </c>
    </row>
    <row r="137" spans="1:17" x14ac:dyDescent="0.25">
      <c r="A137">
        <f t="shared" si="24"/>
        <v>126</v>
      </c>
      <c r="B137" s="150">
        <f t="shared" si="25"/>
        <v>55.500000000000298</v>
      </c>
      <c r="C137">
        <v>0.01</v>
      </c>
      <c r="D137">
        <f t="shared" si="16"/>
        <v>0.99</v>
      </c>
      <c r="E137">
        <f t="shared" si="26"/>
        <v>0.28186069554046345</v>
      </c>
      <c r="F137">
        <v>2000</v>
      </c>
      <c r="G137">
        <f t="shared" si="27"/>
        <v>96.470421560413627</v>
      </c>
      <c r="H137">
        <f t="shared" si="17"/>
        <v>0.99570564446549459</v>
      </c>
      <c r="I137">
        <f t="shared" si="28"/>
        <v>0.58143624721230935</v>
      </c>
      <c r="J137" s="149">
        <f t="shared" si="18"/>
        <v>327.76805010339672</v>
      </c>
      <c r="K137" s="149">
        <f t="shared" si="19"/>
        <v>15.809960983754729</v>
      </c>
      <c r="L137">
        <f t="shared" si="20"/>
        <v>7.4999999999999997E-3</v>
      </c>
      <c r="M137">
        <f t="shared" si="21"/>
        <v>0.99250000000000005</v>
      </c>
      <c r="N137">
        <f t="shared" si="29"/>
        <v>0.38729772401565726</v>
      </c>
      <c r="O137" s="149">
        <f t="shared" si="22"/>
        <v>450.37787041106492</v>
      </c>
      <c r="P137" s="131">
        <f t="shared" si="30"/>
        <v>106.11746371645499</v>
      </c>
      <c r="Q137" s="148">
        <f t="shared" si="23"/>
        <v>17.390957082130203</v>
      </c>
    </row>
    <row r="138" spans="1:17" x14ac:dyDescent="0.25">
      <c r="A138">
        <f t="shared" si="24"/>
        <v>127</v>
      </c>
      <c r="B138" s="150">
        <f t="shared" si="25"/>
        <v>55.583333333333634</v>
      </c>
      <c r="C138">
        <v>0.01</v>
      </c>
      <c r="D138">
        <f t="shared" si="16"/>
        <v>0.99</v>
      </c>
      <c r="E138">
        <f t="shared" si="26"/>
        <v>0.2790420885850588</v>
      </c>
      <c r="F138">
        <v>2000</v>
      </c>
      <c r="G138">
        <f t="shared" si="27"/>
        <v>96.66336240353445</v>
      </c>
      <c r="H138">
        <f t="shared" si="17"/>
        <v>0.99570564446549459</v>
      </c>
      <c r="I138">
        <f t="shared" si="28"/>
        <v>0.57893935324613111</v>
      </c>
      <c r="J138" s="149">
        <f t="shared" si="18"/>
        <v>323.09689258776717</v>
      </c>
      <c r="K138" s="149">
        <f t="shared" si="19"/>
        <v>15.615816009833589</v>
      </c>
      <c r="L138">
        <f t="shared" si="20"/>
        <v>7.4999999999999997E-3</v>
      </c>
      <c r="M138">
        <f t="shared" si="21"/>
        <v>0.99250000000000005</v>
      </c>
      <c r="N138">
        <f t="shared" si="29"/>
        <v>0.38439299108553987</v>
      </c>
      <c r="O138" s="149">
        <f t="shared" si="22"/>
        <v>445.08045930281656</v>
      </c>
      <c r="P138" s="131">
        <f t="shared" si="30"/>
        <v>106.32969864388791</v>
      </c>
      <c r="Q138" s="148">
        <f t="shared" si="23"/>
        <v>17.17739761081695</v>
      </c>
    </row>
    <row r="139" spans="1:17" x14ac:dyDescent="0.25">
      <c r="A139">
        <f t="shared" si="24"/>
        <v>128</v>
      </c>
      <c r="B139" s="150">
        <f t="shared" si="25"/>
        <v>55.66666666666697</v>
      </c>
      <c r="C139">
        <v>0.01</v>
      </c>
      <c r="D139">
        <f t="shared" si="16"/>
        <v>0.99</v>
      </c>
      <c r="E139">
        <f t="shared" si="26"/>
        <v>0.27625166769920823</v>
      </c>
      <c r="F139">
        <v>2000</v>
      </c>
      <c r="G139">
        <f t="shared" si="27"/>
        <v>96.856689128341515</v>
      </c>
      <c r="H139">
        <f t="shared" si="17"/>
        <v>0.99570564446549459</v>
      </c>
      <c r="I139">
        <f t="shared" si="28"/>
        <v>0.57645318183037564</v>
      </c>
      <c r="J139" s="149">
        <f t="shared" si="18"/>
        <v>318.49230566231233</v>
      </c>
      <c r="K139" s="149">
        <f t="shared" si="19"/>
        <v>15.424055119651657</v>
      </c>
      <c r="L139">
        <f t="shared" si="20"/>
        <v>7.4999999999999997E-3</v>
      </c>
      <c r="M139">
        <f t="shared" si="21"/>
        <v>0.99250000000000005</v>
      </c>
      <c r="N139">
        <f t="shared" si="29"/>
        <v>0.38151004365239832</v>
      </c>
      <c r="O139" s="149">
        <f t="shared" si="22"/>
        <v>439.84535712734106</v>
      </c>
      <c r="P139" s="131">
        <f t="shared" si="30"/>
        <v>106.54235804117567</v>
      </c>
      <c r="Q139" s="148">
        <f t="shared" si="23"/>
        <v>16.966460631616826</v>
      </c>
    </row>
    <row r="140" spans="1:17" x14ac:dyDescent="0.25">
      <c r="A140">
        <f t="shared" si="24"/>
        <v>129</v>
      </c>
      <c r="B140" s="150">
        <f t="shared" si="25"/>
        <v>55.750000000000306</v>
      </c>
      <c r="C140">
        <v>0.01</v>
      </c>
      <c r="D140">
        <f t="shared" ref="D140:D203" si="31">1-C140</f>
        <v>0.99</v>
      </c>
      <c r="E140">
        <f t="shared" si="26"/>
        <v>0.27348915102221616</v>
      </c>
      <c r="F140">
        <v>2000</v>
      </c>
      <c r="G140">
        <f t="shared" si="27"/>
        <v>97.050402506598203</v>
      </c>
      <c r="H140">
        <f t="shared" ref="H140:H203" si="32">1/(1+$B$1)^(1/12)</f>
        <v>0.99570564446549459</v>
      </c>
      <c r="I140">
        <f t="shared" si="28"/>
        <v>0.57397768691859907</v>
      </c>
      <c r="J140" s="149">
        <f t="shared" ref="J140:J203" si="33">F140*E140*I140</f>
        <v>313.9533406021261</v>
      </c>
      <c r="K140" s="149">
        <f t="shared" ref="K140:K203" si="34">G140*E140*I140</f>
        <v>15.234649036863729</v>
      </c>
      <c r="L140">
        <f t="shared" ref="L140:L203" si="35">C140*0.75</f>
        <v>7.4999999999999997E-3</v>
      </c>
      <c r="M140">
        <f t="shared" ref="M140:M203" si="36">1-L140</f>
        <v>0.99250000000000005</v>
      </c>
      <c r="N140">
        <f t="shared" si="29"/>
        <v>0.37864871832500535</v>
      </c>
      <c r="O140" s="149">
        <f t="shared" ref="O140:O203" si="37">F140*N140*I140</f>
        <v>434.67183099775747</v>
      </c>
      <c r="P140" s="131">
        <f t="shared" si="30"/>
        <v>106.75544275725804</v>
      </c>
      <c r="Q140" s="148">
        <f t="shared" ref="Q140:Q203" si="38">P140*E140*I140</f>
        <v>16.758113940550103</v>
      </c>
    </row>
    <row r="141" spans="1:17" x14ac:dyDescent="0.25">
      <c r="A141">
        <f t="shared" ref="A141:A204" si="39">A140+1</f>
        <v>130</v>
      </c>
      <c r="B141" s="150">
        <f t="shared" ref="B141:B204" si="40">B140+1/12</f>
        <v>55.833333333333641</v>
      </c>
      <c r="C141">
        <v>0.01</v>
      </c>
      <c r="D141">
        <f t="shared" si="31"/>
        <v>0.99</v>
      </c>
      <c r="E141">
        <f t="shared" ref="E141:E204" si="41">E140*D141</f>
        <v>0.270754259511994</v>
      </c>
      <c r="F141">
        <v>2000</v>
      </c>
      <c r="G141">
        <f t="shared" ref="G141:G204" si="42">G140*1.002</f>
        <v>97.244503311611396</v>
      </c>
      <c r="H141">
        <f t="shared" si="32"/>
        <v>0.99570564446549459</v>
      </c>
      <c r="I141">
        <f t="shared" ref="I141:I204" si="43">H141*I140</f>
        <v>0.57151282266209757</v>
      </c>
      <c r="J141" s="149">
        <f t="shared" si="33"/>
        <v>309.47906220297153</v>
      </c>
      <c r="K141" s="149">
        <f t="shared" si="34"/>
        <v>15.047568844635627</v>
      </c>
      <c r="L141">
        <f t="shared" si="35"/>
        <v>7.4999999999999997E-3</v>
      </c>
      <c r="M141">
        <f t="shared" si="36"/>
        <v>0.99250000000000005</v>
      </c>
      <c r="N141">
        <f t="shared" ref="N141:N204" si="44">M141*N140</f>
        <v>0.37580885293756783</v>
      </c>
      <c r="O141" s="149">
        <f t="shared" si="37"/>
        <v>429.55915664750904</v>
      </c>
      <c r="P141" s="131">
        <f t="shared" si="30"/>
        <v>106.96895364277255</v>
      </c>
      <c r="Q141" s="148">
        <f t="shared" si="38"/>
        <v>16.552325729099191</v>
      </c>
    </row>
    <row r="142" spans="1:17" x14ac:dyDescent="0.25">
      <c r="A142">
        <f t="shared" si="39"/>
        <v>131</v>
      </c>
      <c r="B142" s="150">
        <f t="shared" si="40"/>
        <v>55.916666666666977</v>
      </c>
      <c r="C142">
        <v>0.01</v>
      </c>
      <c r="D142">
        <f t="shared" si="31"/>
        <v>0.99</v>
      </c>
      <c r="E142">
        <f t="shared" si="41"/>
        <v>0.26804671691687404</v>
      </c>
      <c r="F142">
        <v>2000</v>
      </c>
      <c r="G142">
        <f t="shared" si="42"/>
        <v>97.438992318234625</v>
      </c>
      <c r="H142">
        <f t="shared" si="32"/>
        <v>0.99570564446549459</v>
      </c>
      <c r="I142">
        <f t="shared" si="43"/>
        <v>0.56905854340905782</v>
      </c>
      <c r="J142" s="149">
        <f t="shared" si="33"/>
        <v>305.06854858859282</v>
      </c>
      <c r="K142" s="149">
        <f t="shared" si="34"/>
        <v>14.862785981229441</v>
      </c>
      <c r="L142">
        <f t="shared" si="35"/>
        <v>7.4999999999999997E-3</v>
      </c>
      <c r="M142">
        <f t="shared" si="36"/>
        <v>0.99250000000000005</v>
      </c>
      <c r="N142">
        <f t="shared" si="44"/>
        <v>0.37299028654053606</v>
      </c>
      <c r="O142" s="149">
        <f t="shared" si="37"/>
        <v>424.50661832896913</v>
      </c>
      <c r="P142" s="131">
        <f t="shared" si="30"/>
        <v>107.1828915500581</v>
      </c>
      <c r="Q142" s="148">
        <f t="shared" si="38"/>
        <v>16.349064579352387</v>
      </c>
    </row>
    <row r="143" spans="1:17" x14ac:dyDescent="0.25">
      <c r="A143">
        <f t="shared" si="39"/>
        <v>132</v>
      </c>
      <c r="B143" s="150">
        <f t="shared" si="40"/>
        <v>56.000000000000313</v>
      </c>
      <c r="C143">
        <v>0.01</v>
      </c>
      <c r="D143">
        <f t="shared" si="31"/>
        <v>0.99</v>
      </c>
      <c r="E143">
        <f t="shared" si="41"/>
        <v>0.26536624974770529</v>
      </c>
      <c r="F143">
        <v>2000</v>
      </c>
      <c r="G143">
        <f t="shared" si="42"/>
        <v>97.633870302871088</v>
      </c>
      <c r="H143">
        <f t="shared" si="32"/>
        <v>0.99570564446549459</v>
      </c>
      <c r="I143">
        <f t="shared" si="43"/>
        <v>0.56661480370371153</v>
      </c>
      <c r="J143" s="149">
        <f t="shared" si="33"/>
        <v>300.72089102077223</v>
      </c>
      <c r="K143" s="149">
        <f t="shared" si="34"/>
        <v>14.680272235642954</v>
      </c>
      <c r="L143">
        <f t="shared" si="35"/>
        <v>7.4999999999999997E-3</v>
      </c>
      <c r="M143">
        <f t="shared" si="36"/>
        <v>0.99250000000000005</v>
      </c>
      <c r="N143">
        <f t="shared" si="44"/>
        <v>0.37019285939148205</v>
      </c>
      <c r="O143" s="149">
        <f t="shared" si="37"/>
        <v>419.51350871324058</v>
      </c>
      <c r="P143" s="131">
        <f t="shared" si="30"/>
        <v>107.39725733315821</v>
      </c>
      <c r="Q143" s="148">
        <f t="shared" si="38"/>
        <v>16.148299459207252</v>
      </c>
    </row>
    <row r="144" spans="1:17" x14ac:dyDescent="0.25">
      <c r="A144">
        <f t="shared" si="39"/>
        <v>133</v>
      </c>
      <c r="B144" s="150">
        <f t="shared" si="40"/>
        <v>56.083333333333648</v>
      </c>
      <c r="C144">
        <v>0.01</v>
      </c>
      <c r="D144">
        <f t="shared" si="31"/>
        <v>0.99</v>
      </c>
      <c r="E144">
        <f t="shared" si="41"/>
        <v>0.26271258725022822</v>
      </c>
      <c r="F144">
        <v>2000</v>
      </c>
      <c r="G144">
        <f t="shared" si="42"/>
        <v>97.829138043476831</v>
      </c>
      <c r="H144">
        <f t="shared" si="32"/>
        <v>0.99570564446549459</v>
      </c>
      <c r="I144">
        <f t="shared" si="43"/>
        <v>0.56418155828549377</v>
      </c>
      <c r="J144" s="149">
        <f t="shared" si="33"/>
        <v>296.43519371209504</v>
      </c>
      <c r="K144" s="149">
        <f t="shared" si="34"/>
        <v>14.499999743302668</v>
      </c>
      <c r="L144">
        <f t="shared" si="35"/>
        <v>7.4999999999999997E-3</v>
      </c>
      <c r="M144">
        <f t="shared" si="36"/>
        <v>0.99250000000000005</v>
      </c>
      <c r="N144">
        <f t="shared" si="44"/>
        <v>0.36741641294604593</v>
      </c>
      <c r="O144" s="149">
        <f t="shared" si="37"/>
        <v>414.57912879113331</v>
      </c>
      <c r="P144" s="131">
        <f t="shared" si="30"/>
        <v>107.61205184782452</v>
      </c>
      <c r="Q144" s="148">
        <f t="shared" si="38"/>
        <v>15.949999717632934</v>
      </c>
    </row>
    <row r="145" spans="1:17" x14ac:dyDescent="0.25">
      <c r="A145">
        <f t="shared" si="39"/>
        <v>134</v>
      </c>
      <c r="B145" s="150">
        <f t="shared" si="40"/>
        <v>56.166666666666984</v>
      </c>
      <c r="C145">
        <v>0.01</v>
      </c>
      <c r="D145">
        <f t="shared" si="31"/>
        <v>0.99</v>
      </c>
      <c r="E145">
        <f t="shared" si="41"/>
        <v>0.26008546137772592</v>
      </c>
      <c r="F145">
        <v>2000</v>
      </c>
      <c r="G145">
        <f t="shared" si="42"/>
        <v>98.024796319563791</v>
      </c>
      <c r="H145">
        <f t="shared" si="32"/>
        <v>0.99570564446549459</v>
      </c>
      <c r="I145">
        <f t="shared" si="43"/>
        <v>0.56175876208820452</v>
      </c>
      <c r="J145" s="149">
        <f t="shared" si="33"/>
        <v>292.2105736413817</v>
      </c>
      <c r="K145" s="149">
        <f t="shared" si="34"/>
        <v>14.321940981809668</v>
      </c>
      <c r="L145">
        <f t="shared" si="35"/>
        <v>7.4999999999999997E-3</v>
      </c>
      <c r="M145">
        <f t="shared" si="36"/>
        <v>0.99250000000000005</v>
      </c>
      <c r="N145">
        <f t="shared" si="44"/>
        <v>0.36466078984895062</v>
      </c>
      <c r="O145" s="149">
        <f t="shared" si="37"/>
        <v>409.70278777530683</v>
      </c>
      <c r="P145" s="131">
        <f t="shared" si="30"/>
        <v>107.82727595152018</v>
      </c>
      <c r="Q145" s="148">
        <f t="shared" si="38"/>
        <v>15.754135079990634</v>
      </c>
    </row>
    <row r="146" spans="1:17" x14ac:dyDescent="0.25">
      <c r="A146">
        <f t="shared" si="39"/>
        <v>135</v>
      </c>
      <c r="B146" s="150">
        <f t="shared" si="40"/>
        <v>56.25000000000032</v>
      </c>
      <c r="C146">
        <v>0.01</v>
      </c>
      <c r="D146">
        <f t="shared" si="31"/>
        <v>0.99</v>
      </c>
      <c r="E146">
        <f t="shared" si="41"/>
        <v>0.25748460676394869</v>
      </c>
      <c r="F146">
        <v>2000</v>
      </c>
      <c r="G146">
        <f t="shared" si="42"/>
        <v>98.220845912202918</v>
      </c>
      <c r="H146">
        <f t="shared" si="32"/>
        <v>0.99570564446549459</v>
      </c>
      <c r="I146">
        <f t="shared" si="43"/>
        <v>0.55934637023917411</v>
      </c>
      <c r="J146" s="149">
        <f t="shared" si="33"/>
        <v>288.04616037175163</v>
      </c>
      <c r="K146" s="149">
        <f t="shared" si="34"/>
        <v>14.146068766737752</v>
      </c>
      <c r="L146">
        <f t="shared" si="35"/>
        <v>7.4999999999999997E-3</v>
      </c>
      <c r="M146">
        <f t="shared" si="36"/>
        <v>0.99250000000000005</v>
      </c>
      <c r="N146">
        <f t="shared" si="44"/>
        <v>0.36192583392508348</v>
      </c>
      <c r="O146" s="149">
        <f t="shared" si="37"/>
        <v>404.88380300356323</v>
      </c>
      <c r="P146" s="131">
        <f t="shared" si="30"/>
        <v>108.04293050342322</v>
      </c>
      <c r="Q146" s="148">
        <f t="shared" si="38"/>
        <v>15.56067564341153</v>
      </c>
    </row>
    <row r="147" spans="1:17" x14ac:dyDescent="0.25">
      <c r="A147">
        <f t="shared" si="39"/>
        <v>136</v>
      </c>
      <c r="B147" s="150">
        <f t="shared" si="40"/>
        <v>56.333333333333655</v>
      </c>
      <c r="C147">
        <v>0.01</v>
      </c>
      <c r="D147">
        <f t="shared" si="31"/>
        <v>0.99</v>
      </c>
      <c r="E147">
        <f t="shared" si="41"/>
        <v>0.25490976069630922</v>
      </c>
      <c r="F147">
        <v>2000</v>
      </c>
      <c r="G147">
        <f t="shared" si="42"/>
        <v>98.417287604027322</v>
      </c>
      <c r="H147">
        <f t="shared" si="32"/>
        <v>0.99570564446549459</v>
      </c>
      <c r="I147">
        <f t="shared" si="43"/>
        <v>0.55694433805843202</v>
      </c>
      <c r="J147" s="149">
        <f t="shared" si="33"/>
        <v>283.94109587127849</v>
      </c>
      <c r="K147" s="149">
        <f t="shared" si="34"/>
        <v>13.972356247483155</v>
      </c>
      <c r="L147">
        <f t="shared" si="35"/>
        <v>7.4999999999999997E-3</v>
      </c>
      <c r="M147">
        <f t="shared" si="36"/>
        <v>0.99250000000000005</v>
      </c>
      <c r="N147">
        <f t="shared" si="44"/>
        <v>0.35921139017064535</v>
      </c>
      <c r="O147" s="149">
        <f t="shared" si="37"/>
        <v>400.12149984327846</v>
      </c>
      <c r="P147" s="131">
        <f t="shared" si="30"/>
        <v>108.25901636443007</v>
      </c>
      <c r="Q147" s="148">
        <f t="shared" si="38"/>
        <v>15.369591872231473</v>
      </c>
    </row>
    <row r="148" spans="1:17" x14ac:dyDescent="0.25">
      <c r="A148">
        <f t="shared" si="39"/>
        <v>137</v>
      </c>
      <c r="B148" s="150">
        <f t="shared" si="40"/>
        <v>56.416666666666991</v>
      </c>
      <c r="C148">
        <v>0.01</v>
      </c>
      <c r="D148">
        <f t="shared" si="31"/>
        <v>0.99</v>
      </c>
      <c r="E148">
        <f t="shared" si="41"/>
        <v>0.25236066308934613</v>
      </c>
      <c r="F148">
        <v>2000</v>
      </c>
      <c r="G148">
        <f t="shared" si="42"/>
        <v>98.61412217923538</v>
      </c>
      <c r="H148">
        <f t="shared" si="32"/>
        <v>0.99570564446549459</v>
      </c>
      <c r="I148">
        <f t="shared" si="43"/>
        <v>0.55455262105787939</v>
      </c>
      <c r="J148" s="149">
        <f t="shared" si="33"/>
        <v>279.8945343362027</v>
      </c>
      <c r="K148" s="149">
        <f t="shared" si="34"/>
        <v>13.800776903165241</v>
      </c>
      <c r="L148">
        <f t="shared" si="35"/>
        <v>7.4999999999999997E-3</v>
      </c>
      <c r="M148">
        <f t="shared" si="36"/>
        <v>0.99250000000000005</v>
      </c>
      <c r="N148">
        <f t="shared" si="44"/>
        <v>0.35651730474436555</v>
      </c>
      <c r="O148" s="149">
        <f t="shared" si="37"/>
        <v>395.41521159695731</v>
      </c>
      <c r="P148" s="131">
        <f t="shared" si="30"/>
        <v>108.47553439715892</v>
      </c>
      <c r="Q148" s="148">
        <f t="shared" si="38"/>
        <v>15.180854593481765</v>
      </c>
    </row>
    <row r="149" spans="1:17" x14ac:dyDescent="0.25">
      <c r="A149">
        <f t="shared" si="39"/>
        <v>138</v>
      </c>
      <c r="B149" s="150">
        <f t="shared" si="40"/>
        <v>56.500000000000327</v>
      </c>
      <c r="C149">
        <v>0.01</v>
      </c>
      <c r="D149">
        <f t="shared" si="31"/>
        <v>0.99</v>
      </c>
      <c r="E149">
        <f t="shared" si="41"/>
        <v>0.24983705645845267</v>
      </c>
      <c r="F149">
        <v>2000</v>
      </c>
      <c r="G149">
        <f t="shared" si="42"/>
        <v>98.811350423593851</v>
      </c>
      <c r="H149">
        <f t="shared" si="32"/>
        <v>0.99570564446549459</v>
      </c>
      <c r="I149">
        <f t="shared" si="43"/>
        <v>0.55217117494046497</v>
      </c>
      <c r="J149" s="149">
        <f t="shared" si="33"/>
        <v>275.90564201666217</v>
      </c>
      <c r="K149" s="149">
        <f t="shared" si="34"/>
        <v>13.631304538577522</v>
      </c>
      <c r="L149">
        <f t="shared" si="35"/>
        <v>7.4999999999999997E-3</v>
      </c>
      <c r="M149">
        <f t="shared" si="36"/>
        <v>0.99250000000000005</v>
      </c>
      <c r="N149">
        <f t="shared" si="44"/>
        <v>0.35384342495878285</v>
      </c>
      <c r="O149" s="149">
        <f t="shared" si="37"/>
        <v>390.76427940889874</v>
      </c>
      <c r="P149" s="131">
        <f t="shared" si="30"/>
        <v>108.69248546595324</v>
      </c>
      <c r="Q149" s="148">
        <f t="shared" si="38"/>
        <v>14.994434992435275</v>
      </c>
    </row>
    <row r="150" spans="1:17" x14ac:dyDescent="0.25">
      <c r="A150">
        <f t="shared" si="39"/>
        <v>139</v>
      </c>
      <c r="B150" s="150">
        <f t="shared" si="40"/>
        <v>56.583333333333663</v>
      </c>
      <c r="C150">
        <v>0.01</v>
      </c>
      <c r="D150">
        <f t="shared" si="31"/>
        <v>0.99</v>
      </c>
      <c r="E150">
        <f t="shared" si="41"/>
        <v>0.24733868589386815</v>
      </c>
      <c r="F150">
        <v>2000</v>
      </c>
      <c r="G150">
        <f t="shared" si="42"/>
        <v>99.008973124441042</v>
      </c>
      <c r="H150">
        <f t="shared" si="32"/>
        <v>0.99570564446549459</v>
      </c>
      <c r="I150">
        <f t="shared" si="43"/>
        <v>0.54979995559936501</v>
      </c>
      <c r="J150" s="149">
        <f t="shared" si="33"/>
        <v>271.97359704490799</v>
      </c>
      <c r="K150" s="149">
        <f t="shared" si="34"/>
        <v>13.463913280188425</v>
      </c>
      <c r="L150">
        <f t="shared" si="35"/>
        <v>7.4999999999999997E-3</v>
      </c>
      <c r="M150">
        <f t="shared" si="36"/>
        <v>0.99250000000000005</v>
      </c>
      <c r="N150">
        <f t="shared" si="44"/>
        <v>0.35118959927159199</v>
      </c>
      <c r="O150" s="149">
        <f t="shared" si="37"/>
        <v>386.16805217296013</v>
      </c>
      <c r="P150" s="131">
        <f t="shared" si="30"/>
        <v>108.90987043688516</v>
      </c>
      <c r="Q150" s="148">
        <f t="shared" si="38"/>
        <v>14.81030460820727</v>
      </c>
    </row>
    <row r="151" spans="1:17" x14ac:dyDescent="0.25">
      <c r="A151">
        <f t="shared" si="39"/>
        <v>140</v>
      </c>
      <c r="B151" s="150">
        <f t="shared" si="40"/>
        <v>56.666666666666998</v>
      </c>
      <c r="C151">
        <v>0.01</v>
      </c>
      <c r="D151">
        <f t="shared" si="31"/>
        <v>0.99</v>
      </c>
      <c r="E151">
        <f t="shared" si="41"/>
        <v>0.24486529903492946</v>
      </c>
      <c r="F151">
        <v>2000</v>
      </c>
      <c r="G151">
        <f t="shared" si="42"/>
        <v>99.206991070689924</v>
      </c>
      <c r="H151">
        <f t="shared" si="32"/>
        <v>0.99570564446549459</v>
      </c>
      <c r="I151">
        <f t="shared" si="43"/>
        <v>0.54743891911716602</v>
      </c>
      <c r="J151" s="149">
        <f t="shared" si="33"/>
        <v>268.0975892659668</v>
      </c>
      <c r="K151" s="149">
        <f t="shared" si="34"/>
        <v>13.298577572191133</v>
      </c>
      <c r="L151">
        <f t="shared" si="35"/>
        <v>7.4999999999999997E-3</v>
      </c>
      <c r="M151">
        <f t="shared" si="36"/>
        <v>0.99250000000000005</v>
      </c>
      <c r="N151">
        <f t="shared" si="44"/>
        <v>0.34855567727705505</v>
      </c>
      <c r="O151" s="149">
        <f t="shared" si="37"/>
        <v>381.62588644140556</v>
      </c>
      <c r="P151" s="131">
        <f t="shared" si="30"/>
        <v>109.12769017775892</v>
      </c>
      <c r="Q151" s="148">
        <f t="shared" si="38"/>
        <v>14.628435329410248</v>
      </c>
    </row>
    <row r="152" spans="1:17" x14ac:dyDescent="0.25">
      <c r="A152">
        <f t="shared" si="39"/>
        <v>141</v>
      </c>
      <c r="B152" s="150">
        <f t="shared" si="40"/>
        <v>56.750000000000334</v>
      </c>
      <c r="C152">
        <v>0.01</v>
      </c>
      <c r="D152">
        <f t="shared" si="31"/>
        <v>0.99</v>
      </c>
      <c r="E152">
        <f t="shared" si="41"/>
        <v>0.24241664604458016</v>
      </c>
      <c r="F152">
        <v>2000</v>
      </c>
      <c r="G152">
        <f t="shared" si="42"/>
        <v>99.405405052831298</v>
      </c>
      <c r="H152">
        <f t="shared" si="32"/>
        <v>0.99570564446549459</v>
      </c>
      <c r="I152">
        <f t="shared" si="43"/>
        <v>0.54508802176505156</v>
      </c>
      <c r="J152" s="149">
        <f t="shared" si="33"/>
        <v>264.2768200707178</v>
      </c>
      <c r="K152" s="149">
        <f t="shared" si="34"/>
        <v>13.13527217260196</v>
      </c>
      <c r="L152">
        <f t="shared" si="35"/>
        <v>7.4999999999999997E-3</v>
      </c>
      <c r="M152">
        <f t="shared" si="36"/>
        <v>0.99250000000000005</v>
      </c>
      <c r="N152">
        <f t="shared" si="44"/>
        <v>0.34594150969747717</v>
      </c>
      <c r="O152" s="149">
        <f t="shared" si="37"/>
        <v>377.13714633482647</v>
      </c>
      <c r="P152" s="131">
        <f t="shared" ref="P152:P215" si="45">G152*1.1</f>
        <v>109.34594555811444</v>
      </c>
      <c r="Q152" s="148">
        <f t="shared" si="38"/>
        <v>14.448799389862158</v>
      </c>
    </row>
    <row r="153" spans="1:17" x14ac:dyDescent="0.25">
      <c r="A153">
        <f t="shared" si="39"/>
        <v>142</v>
      </c>
      <c r="B153" s="150">
        <f t="shared" si="40"/>
        <v>56.83333333333367</v>
      </c>
      <c r="C153">
        <v>0.01</v>
      </c>
      <c r="D153">
        <f t="shared" si="31"/>
        <v>0.99</v>
      </c>
      <c r="E153">
        <f t="shared" si="41"/>
        <v>0.23999247958413436</v>
      </c>
      <c r="F153">
        <v>2000</v>
      </c>
      <c r="G153">
        <f t="shared" si="42"/>
        <v>99.604215862936968</v>
      </c>
      <c r="H153">
        <f t="shared" si="32"/>
        <v>0.99570564446549459</v>
      </c>
      <c r="I153">
        <f t="shared" si="43"/>
        <v>0.54274722000199216</v>
      </c>
      <c r="J153" s="149">
        <f t="shared" si="33"/>
        <v>260.51050223134757</v>
      </c>
      <c r="K153" s="149">
        <f t="shared" si="34"/>
        <v>12.973972149406633</v>
      </c>
      <c r="L153">
        <f t="shared" si="35"/>
        <v>7.4999999999999997E-3</v>
      </c>
      <c r="M153">
        <f t="shared" si="36"/>
        <v>0.99250000000000005</v>
      </c>
      <c r="N153">
        <f t="shared" si="44"/>
        <v>0.34334694837474611</v>
      </c>
      <c r="O153" s="149">
        <f t="shared" si="37"/>
        <v>372.70120345312193</v>
      </c>
      <c r="P153" s="131">
        <f t="shared" si="45"/>
        <v>109.56463744923067</v>
      </c>
      <c r="Q153" s="148">
        <f t="shared" si="38"/>
        <v>14.271369364347297</v>
      </c>
    </row>
    <row r="154" spans="1:17" x14ac:dyDescent="0.25">
      <c r="A154">
        <f t="shared" si="39"/>
        <v>143</v>
      </c>
      <c r="B154" s="150">
        <f t="shared" si="40"/>
        <v>56.916666666667005</v>
      </c>
      <c r="C154">
        <v>0.01</v>
      </c>
      <c r="D154">
        <f t="shared" si="31"/>
        <v>0.99</v>
      </c>
      <c r="E154">
        <f t="shared" si="41"/>
        <v>0.23759255478829303</v>
      </c>
      <c r="F154">
        <v>2000</v>
      </c>
      <c r="G154">
        <f t="shared" si="42"/>
        <v>99.803424294662847</v>
      </c>
      <c r="H154">
        <f t="shared" si="32"/>
        <v>0.99570564446549459</v>
      </c>
      <c r="I154">
        <f t="shared" si="43"/>
        <v>0.54041647047393915</v>
      </c>
      <c r="J154" s="149">
        <f t="shared" si="33"/>
        <v>256.79785973915068</v>
      </c>
      <c r="K154" s="149">
        <f t="shared" si="34"/>
        <v>12.814652876753884</v>
      </c>
      <c r="L154">
        <f t="shared" si="35"/>
        <v>7.4999999999999997E-3</v>
      </c>
      <c r="M154">
        <f t="shared" si="36"/>
        <v>0.99250000000000005</v>
      </c>
      <c r="N154">
        <f t="shared" si="44"/>
        <v>0.34077184626193552</v>
      </c>
      <c r="O154" s="149">
        <f t="shared" si="37"/>
        <v>368.31743678752605</v>
      </c>
      <c r="P154" s="131">
        <f t="shared" si="45"/>
        <v>109.78376672412914</v>
      </c>
      <c r="Q154" s="148">
        <f t="shared" si="38"/>
        <v>14.096118164429276</v>
      </c>
    </row>
    <row r="155" spans="1:17" x14ac:dyDescent="0.25">
      <c r="A155">
        <f t="shared" si="39"/>
        <v>144</v>
      </c>
      <c r="B155" s="150">
        <f t="shared" si="40"/>
        <v>57.000000000000341</v>
      </c>
      <c r="C155">
        <v>0.01</v>
      </c>
      <c r="D155">
        <f t="shared" si="31"/>
        <v>0.99</v>
      </c>
      <c r="E155">
        <f t="shared" si="41"/>
        <v>0.23521662924041009</v>
      </c>
      <c r="F155">
        <v>2000</v>
      </c>
      <c r="G155">
        <f t="shared" si="42"/>
        <v>100.00303114325217</v>
      </c>
      <c r="H155">
        <f t="shared" si="32"/>
        <v>0.99570564446549459</v>
      </c>
      <c r="I155">
        <f t="shared" si="43"/>
        <v>0.53809573001302147</v>
      </c>
      <c r="J155" s="149">
        <f t="shared" si="33"/>
        <v>253.13812764464137</v>
      </c>
      <c r="K155" s="149">
        <f t="shared" si="34"/>
        <v>12.657290031195807</v>
      </c>
      <c r="L155">
        <f t="shared" si="35"/>
        <v>7.4999999999999997E-3</v>
      </c>
      <c r="M155">
        <f t="shared" si="36"/>
        <v>0.99250000000000005</v>
      </c>
      <c r="N155">
        <f t="shared" si="44"/>
        <v>0.33821605741497102</v>
      </c>
      <c r="O155" s="149">
        <f t="shared" si="37"/>
        <v>363.98523263366963</v>
      </c>
      <c r="P155" s="131">
        <f t="shared" si="45"/>
        <v>110.00333425757739</v>
      </c>
      <c r="Q155" s="148">
        <f t="shared" si="38"/>
        <v>13.923019034315388</v>
      </c>
    </row>
    <row r="156" spans="1:17" x14ac:dyDescent="0.25">
      <c r="A156">
        <f t="shared" si="39"/>
        <v>145</v>
      </c>
      <c r="B156" s="150">
        <f t="shared" si="40"/>
        <v>57.083333333333677</v>
      </c>
      <c r="C156">
        <v>0.01</v>
      </c>
      <c r="D156">
        <f t="shared" si="31"/>
        <v>0.99</v>
      </c>
      <c r="E156">
        <f t="shared" si="41"/>
        <v>0.232864462948006</v>
      </c>
      <c r="F156">
        <v>2000</v>
      </c>
      <c r="G156">
        <f t="shared" si="42"/>
        <v>100.20303720553868</v>
      </c>
      <c r="H156">
        <f t="shared" si="32"/>
        <v>0.99570564446549459</v>
      </c>
      <c r="I156">
        <f t="shared" si="43"/>
        <v>0.53578495563674633</v>
      </c>
      <c r="J156" s="149">
        <f t="shared" si="33"/>
        <v>249.53055189994433</v>
      </c>
      <c r="K156" s="149">
        <f t="shared" si="34"/>
        <v>12.50185958797436</v>
      </c>
      <c r="L156">
        <f t="shared" si="35"/>
        <v>7.4999999999999997E-3</v>
      </c>
      <c r="M156">
        <f t="shared" si="36"/>
        <v>0.99250000000000005</v>
      </c>
      <c r="N156">
        <f t="shared" si="44"/>
        <v>0.33567943698435876</v>
      </c>
      <c r="O156" s="149">
        <f t="shared" si="37"/>
        <v>359.70398450566529</v>
      </c>
      <c r="P156" s="131">
        <f t="shared" si="45"/>
        <v>110.22334092609256</v>
      </c>
      <c r="Q156" s="148">
        <f t="shared" si="38"/>
        <v>13.752045546771798</v>
      </c>
    </row>
    <row r="157" spans="1:17" x14ac:dyDescent="0.25">
      <c r="A157">
        <f t="shared" si="39"/>
        <v>146</v>
      </c>
      <c r="B157" s="150">
        <f t="shared" si="40"/>
        <v>57.166666666667012</v>
      </c>
      <c r="C157">
        <v>0.01</v>
      </c>
      <c r="D157">
        <f t="shared" si="31"/>
        <v>0.99</v>
      </c>
      <c r="E157">
        <f t="shared" si="41"/>
        <v>0.23053581831852593</v>
      </c>
      <c r="F157">
        <v>2000</v>
      </c>
      <c r="G157">
        <f t="shared" si="42"/>
        <v>100.40344327994976</v>
      </c>
      <c r="H157">
        <f t="shared" si="32"/>
        <v>0.99570564446549459</v>
      </c>
      <c r="I157">
        <f t="shared" si="43"/>
        <v>0.53348410454720296</v>
      </c>
      <c r="J157" s="149">
        <f t="shared" si="33"/>
        <v>245.97438920343097</v>
      </c>
      <c r="K157" s="149">
        <f t="shared" si="34"/>
        <v>12.348337817353483</v>
      </c>
      <c r="L157">
        <f t="shared" si="35"/>
        <v>7.4999999999999997E-3</v>
      </c>
      <c r="M157">
        <f t="shared" si="36"/>
        <v>0.99250000000000005</v>
      </c>
      <c r="N157">
        <f t="shared" si="44"/>
        <v>0.33316184120697606</v>
      </c>
      <c r="O157" s="149">
        <f t="shared" si="37"/>
        <v>355.47309305120211</v>
      </c>
      <c r="P157" s="131">
        <f t="shared" si="45"/>
        <v>110.44378760794474</v>
      </c>
      <c r="Q157" s="148">
        <f t="shared" si="38"/>
        <v>13.583171599088832</v>
      </c>
    </row>
    <row r="158" spans="1:17" x14ac:dyDescent="0.25">
      <c r="A158">
        <f t="shared" si="39"/>
        <v>147</v>
      </c>
      <c r="B158" s="150">
        <f t="shared" si="40"/>
        <v>57.250000000000348</v>
      </c>
      <c r="C158">
        <v>0.01</v>
      </c>
      <c r="D158">
        <f t="shared" si="31"/>
        <v>0.99</v>
      </c>
      <c r="E158">
        <f t="shared" si="41"/>
        <v>0.22823046013534068</v>
      </c>
      <c r="F158">
        <v>2000</v>
      </c>
      <c r="G158">
        <f t="shared" si="42"/>
        <v>100.60425016650966</v>
      </c>
      <c r="H158">
        <f t="shared" si="32"/>
        <v>0.99570564446549459</v>
      </c>
      <c r="I158">
        <f t="shared" si="43"/>
        <v>0.53119313413027003</v>
      </c>
      <c r="J158" s="149">
        <f t="shared" si="33"/>
        <v>242.46890684657055</v>
      </c>
      <c r="K158" s="149">
        <f t="shared" si="34"/>
        <v>12.196701280996253</v>
      </c>
      <c r="L158">
        <f t="shared" si="35"/>
        <v>7.4999999999999997E-3</v>
      </c>
      <c r="M158">
        <f t="shared" si="36"/>
        <v>0.99250000000000005</v>
      </c>
      <c r="N158">
        <f t="shared" si="44"/>
        <v>0.33066312739792375</v>
      </c>
      <c r="O158" s="149">
        <f t="shared" si="37"/>
        <v>351.29196596763973</v>
      </c>
      <c r="P158" s="131">
        <f t="shared" si="45"/>
        <v>110.66467518316064</v>
      </c>
      <c r="Q158" s="148">
        <f t="shared" si="38"/>
        <v>13.416371409095881</v>
      </c>
    </row>
    <row r="159" spans="1:17" x14ac:dyDescent="0.25">
      <c r="A159">
        <f t="shared" si="39"/>
        <v>148</v>
      </c>
      <c r="B159" s="150">
        <f t="shared" si="40"/>
        <v>57.333333333333684</v>
      </c>
      <c r="C159">
        <v>0.01</v>
      </c>
      <c r="D159">
        <f t="shared" si="31"/>
        <v>0.99</v>
      </c>
      <c r="E159">
        <f t="shared" si="41"/>
        <v>0.22594815553398728</v>
      </c>
      <c r="F159">
        <v>2000</v>
      </c>
      <c r="G159">
        <f t="shared" si="42"/>
        <v>100.80545866684268</v>
      </c>
      <c r="H159">
        <f t="shared" si="32"/>
        <v>0.99570564446549459</v>
      </c>
      <c r="I159">
        <f t="shared" si="43"/>
        <v>0.52891200195482646</v>
      </c>
      <c r="J159" s="149">
        <f t="shared" si="33"/>
        <v>239.01338256296344</v>
      </c>
      <c r="K159" s="149">
        <f t="shared" si="34"/>
        <v>12.046926828386534</v>
      </c>
      <c r="L159">
        <f t="shared" si="35"/>
        <v>7.4999999999999997E-3</v>
      </c>
      <c r="M159">
        <f t="shared" si="36"/>
        <v>0.99250000000000005</v>
      </c>
      <c r="N159">
        <f t="shared" si="44"/>
        <v>0.32818315394243935</v>
      </c>
      <c r="O159" s="149">
        <f t="shared" si="37"/>
        <v>347.16001791908917</v>
      </c>
      <c r="P159" s="131">
        <f t="shared" si="45"/>
        <v>110.88600453352696</v>
      </c>
      <c r="Q159" s="148">
        <f t="shared" si="38"/>
        <v>13.251619511225188</v>
      </c>
    </row>
    <row r="160" spans="1:17" x14ac:dyDescent="0.25">
      <c r="A160">
        <f t="shared" si="39"/>
        <v>149</v>
      </c>
      <c r="B160" s="150">
        <f t="shared" si="40"/>
        <v>57.41666666666702</v>
      </c>
      <c r="C160">
        <v>0.01</v>
      </c>
      <c r="D160">
        <f t="shared" si="31"/>
        <v>0.99</v>
      </c>
      <c r="E160">
        <f t="shared" si="41"/>
        <v>0.22368867397864742</v>
      </c>
      <c r="F160">
        <v>2000</v>
      </c>
      <c r="G160">
        <f t="shared" si="42"/>
        <v>101.00706958417636</v>
      </c>
      <c r="H160">
        <f t="shared" si="32"/>
        <v>0.99570564446549459</v>
      </c>
      <c r="I160">
        <f t="shared" si="43"/>
        <v>0.52664066577196544</v>
      </c>
      <c r="J160" s="149">
        <f t="shared" si="33"/>
        <v>235.60710437952599</v>
      </c>
      <c r="K160" s="149">
        <f t="shared" si="34"/>
        <v>11.898991593294543</v>
      </c>
      <c r="L160">
        <f t="shared" si="35"/>
        <v>7.4999999999999997E-3</v>
      </c>
      <c r="M160">
        <f t="shared" si="36"/>
        <v>0.99250000000000005</v>
      </c>
      <c r="N160">
        <f t="shared" si="44"/>
        <v>0.32572178028787108</v>
      </c>
      <c r="O160" s="149">
        <f t="shared" si="37"/>
        <v>343.07667045446851</v>
      </c>
      <c r="P160" s="131">
        <f t="shared" si="45"/>
        <v>111.10777654259401</v>
      </c>
      <c r="Q160" s="148">
        <f t="shared" si="38"/>
        <v>13.088890752623998</v>
      </c>
    </row>
    <row r="161" spans="1:17" x14ac:dyDescent="0.25">
      <c r="A161">
        <f t="shared" si="39"/>
        <v>150</v>
      </c>
      <c r="B161" s="150">
        <f t="shared" si="40"/>
        <v>57.500000000000355</v>
      </c>
      <c r="C161">
        <v>0.01</v>
      </c>
      <c r="D161">
        <f t="shared" si="31"/>
        <v>0.99</v>
      </c>
      <c r="E161">
        <f t="shared" si="41"/>
        <v>0.22145178723886094</v>
      </c>
      <c r="F161">
        <v>2000</v>
      </c>
      <c r="G161">
        <f t="shared" si="42"/>
        <v>101.20908372334472</v>
      </c>
      <c r="H161">
        <f t="shared" si="32"/>
        <v>0.99570564446549459</v>
      </c>
      <c r="I161">
        <f t="shared" si="43"/>
        <v>0.52437908351421203</v>
      </c>
      <c r="J161" s="149">
        <f t="shared" si="33"/>
        <v>232.24937046979633</v>
      </c>
      <c r="K161" s="149">
        <f t="shared" si="34"/>
        <v>11.752872990285862</v>
      </c>
      <c r="L161">
        <f t="shared" si="35"/>
        <v>7.4999999999999997E-3</v>
      </c>
      <c r="M161">
        <f t="shared" si="36"/>
        <v>0.99250000000000005</v>
      </c>
      <c r="N161">
        <f t="shared" si="44"/>
        <v>0.32327886693571206</v>
      </c>
      <c r="O161" s="149">
        <f t="shared" si="37"/>
        <v>339.04135192652319</v>
      </c>
      <c r="P161" s="131">
        <f t="shared" si="45"/>
        <v>111.3299920956792</v>
      </c>
      <c r="Q161" s="148">
        <f t="shared" si="38"/>
        <v>12.92816028931445</v>
      </c>
    </row>
    <row r="162" spans="1:17" x14ac:dyDescent="0.25">
      <c r="A162">
        <f t="shared" si="39"/>
        <v>151</v>
      </c>
      <c r="B162" s="150">
        <f t="shared" si="40"/>
        <v>57.583333333333691</v>
      </c>
      <c r="C162">
        <v>0.01</v>
      </c>
      <c r="D162">
        <f t="shared" si="31"/>
        <v>0.99</v>
      </c>
      <c r="E162">
        <f t="shared" si="41"/>
        <v>0.21923726936647234</v>
      </c>
      <c r="F162">
        <v>2000</v>
      </c>
      <c r="G162">
        <f t="shared" si="42"/>
        <v>101.41150189079141</v>
      </c>
      <c r="H162">
        <f t="shared" si="32"/>
        <v>0.99570564446549459</v>
      </c>
      <c r="I162">
        <f t="shared" si="43"/>
        <v>0.52212721329474387</v>
      </c>
      <c r="J162" s="149">
        <f t="shared" si="33"/>
        <v>228.93948900933063</v>
      </c>
      <c r="K162" s="149">
        <f t="shared" si="34"/>
        <v>11.608548711273276</v>
      </c>
      <c r="L162">
        <f t="shared" si="35"/>
        <v>7.4999999999999997E-3</v>
      </c>
      <c r="M162">
        <f t="shared" si="36"/>
        <v>0.99250000000000005</v>
      </c>
      <c r="N162">
        <f t="shared" si="44"/>
        <v>0.32085427543369421</v>
      </c>
      <c r="O162" s="149">
        <f t="shared" si="37"/>
        <v>335.05349741179793</v>
      </c>
      <c r="P162" s="131">
        <f t="shared" si="45"/>
        <v>111.55265207987057</v>
      </c>
      <c r="Q162" s="148">
        <f t="shared" si="38"/>
        <v>12.769403582400606</v>
      </c>
    </row>
    <row r="163" spans="1:17" x14ac:dyDescent="0.25">
      <c r="A163">
        <f t="shared" si="39"/>
        <v>152</v>
      </c>
      <c r="B163" s="150">
        <f t="shared" si="40"/>
        <v>57.666666666667027</v>
      </c>
      <c r="C163">
        <v>0.01</v>
      </c>
      <c r="D163">
        <f t="shared" si="31"/>
        <v>0.99</v>
      </c>
      <c r="E163">
        <f t="shared" si="41"/>
        <v>0.2170448966728076</v>
      </c>
      <c r="F163">
        <v>2000</v>
      </c>
      <c r="G163">
        <f t="shared" si="42"/>
        <v>101.614324894573</v>
      </c>
      <c r="H163">
        <f t="shared" si="32"/>
        <v>0.99570564446549459</v>
      </c>
      <c r="I163">
        <f t="shared" si="43"/>
        <v>0.51988501340661575</v>
      </c>
      <c r="J163" s="149">
        <f t="shared" si="33"/>
        <v>225.67677803316022</v>
      </c>
      <c r="K163" s="149">
        <f t="shared" si="34"/>
        <v>11.465996722110988</v>
      </c>
      <c r="L163">
        <f t="shared" si="35"/>
        <v>7.4999999999999997E-3</v>
      </c>
      <c r="M163">
        <f t="shared" si="36"/>
        <v>0.99250000000000005</v>
      </c>
      <c r="N163">
        <f t="shared" si="44"/>
        <v>0.31844786836794153</v>
      </c>
      <c r="O163" s="149">
        <f t="shared" si="37"/>
        <v>331.11254863155096</v>
      </c>
      <c r="P163" s="131">
        <f t="shared" si="45"/>
        <v>111.77575738403031</v>
      </c>
      <c r="Q163" s="148">
        <f t="shared" si="38"/>
        <v>12.612596394322088</v>
      </c>
    </row>
    <row r="164" spans="1:17" x14ac:dyDescent="0.25">
      <c r="A164">
        <f t="shared" si="39"/>
        <v>153</v>
      </c>
      <c r="B164" s="150">
        <f t="shared" si="40"/>
        <v>57.750000000000362</v>
      </c>
      <c r="C164">
        <v>0.01</v>
      </c>
      <c r="D164">
        <f t="shared" si="31"/>
        <v>0.99</v>
      </c>
      <c r="E164">
        <f t="shared" si="41"/>
        <v>0.21487444770607952</v>
      </c>
      <c r="F164">
        <v>2000</v>
      </c>
      <c r="G164">
        <f t="shared" si="42"/>
        <v>101.81755354436214</v>
      </c>
      <c r="H164">
        <f t="shared" si="32"/>
        <v>0.99570564446549459</v>
      </c>
      <c r="I164">
        <f t="shared" si="43"/>
        <v>0.51765244232198659</v>
      </c>
      <c r="J164" s="149">
        <f t="shared" si="33"/>
        <v>222.46056529528013</v>
      </c>
      <c r="K164" s="149">
        <f t="shared" si="34"/>
        <v>11.325195259230627</v>
      </c>
      <c r="L164">
        <f t="shared" si="35"/>
        <v>7.4999999999999997E-3</v>
      </c>
      <c r="M164">
        <f t="shared" si="36"/>
        <v>0.99250000000000005</v>
      </c>
      <c r="N164">
        <f t="shared" si="44"/>
        <v>0.31605950935518201</v>
      </c>
      <c r="O164" s="149">
        <f t="shared" si="37"/>
        <v>327.21795387359748</v>
      </c>
      <c r="P164" s="131">
        <f t="shared" si="45"/>
        <v>111.99930889879836</v>
      </c>
      <c r="Q164" s="148">
        <f t="shared" si="38"/>
        <v>12.457714785153691</v>
      </c>
    </row>
    <row r="165" spans="1:17" x14ac:dyDescent="0.25">
      <c r="A165">
        <f t="shared" si="39"/>
        <v>154</v>
      </c>
      <c r="B165" s="150">
        <f t="shared" si="40"/>
        <v>57.833333333333698</v>
      </c>
      <c r="C165">
        <v>0.01</v>
      </c>
      <c r="D165">
        <f t="shared" si="31"/>
        <v>0.99</v>
      </c>
      <c r="E165">
        <f t="shared" si="41"/>
        <v>0.21272570322901874</v>
      </c>
      <c r="F165">
        <v>2000</v>
      </c>
      <c r="G165">
        <f t="shared" si="42"/>
        <v>102.02118865145087</v>
      </c>
      <c r="H165">
        <f t="shared" si="32"/>
        <v>0.99570564446549459</v>
      </c>
      <c r="I165">
        <f t="shared" si="43"/>
        <v>0.51542945869135093</v>
      </c>
      <c r="J165" s="149">
        <f t="shared" si="33"/>
        <v>219.29018813014017</v>
      </c>
      <c r="K165" s="149">
        <f t="shared" si="34"/>
        <v>11.186122826318591</v>
      </c>
      <c r="L165">
        <f t="shared" si="35"/>
        <v>7.4999999999999997E-3</v>
      </c>
      <c r="M165">
        <f t="shared" si="36"/>
        <v>0.99250000000000005</v>
      </c>
      <c r="N165">
        <f t="shared" si="44"/>
        <v>0.31368906303501815</v>
      </c>
      <c r="O165" s="149">
        <f t="shared" si="37"/>
        <v>323.36916791507292</v>
      </c>
      <c r="P165" s="131">
        <f t="shared" si="45"/>
        <v>112.22330751659597</v>
      </c>
      <c r="Q165" s="148">
        <f t="shared" si="38"/>
        <v>12.304735108950451</v>
      </c>
    </row>
    <row r="166" spans="1:17" x14ac:dyDescent="0.25">
      <c r="A166">
        <f t="shared" si="39"/>
        <v>155</v>
      </c>
      <c r="B166" s="150">
        <f t="shared" si="40"/>
        <v>57.916666666667034</v>
      </c>
      <c r="C166">
        <v>0.01</v>
      </c>
      <c r="D166">
        <f t="shared" si="31"/>
        <v>0.99</v>
      </c>
      <c r="E166">
        <f t="shared" si="41"/>
        <v>0.21059844619672854</v>
      </c>
      <c r="F166">
        <v>2000</v>
      </c>
      <c r="G166">
        <f t="shared" si="42"/>
        <v>102.22523102875377</v>
      </c>
      <c r="H166">
        <f t="shared" si="32"/>
        <v>0.99570564446549459</v>
      </c>
      <c r="I166">
        <f t="shared" si="43"/>
        <v>0.51321602134277255</v>
      </c>
      <c r="J166" s="149">
        <f t="shared" si="33"/>
        <v>216.16499331610993</v>
      </c>
      <c r="K166" s="149">
        <f t="shared" si="34"/>
        <v>11.048758191034176</v>
      </c>
      <c r="L166">
        <f t="shared" si="35"/>
        <v>7.4999999999999997E-3</v>
      </c>
      <c r="M166">
        <f t="shared" si="36"/>
        <v>0.99250000000000005</v>
      </c>
      <c r="N166">
        <f t="shared" si="44"/>
        <v>0.31133639506225552</v>
      </c>
      <c r="O166" s="149">
        <f t="shared" si="37"/>
        <v>319.56565194610477</v>
      </c>
      <c r="P166" s="131">
        <f t="shared" si="45"/>
        <v>112.44775413162915</v>
      </c>
      <c r="Q166" s="148">
        <f t="shared" si="38"/>
        <v>12.153634010137596</v>
      </c>
    </row>
    <row r="167" spans="1:17" x14ac:dyDescent="0.25">
      <c r="A167">
        <f t="shared" si="39"/>
        <v>156</v>
      </c>
      <c r="B167" s="150">
        <f t="shared" si="40"/>
        <v>58.000000000000369</v>
      </c>
      <c r="C167">
        <v>0.01</v>
      </c>
      <c r="D167">
        <f t="shared" si="31"/>
        <v>0.99</v>
      </c>
      <c r="E167">
        <f t="shared" si="41"/>
        <v>0.20849246173476127</v>
      </c>
      <c r="F167">
        <v>2000</v>
      </c>
      <c r="G167">
        <f t="shared" si="42"/>
        <v>102.42968149081128</v>
      </c>
      <c r="H167">
        <f t="shared" si="32"/>
        <v>0.99570564446549459</v>
      </c>
      <c r="I167">
        <f t="shared" si="43"/>
        <v>0.51101208928112241</v>
      </c>
      <c r="J167" s="149">
        <f t="shared" si="33"/>
        <v>213.08433694088964</v>
      </c>
      <c r="K167" s="149">
        <f t="shared" si="34"/>
        <v>10.913080381768019</v>
      </c>
      <c r="L167">
        <f t="shared" si="35"/>
        <v>7.4999999999999997E-3</v>
      </c>
      <c r="M167">
        <f t="shared" si="36"/>
        <v>0.99250000000000005</v>
      </c>
      <c r="N167">
        <f t="shared" si="44"/>
        <v>0.30900137209928863</v>
      </c>
      <c r="O167" s="149">
        <f t="shared" si="37"/>
        <v>315.80687349438199</v>
      </c>
      <c r="P167" s="131">
        <f t="shared" si="45"/>
        <v>112.67264963989241</v>
      </c>
      <c r="Q167" s="148">
        <f t="shared" si="38"/>
        <v>12.004388419944823</v>
      </c>
    </row>
    <row r="168" spans="1:17" x14ac:dyDescent="0.25">
      <c r="A168">
        <f t="shared" si="39"/>
        <v>157</v>
      </c>
      <c r="B168" s="150">
        <f t="shared" si="40"/>
        <v>58.083333333333705</v>
      </c>
      <c r="C168">
        <v>0.01</v>
      </c>
      <c r="D168">
        <f t="shared" si="31"/>
        <v>0.99</v>
      </c>
      <c r="E168">
        <f t="shared" si="41"/>
        <v>0.20640753711741366</v>
      </c>
      <c r="F168">
        <v>2000</v>
      </c>
      <c r="G168">
        <f t="shared" si="42"/>
        <v>102.6345408537929</v>
      </c>
      <c r="H168">
        <f t="shared" si="32"/>
        <v>0.99570564446549459</v>
      </c>
      <c r="I168">
        <f t="shared" si="43"/>
        <v>0.50881762168731881</v>
      </c>
      <c r="J168" s="149">
        <f t="shared" si="33"/>
        <v>210.04758426883879</v>
      </c>
      <c r="K168" s="149">
        <f t="shared" si="34"/>
        <v>10.779068684440322</v>
      </c>
      <c r="L168">
        <f t="shared" si="35"/>
        <v>7.4999999999999997E-3</v>
      </c>
      <c r="M168">
        <f t="shared" si="36"/>
        <v>0.99250000000000005</v>
      </c>
      <c r="N168">
        <f t="shared" si="44"/>
        <v>0.30668386180854396</v>
      </c>
      <c r="O168" s="149">
        <f t="shared" si="37"/>
        <v>312.09230635061135</v>
      </c>
      <c r="P168" s="131">
        <f t="shared" si="45"/>
        <v>112.89799493917219</v>
      </c>
      <c r="Q168" s="148">
        <f t="shared" si="38"/>
        <v>11.856975552884354</v>
      </c>
    </row>
    <row r="169" spans="1:17" x14ac:dyDescent="0.25">
      <c r="A169">
        <f t="shared" si="39"/>
        <v>158</v>
      </c>
      <c r="B169" s="150">
        <f t="shared" si="40"/>
        <v>58.166666666667041</v>
      </c>
      <c r="C169">
        <v>0.01</v>
      </c>
      <c r="D169">
        <f t="shared" si="31"/>
        <v>0.99</v>
      </c>
      <c r="E169">
        <f t="shared" si="41"/>
        <v>0.20434346174623952</v>
      </c>
      <c r="F169">
        <v>2000</v>
      </c>
      <c r="G169">
        <f t="shared" si="42"/>
        <v>102.83980993550048</v>
      </c>
      <c r="H169">
        <f t="shared" si="32"/>
        <v>0.99570564446549459</v>
      </c>
      <c r="I169">
        <f t="shared" si="43"/>
        <v>0.50663257791757199</v>
      </c>
      <c r="J169" s="149">
        <f t="shared" si="33"/>
        <v>207.05410961019615</v>
      </c>
      <c r="K169" s="149">
        <f t="shared" si="34"/>
        <v>10.646702639338429</v>
      </c>
      <c r="L169">
        <f t="shared" si="35"/>
        <v>7.4999999999999997E-3</v>
      </c>
      <c r="M169">
        <f t="shared" si="36"/>
        <v>0.99250000000000005</v>
      </c>
      <c r="N169">
        <f t="shared" si="44"/>
        <v>0.30438373284497988</v>
      </c>
      <c r="O169" s="149">
        <f t="shared" si="37"/>
        <v>308.42143049485139</v>
      </c>
      <c r="P169" s="131">
        <f t="shared" si="45"/>
        <v>113.12379092905054</v>
      </c>
      <c r="Q169" s="148">
        <f t="shared" si="38"/>
        <v>11.711372903272274</v>
      </c>
    </row>
    <row r="170" spans="1:17" x14ac:dyDescent="0.25">
      <c r="A170">
        <f t="shared" si="39"/>
        <v>159</v>
      </c>
      <c r="B170" s="150">
        <f t="shared" si="40"/>
        <v>58.250000000000377</v>
      </c>
      <c r="C170">
        <v>0.01</v>
      </c>
      <c r="D170">
        <f t="shared" si="31"/>
        <v>0.99</v>
      </c>
      <c r="E170">
        <f t="shared" si="41"/>
        <v>0.20230002712877712</v>
      </c>
      <c r="F170">
        <v>2000</v>
      </c>
      <c r="G170">
        <f t="shared" si="42"/>
        <v>103.04548955537149</v>
      </c>
      <c r="H170">
        <f t="shared" si="32"/>
        <v>0.99570564446549459</v>
      </c>
      <c r="I170">
        <f t="shared" si="43"/>
        <v>0.50445691750263089</v>
      </c>
      <c r="J170" s="149">
        <f t="shared" si="33"/>
        <v>204.10329619216301</v>
      </c>
      <c r="K170" s="149">
        <f t="shared" si="34"/>
        <v>10.515962037993214</v>
      </c>
      <c r="L170">
        <f t="shared" si="35"/>
        <v>7.4999999999999997E-3</v>
      </c>
      <c r="M170">
        <f t="shared" si="36"/>
        <v>0.99250000000000005</v>
      </c>
      <c r="N170">
        <f t="shared" si="44"/>
        <v>0.30210085484864257</v>
      </c>
      <c r="O170" s="149">
        <f t="shared" si="37"/>
        <v>304.79373202371193</v>
      </c>
      <c r="P170" s="131">
        <f t="shared" si="45"/>
        <v>113.35003851090865</v>
      </c>
      <c r="Q170" s="148">
        <f t="shared" si="38"/>
        <v>11.567558241792536</v>
      </c>
    </row>
    <row r="171" spans="1:17" x14ac:dyDescent="0.25">
      <c r="A171">
        <f t="shared" si="39"/>
        <v>160</v>
      </c>
      <c r="B171" s="150">
        <f t="shared" si="40"/>
        <v>58.333333333333712</v>
      </c>
      <c r="C171">
        <v>0.01</v>
      </c>
      <c r="D171">
        <f t="shared" si="31"/>
        <v>0.99</v>
      </c>
      <c r="E171">
        <f t="shared" si="41"/>
        <v>0.20027702685748935</v>
      </c>
      <c r="F171">
        <v>2000</v>
      </c>
      <c r="G171">
        <f t="shared" si="42"/>
        <v>103.25158053448223</v>
      </c>
      <c r="H171">
        <f t="shared" si="32"/>
        <v>0.99570564446549459</v>
      </c>
      <c r="I171">
        <f t="shared" si="43"/>
        <v>0.50229060014703397</v>
      </c>
      <c r="J171" s="149">
        <f t="shared" si="33"/>
        <v>201.19453603182393</v>
      </c>
      <c r="K171" s="149">
        <f t="shared" si="34"/>
        <v>10.386826920093828</v>
      </c>
      <c r="L171">
        <f t="shared" si="35"/>
        <v>7.4999999999999997E-3</v>
      </c>
      <c r="M171">
        <f t="shared" si="36"/>
        <v>0.99250000000000005</v>
      </c>
      <c r="N171">
        <f t="shared" si="44"/>
        <v>0.29983509843727779</v>
      </c>
      <c r="O171" s="149">
        <f t="shared" si="37"/>
        <v>301.20870307841057</v>
      </c>
      <c r="P171" s="131">
        <f t="shared" si="45"/>
        <v>113.57673858793046</v>
      </c>
      <c r="Q171" s="148">
        <f t="shared" si="38"/>
        <v>11.425509612103212</v>
      </c>
    </row>
    <row r="172" spans="1:17" x14ac:dyDescent="0.25">
      <c r="A172">
        <f t="shared" si="39"/>
        <v>161</v>
      </c>
      <c r="B172" s="150">
        <f t="shared" si="40"/>
        <v>58.416666666667048</v>
      </c>
      <c r="C172">
        <v>0.01</v>
      </c>
      <c r="D172">
        <f t="shared" si="31"/>
        <v>0.99</v>
      </c>
      <c r="E172">
        <f t="shared" si="41"/>
        <v>0.19827425658891445</v>
      </c>
      <c r="F172">
        <v>2000</v>
      </c>
      <c r="G172">
        <f t="shared" si="42"/>
        <v>103.4580836955512</v>
      </c>
      <c r="H172">
        <f t="shared" si="32"/>
        <v>0.99570564446549459</v>
      </c>
      <c r="I172">
        <f t="shared" si="43"/>
        <v>0.50013358572836253</v>
      </c>
      <c r="J172" s="149">
        <f t="shared" si="33"/>
        <v>198.32722981087838</v>
      </c>
      <c r="K172" s="149">
        <f t="shared" si="34"/>
        <v>10.259277570440336</v>
      </c>
      <c r="L172">
        <f t="shared" si="35"/>
        <v>7.4999999999999997E-3</v>
      </c>
      <c r="M172">
        <f t="shared" si="36"/>
        <v>0.99250000000000005</v>
      </c>
      <c r="N172">
        <f t="shared" si="44"/>
        <v>0.29758633519899824</v>
      </c>
      <c r="O172" s="149">
        <f t="shared" si="37"/>
        <v>297.66584177367486</v>
      </c>
      <c r="P172" s="131">
        <f t="shared" si="45"/>
        <v>113.80389206510633</v>
      </c>
      <c r="Q172" s="148">
        <f t="shared" si="38"/>
        <v>11.285205327484372</v>
      </c>
    </row>
    <row r="173" spans="1:17" x14ac:dyDescent="0.25">
      <c r="A173">
        <f t="shared" si="39"/>
        <v>162</v>
      </c>
      <c r="B173" s="150">
        <f t="shared" si="40"/>
        <v>58.500000000000384</v>
      </c>
      <c r="C173">
        <v>0.01</v>
      </c>
      <c r="D173">
        <f t="shared" si="31"/>
        <v>0.99</v>
      </c>
      <c r="E173">
        <f t="shared" si="41"/>
        <v>0.1962915140230253</v>
      </c>
      <c r="F173">
        <v>2000</v>
      </c>
      <c r="G173">
        <f t="shared" si="42"/>
        <v>103.6649998629423</v>
      </c>
      <c r="H173">
        <f t="shared" si="32"/>
        <v>0.99570564446549459</v>
      </c>
      <c r="I173">
        <f t="shared" si="43"/>
        <v>0.4979858342964979</v>
      </c>
      <c r="J173" s="149">
        <f t="shared" si="33"/>
        <v>195.50078675215795</v>
      </c>
      <c r="K173" s="149">
        <f t="shared" si="34"/>
        <v>10.133294515933782</v>
      </c>
      <c r="L173">
        <f t="shared" si="35"/>
        <v>7.4999999999999997E-3</v>
      </c>
      <c r="M173">
        <f t="shared" si="36"/>
        <v>0.99250000000000005</v>
      </c>
      <c r="N173">
        <f t="shared" si="44"/>
        <v>0.29535443768500574</v>
      </c>
      <c r="O173" s="149">
        <f t="shared" si="37"/>
        <v>294.16465212748113</v>
      </c>
      <c r="P173" s="131">
        <f t="shared" si="45"/>
        <v>114.03149984923654</v>
      </c>
      <c r="Q173" s="148">
        <f t="shared" si="38"/>
        <v>11.146623967527161</v>
      </c>
    </row>
    <row r="174" spans="1:17" x14ac:dyDescent="0.25">
      <c r="A174">
        <f t="shared" si="39"/>
        <v>163</v>
      </c>
      <c r="B174" s="150">
        <f t="shared" si="40"/>
        <v>58.583333333333719</v>
      </c>
      <c r="C174">
        <v>0.01</v>
      </c>
      <c r="D174">
        <f t="shared" si="31"/>
        <v>0.99</v>
      </c>
      <c r="E174">
        <f t="shared" si="41"/>
        <v>0.19432859888279505</v>
      </c>
      <c r="F174">
        <v>2000</v>
      </c>
      <c r="G174">
        <f t="shared" si="42"/>
        <v>103.87232986266818</v>
      </c>
      <c r="H174">
        <f t="shared" si="32"/>
        <v>0.99570564446549459</v>
      </c>
      <c r="I174">
        <f t="shared" si="43"/>
        <v>0.49584730607288141</v>
      </c>
      <c r="J174" s="149">
        <f t="shared" si="33"/>
        <v>192.71462449790297</v>
      </c>
      <c r="K174" s="149">
        <f t="shared" si="34"/>
        <v>10.008858522603205</v>
      </c>
      <c r="L174">
        <f t="shared" si="35"/>
        <v>7.4999999999999997E-3</v>
      </c>
      <c r="M174">
        <f t="shared" si="36"/>
        <v>0.99250000000000005</v>
      </c>
      <c r="N174">
        <f t="shared" si="44"/>
        <v>0.29313927940236822</v>
      </c>
      <c r="O174" s="149">
        <f t="shared" si="37"/>
        <v>290.70464399161995</v>
      </c>
      <c r="P174" s="131">
        <f t="shared" si="45"/>
        <v>114.259562848935</v>
      </c>
      <c r="Q174" s="148">
        <f t="shared" si="38"/>
        <v>11.009744374863526</v>
      </c>
    </row>
    <row r="175" spans="1:17" x14ac:dyDescent="0.25">
      <c r="A175">
        <f t="shared" si="39"/>
        <v>164</v>
      </c>
      <c r="B175" s="150">
        <f t="shared" si="40"/>
        <v>58.666666666667055</v>
      </c>
      <c r="C175">
        <v>0.01</v>
      </c>
      <c r="D175">
        <f t="shared" si="31"/>
        <v>0.99</v>
      </c>
      <c r="E175">
        <f t="shared" si="41"/>
        <v>0.1923853128939671</v>
      </c>
      <c r="F175">
        <v>2000</v>
      </c>
      <c r="G175">
        <f t="shared" si="42"/>
        <v>104.08007452239352</v>
      </c>
      <c r="H175">
        <f t="shared" si="32"/>
        <v>0.99570564446549459</v>
      </c>
      <c r="I175">
        <f t="shared" si="43"/>
        <v>0.49371796144977775</v>
      </c>
      <c r="J175" s="149">
        <f t="shared" si="33"/>
        <v>189.96816898977414</v>
      </c>
      <c r="K175" s="149">
        <f t="shared" si="34"/>
        <v>9.88595059266917</v>
      </c>
      <c r="L175">
        <f t="shared" si="35"/>
        <v>7.4999999999999997E-3</v>
      </c>
      <c r="M175">
        <f t="shared" si="36"/>
        <v>0.99250000000000005</v>
      </c>
      <c r="N175">
        <f t="shared" si="44"/>
        <v>0.29094073480685045</v>
      </c>
      <c r="O175" s="149">
        <f t="shared" si="37"/>
        <v>287.28533298307724</v>
      </c>
      <c r="P175" s="131">
        <f t="shared" si="45"/>
        <v>114.48808197463288</v>
      </c>
      <c r="Q175" s="148">
        <f t="shared" si="38"/>
        <v>10.874545651936089</v>
      </c>
    </row>
    <row r="176" spans="1:17" x14ac:dyDescent="0.25">
      <c r="A176">
        <f t="shared" si="39"/>
        <v>165</v>
      </c>
      <c r="B176" s="150">
        <f t="shared" si="40"/>
        <v>58.750000000000391</v>
      </c>
      <c r="C176">
        <v>0.01</v>
      </c>
      <c r="D176">
        <f t="shared" si="31"/>
        <v>0.99</v>
      </c>
      <c r="E176">
        <f t="shared" si="41"/>
        <v>0.19046145976502743</v>
      </c>
      <c r="F176">
        <v>2000</v>
      </c>
      <c r="G176">
        <f t="shared" si="42"/>
        <v>104.2882346714383</v>
      </c>
      <c r="H176">
        <f t="shared" si="32"/>
        <v>0.99570564446549459</v>
      </c>
      <c r="I176">
        <f t="shared" si="43"/>
        <v>0.49159776098954117</v>
      </c>
      <c r="J176" s="149">
        <f t="shared" si="33"/>
        <v>187.26085435057414</v>
      </c>
      <c r="K176" s="149">
        <f t="shared" si="34"/>
        <v>9.7645519616433507</v>
      </c>
      <c r="L176">
        <f t="shared" si="35"/>
        <v>7.4999999999999997E-3</v>
      </c>
      <c r="M176">
        <f t="shared" si="36"/>
        <v>0.99250000000000005</v>
      </c>
      <c r="N176">
        <f t="shared" si="44"/>
        <v>0.28875867929579907</v>
      </c>
      <c r="O176" s="149">
        <f t="shared" si="37"/>
        <v>283.90624041622362</v>
      </c>
      <c r="P176" s="131">
        <f t="shared" si="45"/>
        <v>114.71705813858215</v>
      </c>
      <c r="Q176" s="148">
        <f t="shared" si="38"/>
        <v>10.741007157807688</v>
      </c>
    </row>
    <row r="177" spans="1:17" x14ac:dyDescent="0.25">
      <c r="A177">
        <f t="shared" si="39"/>
        <v>166</v>
      </c>
      <c r="B177" s="150">
        <f t="shared" si="40"/>
        <v>58.833333333333727</v>
      </c>
      <c r="C177">
        <v>0.01</v>
      </c>
      <c r="D177">
        <f t="shared" si="31"/>
        <v>0.99</v>
      </c>
      <c r="E177">
        <f t="shared" si="41"/>
        <v>0.18855684516737714</v>
      </c>
      <c r="F177">
        <v>2000</v>
      </c>
      <c r="G177">
        <f t="shared" si="42"/>
        <v>104.49681114078118</v>
      </c>
      <c r="H177">
        <f t="shared" si="32"/>
        <v>0.99570564446549459</v>
      </c>
      <c r="I177">
        <f t="shared" si="43"/>
        <v>0.48948666542388525</v>
      </c>
      <c r="J177" s="149">
        <f t="shared" si="33"/>
        <v>184.59212276765453</v>
      </c>
      <c r="K177" s="149">
        <f t="shared" si="34"/>
        <v>9.6446440954637449</v>
      </c>
      <c r="L177">
        <f t="shared" si="35"/>
        <v>7.4999999999999997E-3</v>
      </c>
      <c r="M177">
        <f t="shared" si="36"/>
        <v>0.99250000000000005</v>
      </c>
      <c r="N177">
        <f t="shared" si="44"/>
        <v>0.28659298920108062</v>
      </c>
      <c r="O177" s="149">
        <f t="shared" si="37"/>
        <v>280.56689323580105</v>
      </c>
      <c r="P177" s="131">
        <f t="shared" si="45"/>
        <v>114.94649225485931</v>
      </c>
      <c r="Q177" s="148">
        <f t="shared" si="38"/>
        <v>10.60910850501012</v>
      </c>
    </row>
    <row r="178" spans="1:17" x14ac:dyDescent="0.25">
      <c r="A178">
        <f t="shared" si="39"/>
        <v>167</v>
      </c>
      <c r="B178" s="150">
        <f t="shared" si="40"/>
        <v>58.916666666667062</v>
      </c>
      <c r="C178">
        <v>0.01</v>
      </c>
      <c r="D178">
        <f t="shared" si="31"/>
        <v>0.99</v>
      </c>
      <c r="E178">
        <f t="shared" si="41"/>
        <v>0.18667127671570335</v>
      </c>
      <c r="F178">
        <v>2000</v>
      </c>
      <c r="G178">
        <f t="shared" si="42"/>
        <v>104.70580476306274</v>
      </c>
      <c r="H178">
        <f t="shared" si="32"/>
        <v>0.99570564446549459</v>
      </c>
      <c r="I178">
        <f t="shared" si="43"/>
        <v>0.4873846356531556</v>
      </c>
      <c r="J178" s="149">
        <f t="shared" si="33"/>
        <v>181.96142437798494</v>
      </c>
      <c r="K178" s="149">
        <f t="shared" si="34"/>
        <v>9.5262086876650471</v>
      </c>
      <c r="L178">
        <f t="shared" si="35"/>
        <v>7.4999999999999997E-3</v>
      </c>
      <c r="M178">
        <f t="shared" si="36"/>
        <v>0.99250000000000005</v>
      </c>
      <c r="N178">
        <f t="shared" si="44"/>
        <v>0.28444354178207254</v>
      </c>
      <c r="O178" s="149">
        <f t="shared" si="37"/>
        <v>277.26682395069713</v>
      </c>
      <c r="P178" s="131">
        <f t="shared" si="45"/>
        <v>115.17638523936903</v>
      </c>
      <c r="Q178" s="148">
        <f t="shared" si="38"/>
        <v>10.478829556431554</v>
      </c>
    </row>
    <row r="179" spans="1:17" x14ac:dyDescent="0.25">
      <c r="A179">
        <f t="shared" si="39"/>
        <v>168</v>
      </c>
      <c r="B179" s="150">
        <f t="shared" si="40"/>
        <v>59.000000000000398</v>
      </c>
      <c r="C179">
        <v>0.01</v>
      </c>
      <c r="D179">
        <f t="shared" si="31"/>
        <v>0.99</v>
      </c>
      <c r="E179">
        <f t="shared" si="41"/>
        <v>0.18480456394854633</v>
      </c>
      <c r="F179">
        <v>2000</v>
      </c>
      <c r="G179">
        <f t="shared" si="42"/>
        <v>104.91521637258887</v>
      </c>
      <c r="H179">
        <f t="shared" si="32"/>
        <v>0.99570564446549459</v>
      </c>
      <c r="I179">
        <f t="shared" si="43"/>
        <v>0.48529163274560555</v>
      </c>
      <c r="J179" s="149">
        <f t="shared" si="33"/>
        <v>179.36821715485945</v>
      </c>
      <c r="K179" s="149">
        <f t="shared" si="34"/>
        <v>9.4092276565837931</v>
      </c>
      <c r="L179">
        <f t="shared" si="35"/>
        <v>7.4999999999999997E-3</v>
      </c>
      <c r="M179">
        <f t="shared" si="36"/>
        <v>0.99250000000000005</v>
      </c>
      <c r="N179">
        <f t="shared" si="44"/>
        <v>0.28231021521870703</v>
      </c>
      <c r="O179" s="149">
        <f t="shared" si="37"/>
        <v>274.00557056849925</v>
      </c>
      <c r="P179" s="131">
        <f t="shared" si="45"/>
        <v>115.40673800984777</v>
      </c>
      <c r="Q179" s="148">
        <f t="shared" si="38"/>
        <v>10.350150422242175</v>
      </c>
    </row>
    <row r="180" spans="1:17" x14ac:dyDescent="0.25">
      <c r="A180">
        <f t="shared" si="39"/>
        <v>169</v>
      </c>
      <c r="B180" s="150">
        <f t="shared" si="40"/>
        <v>59.083333333333734</v>
      </c>
      <c r="C180">
        <v>0.01</v>
      </c>
      <c r="D180">
        <f t="shared" si="31"/>
        <v>0.99</v>
      </c>
      <c r="E180">
        <f t="shared" si="41"/>
        <v>0.18295651830906087</v>
      </c>
      <c r="F180">
        <v>2000</v>
      </c>
      <c r="G180">
        <f t="shared" si="42"/>
        <v>105.12504680533405</v>
      </c>
      <c r="H180">
        <f t="shared" si="32"/>
        <v>0.99570564446549459</v>
      </c>
      <c r="I180">
        <f t="shared" si="43"/>
        <v>0.48320761793667527</v>
      </c>
      <c r="J180" s="149">
        <f t="shared" si="33"/>
        <v>176.81196679621803</v>
      </c>
      <c r="K180" s="149">
        <f t="shared" si="34"/>
        <v>9.2936831425977946</v>
      </c>
      <c r="L180">
        <f t="shared" si="35"/>
        <v>7.4999999999999997E-3</v>
      </c>
      <c r="M180">
        <f t="shared" si="36"/>
        <v>0.99250000000000005</v>
      </c>
      <c r="N180">
        <f t="shared" si="44"/>
        <v>0.28019288860456676</v>
      </c>
      <c r="O180" s="149">
        <f t="shared" si="37"/>
        <v>270.78267653081781</v>
      </c>
      <c r="P180" s="131">
        <f t="shared" si="45"/>
        <v>115.63755148586746</v>
      </c>
      <c r="Q180" s="148">
        <f t="shared" si="38"/>
        <v>10.223051456857576</v>
      </c>
    </row>
    <row r="181" spans="1:17" x14ac:dyDescent="0.25">
      <c r="A181">
        <f t="shared" si="39"/>
        <v>170</v>
      </c>
      <c r="B181" s="150">
        <f t="shared" si="40"/>
        <v>59.166666666667069</v>
      </c>
      <c r="C181">
        <v>0.01</v>
      </c>
      <c r="D181">
        <f t="shared" si="31"/>
        <v>0.99</v>
      </c>
      <c r="E181">
        <f t="shared" si="41"/>
        <v>0.18112695312597027</v>
      </c>
      <c r="F181">
        <v>2000</v>
      </c>
      <c r="G181">
        <f t="shared" si="42"/>
        <v>105.33529689894472</v>
      </c>
      <c r="H181">
        <f t="shared" si="32"/>
        <v>0.99570564446549459</v>
      </c>
      <c r="I181">
        <f t="shared" si="43"/>
        <v>0.48113255262827376</v>
      </c>
      <c r="J181" s="149">
        <f t="shared" si="33"/>
        <v>174.29214661455953</v>
      </c>
      <c r="K181" s="149">
        <f t="shared" si="34"/>
        <v>9.1795575053995151</v>
      </c>
      <c r="L181">
        <f t="shared" si="35"/>
        <v>7.4999999999999997E-3</v>
      </c>
      <c r="M181">
        <f t="shared" si="36"/>
        <v>0.99250000000000005</v>
      </c>
      <c r="N181">
        <f t="shared" si="44"/>
        <v>0.27809144194003255</v>
      </c>
      <c r="O181" s="149">
        <f t="shared" si="37"/>
        <v>267.59769064937052</v>
      </c>
      <c r="P181" s="131">
        <f t="shared" si="45"/>
        <v>115.8688265888392</v>
      </c>
      <c r="Q181" s="148">
        <f t="shared" si="38"/>
        <v>10.097513255939468</v>
      </c>
    </row>
    <row r="182" spans="1:17" x14ac:dyDescent="0.25">
      <c r="A182">
        <f t="shared" si="39"/>
        <v>171</v>
      </c>
      <c r="B182" s="150">
        <f t="shared" si="40"/>
        <v>59.250000000000405</v>
      </c>
      <c r="C182">
        <v>0.01</v>
      </c>
      <c r="D182">
        <f t="shared" si="31"/>
        <v>0.99</v>
      </c>
      <c r="E182">
        <f t="shared" si="41"/>
        <v>0.17931568359471056</v>
      </c>
      <c r="F182">
        <v>2000</v>
      </c>
      <c r="G182">
        <f t="shared" si="42"/>
        <v>105.54596749274261</v>
      </c>
      <c r="H182">
        <f t="shared" si="32"/>
        <v>0.99570564446549459</v>
      </c>
      <c r="I182">
        <f t="shared" si="43"/>
        <v>0.47906639838806381</v>
      </c>
      <c r="J182" s="149">
        <f t="shared" si="33"/>
        <v>171.80823742842321</v>
      </c>
      <c r="K182" s="149">
        <f t="shared" si="34"/>
        <v>9.0668333213028802</v>
      </c>
      <c r="L182">
        <f t="shared" si="35"/>
        <v>7.4999999999999997E-3</v>
      </c>
      <c r="M182">
        <f t="shared" si="36"/>
        <v>0.99250000000000005</v>
      </c>
      <c r="N182">
        <f t="shared" si="44"/>
        <v>0.27600575612548234</v>
      </c>
      <c r="O182" s="149">
        <f t="shared" si="37"/>
        <v>264.45016704281818</v>
      </c>
      <c r="P182" s="131">
        <f t="shared" si="45"/>
        <v>116.10056424201687</v>
      </c>
      <c r="Q182" s="148">
        <f t="shared" si="38"/>
        <v>9.973516653433169</v>
      </c>
    </row>
    <row r="183" spans="1:17" x14ac:dyDescent="0.25">
      <c r="A183">
        <f t="shared" si="39"/>
        <v>172</v>
      </c>
      <c r="B183" s="150">
        <f t="shared" si="40"/>
        <v>59.333333333333741</v>
      </c>
      <c r="C183">
        <v>0.01</v>
      </c>
      <c r="D183">
        <f t="shared" si="31"/>
        <v>0.99</v>
      </c>
      <c r="E183">
        <f t="shared" si="41"/>
        <v>0.17752252675876345</v>
      </c>
      <c r="F183">
        <v>2000</v>
      </c>
      <c r="G183">
        <f t="shared" si="42"/>
        <v>105.75705942772809</v>
      </c>
      <c r="H183">
        <f t="shared" si="32"/>
        <v>0.99570564446549459</v>
      </c>
      <c r="I183">
        <f t="shared" si="43"/>
        <v>0.47700911694875048</v>
      </c>
      <c r="J183" s="149">
        <f t="shared" si="33"/>
        <v>169.35972745541739</v>
      </c>
      <c r="K183" s="149">
        <f t="shared" si="34"/>
        <v>8.9554933805832047</v>
      </c>
      <c r="L183">
        <f t="shared" si="35"/>
        <v>7.4999999999999997E-3</v>
      </c>
      <c r="M183">
        <f t="shared" si="36"/>
        <v>0.99250000000000005</v>
      </c>
      <c r="N183">
        <f t="shared" si="44"/>
        <v>0.27393571295454122</v>
      </c>
      <c r="O183" s="149">
        <f t="shared" si="37"/>
        <v>261.33966507434417</v>
      </c>
      <c r="P183" s="131">
        <f t="shared" si="45"/>
        <v>116.33276537050091</v>
      </c>
      <c r="Q183" s="148">
        <f t="shared" si="38"/>
        <v>9.8510427186415246</v>
      </c>
    </row>
    <row r="184" spans="1:17" x14ac:dyDescent="0.25">
      <c r="A184">
        <f t="shared" si="39"/>
        <v>173</v>
      </c>
      <c r="B184" s="150">
        <f t="shared" si="40"/>
        <v>59.416666666667076</v>
      </c>
      <c r="C184">
        <v>0.01</v>
      </c>
      <c r="D184">
        <f t="shared" si="31"/>
        <v>0.99</v>
      </c>
      <c r="E184">
        <f t="shared" si="41"/>
        <v>0.17574730149117582</v>
      </c>
      <c r="F184">
        <v>2000</v>
      </c>
      <c r="G184">
        <f t="shared" si="42"/>
        <v>105.96857354658356</v>
      </c>
      <c r="H184">
        <f t="shared" si="32"/>
        <v>0.99570564446549459</v>
      </c>
      <c r="I184">
        <f t="shared" si="43"/>
        <v>0.47496067020737209</v>
      </c>
      <c r="J184" s="149">
        <f t="shared" si="33"/>
        <v>166.94611220677191</v>
      </c>
      <c r="K184" s="149">
        <f t="shared" si="34"/>
        <v>8.8455206848497507</v>
      </c>
      <c r="L184">
        <f t="shared" si="35"/>
        <v>7.4999999999999997E-3</v>
      </c>
      <c r="M184">
        <f t="shared" si="36"/>
        <v>0.99250000000000005</v>
      </c>
      <c r="N184">
        <f t="shared" si="44"/>
        <v>0.27188119510738218</v>
      </c>
      <c r="O184" s="149">
        <f t="shared" si="37"/>
        <v>258.26574928996706</v>
      </c>
      <c r="P184" s="131">
        <f t="shared" si="45"/>
        <v>116.56543090124192</v>
      </c>
      <c r="Q184" s="148">
        <f t="shared" si="38"/>
        <v>9.730072753334726</v>
      </c>
    </row>
    <row r="185" spans="1:17" x14ac:dyDescent="0.25">
      <c r="A185">
        <f t="shared" si="39"/>
        <v>174</v>
      </c>
      <c r="B185" s="150">
        <f t="shared" si="40"/>
        <v>59.500000000000412</v>
      </c>
      <c r="C185">
        <v>0.01</v>
      </c>
      <c r="D185">
        <f t="shared" si="31"/>
        <v>0.99</v>
      </c>
      <c r="E185">
        <f t="shared" si="41"/>
        <v>0.17398982847626407</v>
      </c>
      <c r="F185">
        <v>2000</v>
      </c>
      <c r="G185">
        <f t="shared" si="42"/>
        <v>106.18051069367672</v>
      </c>
      <c r="H185">
        <f t="shared" si="32"/>
        <v>0.99570564446549459</v>
      </c>
      <c r="I185">
        <f t="shared" si="43"/>
        <v>0.47292102022459465</v>
      </c>
      <c r="J185" s="149">
        <f t="shared" si="33"/>
        <v>164.56689438339407</v>
      </c>
      <c r="K185" s="149">
        <f t="shared" si="34"/>
        <v>8.7368984444505706</v>
      </c>
      <c r="L185">
        <f t="shared" si="35"/>
        <v>7.4999999999999997E-3</v>
      </c>
      <c r="M185">
        <f t="shared" si="36"/>
        <v>0.99250000000000005</v>
      </c>
      <c r="N185">
        <f t="shared" si="44"/>
        <v>0.26984208614407684</v>
      </c>
      <c r="O185" s="149">
        <f t="shared" si="37"/>
        <v>255.22798935757956</v>
      </c>
      <c r="P185" s="131">
        <f t="shared" si="45"/>
        <v>116.7985617630444</v>
      </c>
      <c r="Q185" s="148">
        <f t="shared" si="38"/>
        <v>9.6105882888956291</v>
      </c>
    </row>
    <row r="186" spans="1:17" x14ac:dyDescent="0.25">
      <c r="A186">
        <f t="shared" si="39"/>
        <v>175</v>
      </c>
      <c r="B186" s="150">
        <f t="shared" si="40"/>
        <v>59.583333333333748</v>
      </c>
      <c r="C186">
        <v>0.01</v>
      </c>
      <c r="D186">
        <f t="shared" si="31"/>
        <v>0.99</v>
      </c>
      <c r="E186">
        <f t="shared" si="41"/>
        <v>0.17224993019150142</v>
      </c>
      <c r="F186">
        <v>2000</v>
      </c>
      <c r="G186">
        <f t="shared" si="42"/>
        <v>106.39287171506408</v>
      </c>
      <c r="H186">
        <f t="shared" si="32"/>
        <v>0.99570564446549459</v>
      </c>
      <c r="I186">
        <f t="shared" si="43"/>
        <v>0.47089012922400919</v>
      </c>
      <c r="J186" s="149">
        <f t="shared" si="33"/>
        <v>162.22158377340534</v>
      </c>
      <c r="K186" s="149">
        <f t="shared" si="34"/>
        <v>8.6296100759092162</v>
      </c>
      <c r="L186">
        <f t="shared" si="35"/>
        <v>7.4999999999999997E-3</v>
      </c>
      <c r="M186">
        <f t="shared" si="36"/>
        <v>0.99250000000000005</v>
      </c>
      <c r="N186">
        <f t="shared" si="44"/>
        <v>0.26781827049799628</v>
      </c>
      <c r="O186" s="149">
        <f t="shared" si="37"/>
        <v>252.22596000670421</v>
      </c>
      <c r="P186" s="131">
        <f t="shared" si="45"/>
        <v>117.03215888657049</v>
      </c>
      <c r="Q186" s="148">
        <f t="shared" si="38"/>
        <v>9.49257108350014</v>
      </c>
    </row>
    <row r="187" spans="1:17" x14ac:dyDescent="0.25">
      <c r="A187">
        <f t="shared" si="39"/>
        <v>176</v>
      </c>
      <c r="B187" s="150">
        <f t="shared" si="40"/>
        <v>59.666666666667084</v>
      </c>
      <c r="C187">
        <v>0.01</v>
      </c>
      <c r="D187">
        <f t="shared" si="31"/>
        <v>0.99</v>
      </c>
      <c r="E187">
        <f t="shared" si="41"/>
        <v>0.17052743088958641</v>
      </c>
      <c r="F187">
        <v>2000</v>
      </c>
      <c r="G187">
        <f t="shared" si="42"/>
        <v>106.60565745849421</v>
      </c>
      <c r="H187">
        <f t="shared" si="32"/>
        <v>0.99570564446549459</v>
      </c>
      <c r="I187">
        <f t="shared" si="43"/>
        <v>0.46886795959143207</v>
      </c>
      <c r="J187" s="149">
        <f t="shared" si="33"/>
        <v>159.90969715113866</v>
      </c>
      <c r="K187" s="149">
        <f t="shared" si="34"/>
        <v>8.5236391993929175</v>
      </c>
      <c r="L187">
        <f t="shared" si="35"/>
        <v>7.4999999999999997E-3</v>
      </c>
      <c r="M187">
        <f t="shared" si="36"/>
        <v>0.99250000000000005</v>
      </c>
      <c r="N187">
        <f t="shared" si="44"/>
        <v>0.26580963346926134</v>
      </c>
      <c r="O187" s="149">
        <f t="shared" si="37"/>
        <v>249.25924096895795</v>
      </c>
      <c r="P187" s="131">
        <f t="shared" si="45"/>
        <v>117.26622320434363</v>
      </c>
      <c r="Q187" s="148">
        <f t="shared" si="38"/>
        <v>9.3760031193322089</v>
      </c>
    </row>
    <row r="188" spans="1:17" x14ac:dyDescent="0.25">
      <c r="A188">
        <f t="shared" si="39"/>
        <v>177</v>
      </c>
      <c r="B188" s="150">
        <f t="shared" si="40"/>
        <v>59.750000000000419</v>
      </c>
      <c r="C188">
        <v>0.01</v>
      </c>
      <c r="D188">
        <f t="shared" si="31"/>
        <v>0.99</v>
      </c>
      <c r="E188">
        <f t="shared" si="41"/>
        <v>0.16882215658069055</v>
      </c>
      <c r="F188">
        <v>2000</v>
      </c>
      <c r="G188">
        <f t="shared" si="42"/>
        <v>106.8188687734112</v>
      </c>
      <c r="H188">
        <f t="shared" si="32"/>
        <v>0.99570564446549459</v>
      </c>
      <c r="I188">
        <f t="shared" si="43"/>
        <v>0.46685447387420836</v>
      </c>
      <c r="J188" s="149">
        <f t="shared" si="33"/>
        <v>157.63075817757502</v>
      </c>
      <c r="K188" s="149">
        <f t="shared" si="34"/>
        <v>8.41896963621185</v>
      </c>
      <c r="L188">
        <f t="shared" si="35"/>
        <v>7.4999999999999997E-3</v>
      </c>
      <c r="M188">
        <f t="shared" si="36"/>
        <v>0.99250000000000005</v>
      </c>
      <c r="N188">
        <f t="shared" si="44"/>
        <v>0.26381606121824192</v>
      </c>
      <c r="O188" s="149">
        <f t="shared" si="37"/>
        <v>246.32741691921657</v>
      </c>
      <c r="P188" s="131">
        <f t="shared" si="45"/>
        <v>117.50075565075232</v>
      </c>
      <c r="Q188" s="148">
        <f t="shared" si="38"/>
        <v>9.2608665998330366</v>
      </c>
    </row>
    <row r="189" spans="1:17" x14ac:dyDescent="0.25">
      <c r="A189">
        <f t="shared" si="39"/>
        <v>178</v>
      </c>
      <c r="B189" s="150">
        <f t="shared" si="40"/>
        <v>59.833333333333755</v>
      </c>
      <c r="C189">
        <v>0.01</v>
      </c>
      <c r="D189">
        <f t="shared" si="31"/>
        <v>0.99</v>
      </c>
      <c r="E189">
        <f t="shared" si="41"/>
        <v>0.16713393501488363</v>
      </c>
      <c r="F189">
        <v>2000</v>
      </c>
      <c r="G189">
        <f t="shared" si="42"/>
        <v>107.03250651095802</v>
      </c>
      <c r="H189">
        <f t="shared" si="32"/>
        <v>0.99570564446549459</v>
      </c>
      <c r="I189">
        <f t="shared" si="43"/>
        <v>0.46484963478051805</v>
      </c>
      <c r="J189" s="149">
        <f t="shared" si="33"/>
        <v>155.384297302199</v>
      </c>
      <c r="K189" s="149">
        <f t="shared" si="34"/>
        <v>8.3155854063491237</v>
      </c>
      <c r="L189">
        <f t="shared" si="35"/>
        <v>7.4999999999999997E-3</v>
      </c>
      <c r="M189">
        <f t="shared" si="36"/>
        <v>0.99250000000000005</v>
      </c>
      <c r="N189">
        <f t="shared" si="44"/>
        <v>0.26183744075910509</v>
      </c>
      <c r="O189" s="149">
        <f t="shared" si="37"/>
        <v>243.43007741747107</v>
      </c>
      <c r="P189" s="131">
        <f t="shared" si="45"/>
        <v>117.73575716205383</v>
      </c>
      <c r="Q189" s="148">
        <f t="shared" si="38"/>
        <v>9.1471439469840377</v>
      </c>
    </row>
    <row r="190" spans="1:17" x14ac:dyDescent="0.25">
      <c r="A190">
        <f t="shared" si="39"/>
        <v>179</v>
      </c>
      <c r="B190" s="150">
        <f t="shared" si="40"/>
        <v>59.916666666667091</v>
      </c>
      <c r="C190">
        <v>0.01</v>
      </c>
      <c r="D190">
        <f t="shared" si="31"/>
        <v>0.99</v>
      </c>
      <c r="E190">
        <f t="shared" si="41"/>
        <v>0.16546259566473479</v>
      </c>
      <c r="F190">
        <v>2000</v>
      </c>
      <c r="G190">
        <f t="shared" si="42"/>
        <v>107.24657152397994</v>
      </c>
      <c r="H190">
        <f t="shared" si="32"/>
        <v>0.99570564446549459</v>
      </c>
      <c r="I190">
        <f t="shared" si="43"/>
        <v>0.46285340517868551</v>
      </c>
      <c r="J190" s="149">
        <f t="shared" si="33"/>
        <v>153.16985166625301</v>
      </c>
      <c r="K190" s="149">
        <f t="shared" si="34"/>
        <v>8.2134707260211002</v>
      </c>
      <c r="L190">
        <f t="shared" si="35"/>
        <v>7.4999999999999997E-3</v>
      </c>
      <c r="M190">
        <f t="shared" si="36"/>
        <v>0.99250000000000005</v>
      </c>
      <c r="N190">
        <f t="shared" si="44"/>
        <v>0.25987365995341183</v>
      </c>
      <c r="O190" s="149">
        <f t="shared" si="37"/>
        <v>240.56681685136894</v>
      </c>
      <c r="P190" s="131">
        <f t="shared" si="45"/>
        <v>117.97122867637795</v>
      </c>
      <c r="Q190" s="148">
        <f t="shared" si="38"/>
        <v>9.0348177986232123</v>
      </c>
    </row>
    <row r="191" spans="1:17" x14ac:dyDescent="0.25">
      <c r="A191">
        <f t="shared" si="39"/>
        <v>180</v>
      </c>
      <c r="B191" s="150">
        <f t="shared" si="40"/>
        <v>60.000000000000426</v>
      </c>
      <c r="C191">
        <v>0.01</v>
      </c>
      <c r="D191">
        <f t="shared" si="31"/>
        <v>0.99</v>
      </c>
      <c r="E191">
        <f t="shared" si="41"/>
        <v>0.16380796970808745</v>
      </c>
      <c r="F191">
        <v>2000</v>
      </c>
      <c r="G191">
        <f t="shared" si="42"/>
        <v>107.4610646670279</v>
      </c>
      <c r="H191">
        <f t="shared" si="32"/>
        <v>0.99570564446549459</v>
      </c>
      <c r="I191">
        <f t="shared" si="43"/>
        <v>0.46086574809649172</v>
      </c>
      <c r="J191" s="149">
        <f t="shared" si="33"/>
        <v>150.98696500737037</v>
      </c>
      <c r="K191" s="149">
        <f t="shared" si="34"/>
        <v>8.1126100052676513</v>
      </c>
      <c r="L191">
        <f t="shared" si="35"/>
        <v>7.4999999999999997E-3</v>
      </c>
      <c r="M191">
        <f t="shared" si="36"/>
        <v>0.99250000000000005</v>
      </c>
      <c r="N191">
        <f t="shared" si="44"/>
        <v>0.25792460750376123</v>
      </c>
      <c r="O191" s="149">
        <f t="shared" si="37"/>
        <v>237.73723437942985</v>
      </c>
      <c r="P191" s="131">
        <f t="shared" si="45"/>
        <v>118.2071711337307</v>
      </c>
      <c r="Q191" s="148">
        <f t="shared" si="38"/>
        <v>8.9238710057944175</v>
      </c>
    </row>
    <row r="192" spans="1:17" x14ac:dyDescent="0.25">
      <c r="A192">
        <f t="shared" si="39"/>
        <v>181</v>
      </c>
      <c r="B192" s="150">
        <f t="shared" si="40"/>
        <v>60.083333333333762</v>
      </c>
      <c r="C192">
        <v>0.01</v>
      </c>
      <c r="D192">
        <f t="shared" si="31"/>
        <v>0.99</v>
      </c>
      <c r="E192">
        <f t="shared" si="41"/>
        <v>0.16216989001100657</v>
      </c>
      <c r="F192">
        <v>2000</v>
      </c>
      <c r="G192">
        <f t="shared" si="42"/>
        <v>107.67598679636195</v>
      </c>
      <c r="H192">
        <f t="shared" si="32"/>
        <v>0.99570564446549459</v>
      </c>
      <c r="I192">
        <f t="shared" si="43"/>
        <v>0.45888662672048958</v>
      </c>
      <c r="J192" s="149">
        <f t="shared" si="33"/>
        <v>148.83518756556725</v>
      </c>
      <c r="K192" s="149">
        <f t="shared" si="34"/>
        <v>8.0129878455720362</v>
      </c>
      <c r="L192">
        <f t="shared" si="35"/>
        <v>7.4999999999999997E-3</v>
      </c>
      <c r="M192">
        <f t="shared" si="36"/>
        <v>0.99250000000000005</v>
      </c>
      <c r="N192">
        <f t="shared" si="44"/>
        <v>0.25599017294748305</v>
      </c>
      <c r="O192" s="149">
        <f t="shared" si="37"/>
        <v>234.94093387493044</v>
      </c>
      <c r="P192" s="131">
        <f t="shared" si="45"/>
        <v>118.44358547599816</v>
      </c>
      <c r="Q192" s="148">
        <f t="shared" si="38"/>
        <v>8.8142866301292422</v>
      </c>
    </row>
    <row r="193" spans="1:17" x14ac:dyDescent="0.25">
      <c r="A193">
        <f t="shared" si="39"/>
        <v>182</v>
      </c>
      <c r="B193" s="150">
        <f t="shared" si="40"/>
        <v>60.166666666667098</v>
      </c>
      <c r="C193">
        <v>0.01</v>
      </c>
      <c r="D193">
        <f t="shared" si="31"/>
        <v>0.99</v>
      </c>
      <c r="E193">
        <f t="shared" si="41"/>
        <v>0.16054819111089649</v>
      </c>
      <c r="F193">
        <v>2000</v>
      </c>
      <c r="G193">
        <f t="shared" si="42"/>
        <v>107.89133876995467</v>
      </c>
      <c r="H193">
        <f t="shared" si="32"/>
        <v>0.99570564446549459</v>
      </c>
      <c r="I193">
        <f t="shared" si="43"/>
        <v>0.45691600439532193</v>
      </c>
      <c r="J193" s="149">
        <f t="shared" si="33"/>
        <v>146.71407599057471</v>
      </c>
      <c r="K193" s="149">
        <f t="shared" si="34"/>
        <v>7.9145890375099865</v>
      </c>
      <c r="L193">
        <f t="shared" si="35"/>
        <v>7.4999999999999997E-3</v>
      </c>
      <c r="M193">
        <f t="shared" si="36"/>
        <v>0.99250000000000005</v>
      </c>
      <c r="N193">
        <f t="shared" si="44"/>
        <v>0.25407024665037692</v>
      </c>
      <c r="O193" s="149">
        <f t="shared" si="37"/>
        <v>232.17752387044831</v>
      </c>
      <c r="P193" s="131">
        <f t="shared" si="45"/>
        <v>118.68047264695015</v>
      </c>
      <c r="Q193" s="148">
        <f t="shared" si="38"/>
        <v>8.7060479412609855</v>
      </c>
    </row>
    <row r="194" spans="1:17" x14ac:dyDescent="0.25">
      <c r="A194">
        <f t="shared" si="39"/>
        <v>183</v>
      </c>
      <c r="B194" s="150">
        <f t="shared" si="40"/>
        <v>60.250000000000433</v>
      </c>
      <c r="C194">
        <v>0.01</v>
      </c>
      <c r="D194">
        <f t="shared" si="31"/>
        <v>0.99</v>
      </c>
      <c r="E194">
        <f t="shared" si="41"/>
        <v>0.15894270919978754</v>
      </c>
      <c r="F194">
        <v>2000</v>
      </c>
      <c r="G194">
        <f t="shared" si="42"/>
        <v>108.10712144749458</v>
      </c>
      <c r="H194">
        <f t="shared" si="32"/>
        <v>0.99570564446549459</v>
      </c>
      <c r="I194">
        <f t="shared" si="43"/>
        <v>0.45495384462304278</v>
      </c>
      <c r="J194" s="149">
        <f t="shared" si="33"/>
        <v>144.62319325049123</v>
      </c>
      <c r="K194" s="149">
        <f t="shared" si="34"/>
        <v>7.8173985584276657</v>
      </c>
      <c r="L194">
        <f t="shared" si="35"/>
        <v>7.4999999999999997E-3</v>
      </c>
      <c r="M194">
        <f t="shared" si="36"/>
        <v>0.99250000000000005</v>
      </c>
      <c r="N194">
        <f t="shared" si="44"/>
        <v>0.25216471980049909</v>
      </c>
      <c r="O194" s="149">
        <f t="shared" si="37"/>
        <v>229.44661750305875</v>
      </c>
      <c r="P194" s="131">
        <f t="shared" si="45"/>
        <v>118.91783359224405</v>
      </c>
      <c r="Q194" s="148">
        <f t="shared" si="38"/>
        <v>8.5991384142704348</v>
      </c>
    </row>
    <row r="195" spans="1:17" x14ac:dyDescent="0.25">
      <c r="A195">
        <f t="shared" si="39"/>
        <v>184</v>
      </c>
      <c r="B195" s="150">
        <f t="shared" si="40"/>
        <v>60.333333333333769</v>
      </c>
      <c r="C195">
        <v>0.01</v>
      </c>
      <c r="D195">
        <f t="shared" si="31"/>
        <v>0.99</v>
      </c>
      <c r="E195">
        <f t="shared" si="41"/>
        <v>0.15735328210778965</v>
      </c>
      <c r="F195">
        <v>2000</v>
      </c>
      <c r="G195">
        <f t="shared" si="42"/>
        <v>108.32333569038957</v>
      </c>
      <c r="H195">
        <f t="shared" si="32"/>
        <v>0.99570564446549459</v>
      </c>
      <c r="I195">
        <f t="shared" si="43"/>
        <v>0.45300011106244131</v>
      </c>
      <c r="J195" s="149">
        <f t="shared" si="33"/>
        <v>142.56210854173673</v>
      </c>
      <c r="K195" s="149">
        <f t="shared" si="34"/>
        <v>7.721401570148152</v>
      </c>
      <c r="L195">
        <f t="shared" si="35"/>
        <v>7.4999999999999997E-3</v>
      </c>
      <c r="M195">
        <f t="shared" si="36"/>
        <v>0.99250000000000005</v>
      </c>
      <c r="N195">
        <f t="shared" si="44"/>
        <v>0.25027348440199537</v>
      </c>
      <c r="O195" s="149">
        <f t="shared" si="37"/>
        <v>226.74783246017617</v>
      </c>
      <c r="P195" s="131">
        <f t="shared" si="45"/>
        <v>119.15566925942854</v>
      </c>
      <c r="Q195" s="148">
        <f t="shared" si="38"/>
        <v>8.4935417271629667</v>
      </c>
    </row>
    <row r="196" spans="1:17" x14ac:dyDescent="0.25">
      <c r="A196">
        <f t="shared" si="39"/>
        <v>185</v>
      </c>
      <c r="B196" s="150">
        <f t="shared" si="40"/>
        <v>60.416666666667105</v>
      </c>
      <c r="C196">
        <v>0.01</v>
      </c>
      <c r="D196">
        <f t="shared" si="31"/>
        <v>0.99</v>
      </c>
      <c r="E196">
        <f t="shared" si="41"/>
        <v>0.15577974928671176</v>
      </c>
      <c r="F196">
        <v>2000</v>
      </c>
      <c r="G196">
        <f t="shared" si="42"/>
        <v>108.53998236177036</v>
      </c>
      <c r="H196">
        <f t="shared" si="32"/>
        <v>0.99570564446549459</v>
      </c>
      <c r="I196">
        <f t="shared" si="43"/>
        <v>0.45105476752836876</v>
      </c>
      <c r="J196" s="149">
        <f t="shared" si="33"/>
        <v>140.53039720029068</v>
      </c>
      <c r="K196" s="149">
        <f t="shared" si="34"/>
        <v>7.6265834167060671</v>
      </c>
      <c r="L196">
        <f t="shared" si="35"/>
        <v>7.4999999999999997E-3</v>
      </c>
      <c r="M196">
        <f t="shared" si="36"/>
        <v>0.99250000000000005</v>
      </c>
      <c r="N196">
        <f t="shared" si="44"/>
        <v>0.24839643326898042</v>
      </c>
      <c r="O196" s="149">
        <f t="shared" si="37"/>
        <v>224.08079092603185</v>
      </c>
      <c r="P196" s="131">
        <f t="shared" si="45"/>
        <v>119.3939805979474</v>
      </c>
      <c r="Q196" s="148">
        <f t="shared" si="38"/>
        <v>8.3892417583766736</v>
      </c>
    </row>
    <row r="197" spans="1:17" x14ac:dyDescent="0.25">
      <c r="A197">
        <f t="shared" si="39"/>
        <v>186</v>
      </c>
      <c r="B197" s="150">
        <f t="shared" si="40"/>
        <v>60.500000000000441</v>
      </c>
      <c r="C197">
        <v>0.01</v>
      </c>
      <c r="D197">
        <f t="shared" si="31"/>
        <v>0.99</v>
      </c>
      <c r="E197">
        <f t="shared" si="41"/>
        <v>0.15422195179384465</v>
      </c>
      <c r="F197">
        <v>2000</v>
      </c>
      <c r="G197">
        <f t="shared" si="42"/>
        <v>108.75706232649389</v>
      </c>
      <c r="H197">
        <f t="shared" si="32"/>
        <v>0.99570564446549459</v>
      </c>
      <c r="I197">
        <f t="shared" si="43"/>
        <v>0.44911777799106828</v>
      </c>
      <c r="J197" s="149">
        <f t="shared" si="33"/>
        <v>138.52764061419433</v>
      </c>
      <c r="K197" s="149">
        <f t="shared" si="34"/>
        <v>7.5329296221100392</v>
      </c>
      <c r="L197">
        <f t="shared" si="35"/>
        <v>7.4999999999999997E-3</v>
      </c>
      <c r="M197">
        <f t="shared" si="36"/>
        <v>0.99250000000000005</v>
      </c>
      <c r="N197">
        <f t="shared" si="44"/>
        <v>0.24653346001946308</v>
      </c>
      <c r="O197" s="149">
        <f t="shared" si="37"/>
        <v>221.44511952878227</v>
      </c>
      <c r="P197" s="131">
        <f t="shared" si="45"/>
        <v>119.63276855914329</v>
      </c>
      <c r="Q197" s="148">
        <f t="shared" si="38"/>
        <v>8.2862225843210435</v>
      </c>
    </row>
    <row r="198" spans="1:17" x14ac:dyDescent="0.25">
      <c r="A198">
        <f t="shared" si="39"/>
        <v>187</v>
      </c>
      <c r="B198" s="150">
        <f t="shared" si="40"/>
        <v>60.583333333333776</v>
      </c>
      <c r="C198">
        <v>0.01</v>
      </c>
      <c r="D198">
        <f t="shared" si="31"/>
        <v>0.99</v>
      </c>
      <c r="E198">
        <f t="shared" si="41"/>
        <v>0.1526797322759062</v>
      </c>
      <c r="F198">
        <v>2000</v>
      </c>
      <c r="G198">
        <f t="shared" si="42"/>
        <v>108.97457645114689</v>
      </c>
      <c r="H198">
        <f t="shared" si="32"/>
        <v>0.99570564446549459</v>
      </c>
      <c r="I198">
        <f t="shared" si="43"/>
        <v>0.44718910657550759</v>
      </c>
      <c r="J198" s="149">
        <f t="shared" si="33"/>
        <v>136.55342613730036</v>
      </c>
      <c r="K198" s="149">
        <f t="shared" si="34"/>
        <v>7.4404258881326397</v>
      </c>
      <c r="L198">
        <f t="shared" si="35"/>
        <v>7.4999999999999997E-3</v>
      </c>
      <c r="M198">
        <f t="shared" si="36"/>
        <v>0.99250000000000005</v>
      </c>
      <c r="N198">
        <f t="shared" si="44"/>
        <v>0.24468445906931713</v>
      </c>
      <c r="O198" s="149">
        <f t="shared" si="37"/>
        <v>218.84044928823857</v>
      </c>
      <c r="P198" s="131">
        <f t="shared" si="45"/>
        <v>119.87203409626159</v>
      </c>
      <c r="Q198" s="148">
        <f t="shared" si="38"/>
        <v>8.184468476945904</v>
      </c>
    </row>
    <row r="199" spans="1:17" x14ac:dyDescent="0.25">
      <c r="A199">
        <f t="shared" si="39"/>
        <v>188</v>
      </c>
      <c r="B199" s="150">
        <f t="shared" si="40"/>
        <v>60.666666666667112</v>
      </c>
      <c r="C199">
        <v>0.01</v>
      </c>
      <c r="D199">
        <f t="shared" si="31"/>
        <v>0.99</v>
      </c>
      <c r="E199">
        <f t="shared" si="41"/>
        <v>0.15115293495314713</v>
      </c>
      <c r="F199">
        <v>2000</v>
      </c>
      <c r="G199">
        <f t="shared" si="42"/>
        <v>109.19252560404918</v>
      </c>
      <c r="H199">
        <f t="shared" si="32"/>
        <v>0.99570564446549459</v>
      </c>
      <c r="I199">
        <f t="shared" si="43"/>
        <v>0.44526871756071451</v>
      </c>
      <c r="J199" s="149">
        <f t="shared" si="33"/>
        <v>134.60734700425186</v>
      </c>
      <c r="K199" s="149">
        <f t="shared" si="34"/>
        <v>7.3490580921274518</v>
      </c>
      <c r="L199">
        <f t="shared" si="35"/>
        <v>7.4999999999999997E-3</v>
      </c>
      <c r="M199">
        <f t="shared" si="36"/>
        <v>0.99250000000000005</v>
      </c>
      <c r="N199">
        <f t="shared" si="44"/>
        <v>0.24284932562629727</v>
      </c>
      <c r="O199" s="149">
        <f t="shared" si="37"/>
        <v>216.26641556421148</v>
      </c>
      <c r="P199" s="131">
        <f t="shared" si="45"/>
        <v>120.11177816445411</v>
      </c>
      <c r="Q199" s="148">
        <f t="shared" si="38"/>
        <v>8.083963901340196</v>
      </c>
    </row>
    <row r="200" spans="1:17" x14ac:dyDescent="0.25">
      <c r="A200">
        <f t="shared" si="39"/>
        <v>189</v>
      </c>
      <c r="B200" s="150">
        <f t="shared" si="40"/>
        <v>60.750000000000448</v>
      </c>
      <c r="C200">
        <v>0.01</v>
      </c>
      <c r="D200">
        <f t="shared" si="31"/>
        <v>0.99</v>
      </c>
      <c r="E200">
        <f t="shared" si="41"/>
        <v>0.14964140560361566</v>
      </c>
      <c r="F200">
        <v>2000</v>
      </c>
      <c r="G200">
        <f t="shared" si="42"/>
        <v>109.41091065525728</v>
      </c>
      <c r="H200">
        <f t="shared" si="32"/>
        <v>0.99570564446549459</v>
      </c>
      <c r="I200">
        <f t="shared" si="43"/>
        <v>0.44335657537911555</v>
      </c>
      <c r="J200" s="149">
        <f t="shared" si="33"/>
        <v>132.68900224667246</v>
      </c>
      <c r="K200" s="149">
        <f t="shared" si="34"/>
        <v>7.258812284872957</v>
      </c>
      <c r="L200">
        <f t="shared" si="35"/>
        <v>7.4999999999999997E-3</v>
      </c>
      <c r="M200">
        <f t="shared" si="36"/>
        <v>0.99250000000000005</v>
      </c>
      <c r="N200">
        <f t="shared" si="44"/>
        <v>0.24102795568410004</v>
      </c>
      <c r="O200" s="149">
        <f t="shared" si="37"/>
        <v>213.72265800546364</v>
      </c>
      <c r="P200" s="131">
        <f t="shared" si="45"/>
        <v>120.35200172078302</v>
      </c>
      <c r="Q200" s="148">
        <f t="shared" si="38"/>
        <v>7.984693513360253</v>
      </c>
    </row>
    <row r="201" spans="1:17" x14ac:dyDescent="0.25">
      <c r="A201">
        <f t="shared" si="39"/>
        <v>190</v>
      </c>
      <c r="B201" s="150">
        <f t="shared" si="40"/>
        <v>60.833333333333783</v>
      </c>
      <c r="C201">
        <v>0.01</v>
      </c>
      <c r="D201">
        <f t="shared" si="31"/>
        <v>0.99</v>
      </c>
      <c r="E201">
        <f t="shared" si="41"/>
        <v>0.14814499154757951</v>
      </c>
      <c r="F201">
        <v>2000</v>
      </c>
      <c r="G201">
        <f t="shared" si="42"/>
        <v>109.6297324765678</v>
      </c>
      <c r="H201">
        <f t="shared" si="32"/>
        <v>0.99570564446549459</v>
      </c>
      <c r="I201">
        <f t="shared" si="43"/>
        <v>0.44145264461587685</v>
      </c>
      <c r="J201" s="149">
        <f t="shared" si="33"/>
        <v>130.79799661055139</v>
      </c>
      <c r="K201" s="149">
        <f t="shared" si="34"/>
        <v>7.1696746884428846</v>
      </c>
      <c r="L201">
        <f t="shared" si="35"/>
        <v>7.4999999999999997E-3</v>
      </c>
      <c r="M201">
        <f t="shared" si="36"/>
        <v>0.99250000000000005</v>
      </c>
      <c r="N201">
        <f t="shared" si="44"/>
        <v>0.2392202460164693</v>
      </c>
      <c r="O201" s="149">
        <f t="shared" si="37"/>
        <v>211.20882049926212</v>
      </c>
      <c r="P201" s="131">
        <f t="shared" si="45"/>
        <v>120.59270572422459</v>
      </c>
      <c r="Q201" s="148">
        <f t="shared" si="38"/>
        <v>7.8866421572871745</v>
      </c>
    </row>
    <row r="202" spans="1:17" x14ac:dyDescent="0.25">
      <c r="A202">
        <f t="shared" si="39"/>
        <v>191</v>
      </c>
      <c r="B202" s="150">
        <f t="shared" si="40"/>
        <v>60.916666666667119</v>
      </c>
      <c r="C202">
        <v>0.01</v>
      </c>
      <c r="D202">
        <f t="shared" si="31"/>
        <v>0.99</v>
      </c>
      <c r="E202">
        <f t="shared" si="41"/>
        <v>0.14666354163210371</v>
      </c>
      <c r="F202">
        <v>2000</v>
      </c>
      <c r="G202">
        <f t="shared" si="42"/>
        <v>109.84899194152094</v>
      </c>
      <c r="H202">
        <f t="shared" si="32"/>
        <v>0.99570564446549459</v>
      </c>
      <c r="I202">
        <f t="shared" si="43"/>
        <v>0.4395568900082486</v>
      </c>
      <c r="J202" s="149">
        <f t="shared" si="33"/>
        <v>128.93394047480561</v>
      </c>
      <c r="K202" s="149">
        <f t="shared" si="34"/>
        <v>7.0816316941027306</v>
      </c>
      <c r="L202">
        <f t="shared" si="35"/>
        <v>7.4999999999999997E-3</v>
      </c>
      <c r="M202">
        <f t="shared" si="36"/>
        <v>0.99250000000000005</v>
      </c>
      <c r="N202">
        <f t="shared" si="44"/>
        <v>0.23742609417134578</v>
      </c>
      <c r="O202" s="149">
        <f t="shared" si="37"/>
        <v>208.7245511215246</v>
      </c>
      <c r="P202" s="131">
        <f t="shared" si="45"/>
        <v>120.83389113567304</v>
      </c>
      <c r="Q202" s="148">
        <f t="shared" si="38"/>
        <v>7.7897948635130039</v>
      </c>
    </row>
    <row r="203" spans="1:17" x14ac:dyDescent="0.25">
      <c r="A203">
        <f t="shared" si="39"/>
        <v>192</v>
      </c>
      <c r="B203" s="150">
        <f t="shared" si="40"/>
        <v>61.000000000000455</v>
      </c>
      <c r="C203">
        <v>0.01</v>
      </c>
      <c r="D203">
        <f t="shared" si="31"/>
        <v>0.99</v>
      </c>
      <c r="E203">
        <f t="shared" si="41"/>
        <v>0.14519690621578268</v>
      </c>
      <c r="F203">
        <v>2000</v>
      </c>
      <c r="G203">
        <f t="shared" si="42"/>
        <v>110.06868992540397</v>
      </c>
      <c r="H203">
        <f t="shared" si="32"/>
        <v>0.99570564446549459</v>
      </c>
      <c r="I203">
        <f t="shared" si="43"/>
        <v>0.43766927644491171</v>
      </c>
      <c r="J203" s="149">
        <f t="shared" si="33"/>
        <v>127.09644977100263</v>
      </c>
      <c r="K203" s="149">
        <f t="shared" si="34"/>
        <v>6.9946698602320847</v>
      </c>
      <c r="L203">
        <f t="shared" si="35"/>
        <v>7.4999999999999997E-3</v>
      </c>
      <c r="M203">
        <f t="shared" si="36"/>
        <v>0.99250000000000005</v>
      </c>
      <c r="N203">
        <f t="shared" si="44"/>
        <v>0.23564539846506069</v>
      </c>
      <c r="O203" s="149">
        <f t="shared" si="37"/>
        <v>206.26950208755204</v>
      </c>
      <c r="P203" s="131">
        <f t="shared" si="45"/>
        <v>121.07555891794438</v>
      </c>
      <c r="Q203" s="148">
        <f t="shared" si="38"/>
        <v>7.6941368462552928</v>
      </c>
    </row>
    <row r="204" spans="1:17" x14ac:dyDescent="0.25">
      <c r="A204">
        <f t="shared" si="39"/>
        <v>193</v>
      </c>
      <c r="B204" s="150">
        <f t="shared" si="40"/>
        <v>61.08333333333379</v>
      </c>
      <c r="C204">
        <v>0.01</v>
      </c>
      <c r="D204">
        <f t="shared" ref="D204:D251" si="46">1-C204</f>
        <v>0.99</v>
      </c>
      <c r="E204">
        <f t="shared" si="41"/>
        <v>0.14374493715362485</v>
      </c>
      <c r="F204">
        <v>2000</v>
      </c>
      <c r="G204">
        <f t="shared" si="42"/>
        <v>110.28882730525478</v>
      </c>
      <c r="H204">
        <f t="shared" ref="H204:H251" si="47">1/(1+$B$1)^(1/12)</f>
        <v>0.99570564446549459</v>
      </c>
      <c r="I204">
        <f t="shared" si="43"/>
        <v>0.43578976896532751</v>
      </c>
      <c r="J204" s="149">
        <f t="shared" ref="J204:J251" si="48">F204*E204*I204</f>
        <v>125.28514590422739</v>
      </c>
      <c r="K204" s="149">
        <f t="shared" ref="K204:K251" si="49">G204*E204*I204</f>
        <v>6.9087759102724924</v>
      </c>
      <c r="L204">
        <f t="shared" ref="L204:L251" si="50">C204*0.75</f>
        <v>7.4999999999999997E-3</v>
      </c>
      <c r="M204">
        <f t="shared" ref="M204:M251" si="51">1-L204</f>
        <v>0.99250000000000005</v>
      </c>
      <c r="N204">
        <f t="shared" si="44"/>
        <v>0.23387805797657274</v>
      </c>
      <c r="O204" s="149">
        <f t="shared" ref="O204:O251" si="52">F204*N204*I204</f>
        <v>203.8433297033402</v>
      </c>
      <c r="P204" s="131">
        <f t="shared" si="45"/>
        <v>121.31771003578027</v>
      </c>
      <c r="Q204" s="148">
        <f t="shared" ref="Q204:Q251" si="53">P204*E204*I204</f>
        <v>7.5996535012997404</v>
      </c>
    </row>
    <row r="205" spans="1:17" x14ac:dyDescent="0.25">
      <c r="A205">
        <f t="shared" ref="A205:A251" si="54">A204+1</f>
        <v>194</v>
      </c>
      <c r="B205" s="150">
        <f t="shared" ref="B205:B251" si="55">B204+1/12</f>
        <v>61.166666666667126</v>
      </c>
      <c r="C205">
        <v>0.01</v>
      </c>
      <c r="D205">
        <f t="shared" si="46"/>
        <v>0.99</v>
      </c>
      <c r="E205">
        <f t="shared" ref="E205:E251" si="56">E204*D205</f>
        <v>0.1423074877820886</v>
      </c>
      <c r="F205">
        <v>2000</v>
      </c>
      <c r="G205">
        <f t="shared" ref="G205:G251" si="57">G204*1.002</f>
        <v>110.50940495986529</v>
      </c>
      <c r="H205">
        <f t="shared" si="47"/>
        <v>0.99570564446549459</v>
      </c>
      <c r="I205">
        <f t="shared" ref="I205:I251" si="58">H205*I204</f>
        <v>0.43391833275909042</v>
      </c>
      <c r="J205" s="149">
        <f t="shared" si="48"/>
        <v>123.49965567507704</v>
      </c>
      <c r="K205" s="149">
        <f t="shared" si="49"/>
        <v>6.823936730700507</v>
      </c>
      <c r="L205">
        <f t="shared" si="50"/>
        <v>7.4999999999999997E-3</v>
      </c>
      <c r="M205">
        <f t="shared" si="51"/>
        <v>0.99250000000000005</v>
      </c>
      <c r="N205">
        <f t="shared" ref="N205:N251" si="59">M205*N204</f>
        <v>0.23212397254174846</v>
      </c>
      <c r="O205" s="149">
        <f t="shared" si="52"/>
        <v>201.44569431746476</v>
      </c>
      <c r="P205" s="131">
        <f t="shared" si="45"/>
        <v>121.56034545585183</v>
      </c>
      <c r="Q205" s="148">
        <f t="shared" si="53"/>
        <v>7.5063304037705585</v>
      </c>
    </row>
    <row r="206" spans="1:17" x14ac:dyDescent="0.25">
      <c r="A206">
        <f t="shared" si="54"/>
        <v>195</v>
      </c>
      <c r="B206" s="150">
        <f t="shared" si="55"/>
        <v>61.250000000000462</v>
      </c>
      <c r="C206">
        <v>0.01</v>
      </c>
      <c r="D206">
        <f t="shared" si="46"/>
        <v>0.99</v>
      </c>
      <c r="E206">
        <f t="shared" si="56"/>
        <v>0.1408844129042677</v>
      </c>
      <c r="F206">
        <v>2000</v>
      </c>
      <c r="G206">
        <f t="shared" si="57"/>
        <v>110.73042376978502</v>
      </c>
      <c r="H206">
        <f t="shared" si="47"/>
        <v>0.99570564446549459</v>
      </c>
      <c r="I206">
        <f t="shared" si="58"/>
        <v>0.43205493316528304</v>
      </c>
      <c r="J206" s="149">
        <f t="shared" si="48"/>
        <v>121.73961120276704</v>
      </c>
      <c r="K206" s="149">
        <f t="shared" si="49"/>
        <v>6.7401393690256315</v>
      </c>
      <c r="L206">
        <f t="shared" si="50"/>
        <v>7.4999999999999997E-3</v>
      </c>
      <c r="M206">
        <f t="shared" si="51"/>
        <v>0.99250000000000005</v>
      </c>
      <c r="N206">
        <f t="shared" si="59"/>
        <v>0.23038304274768537</v>
      </c>
      <c r="O206" s="149">
        <f t="shared" si="52"/>
        <v>199.07626027353152</v>
      </c>
      <c r="P206" s="131">
        <f t="shared" si="45"/>
        <v>121.80346614676353</v>
      </c>
      <c r="Q206" s="148">
        <f t="shared" si="53"/>
        <v>7.4141533059281945</v>
      </c>
    </row>
    <row r="207" spans="1:17" x14ac:dyDescent="0.25">
      <c r="A207">
        <f t="shared" si="54"/>
        <v>196</v>
      </c>
      <c r="B207" s="150">
        <f t="shared" si="55"/>
        <v>61.333333333333798</v>
      </c>
      <c r="C207">
        <v>0.01</v>
      </c>
      <c r="D207">
        <f t="shared" si="46"/>
        <v>0.99</v>
      </c>
      <c r="E207">
        <f t="shared" si="56"/>
        <v>0.13947556877522502</v>
      </c>
      <c r="F207">
        <v>2000</v>
      </c>
      <c r="G207">
        <f t="shared" si="57"/>
        <v>110.95188461732459</v>
      </c>
      <c r="H207">
        <f t="shared" si="47"/>
        <v>0.99570564446549459</v>
      </c>
      <c r="I207">
        <f t="shared" si="58"/>
        <v>0.43019953567183433</v>
      </c>
      <c r="J207" s="149">
        <f t="shared" si="48"/>
        <v>120.00464984933359</v>
      </c>
      <c r="K207" s="149">
        <f t="shared" si="49"/>
        <v>6.6573710318128505</v>
      </c>
      <c r="L207">
        <f t="shared" si="50"/>
        <v>7.4999999999999997E-3</v>
      </c>
      <c r="M207">
        <f t="shared" si="51"/>
        <v>0.99250000000000005</v>
      </c>
      <c r="N207">
        <f t="shared" si="59"/>
        <v>0.22865516992707774</v>
      </c>
      <c r="O207" s="149">
        <f t="shared" si="52"/>
        <v>196.73469586318643</v>
      </c>
      <c r="P207" s="131">
        <f t="shared" si="45"/>
        <v>122.04707307905706</v>
      </c>
      <c r="Q207" s="148">
        <f t="shared" si="53"/>
        <v>7.3231081349941354</v>
      </c>
    </row>
    <row r="208" spans="1:17" x14ac:dyDescent="0.25">
      <c r="A208">
        <f t="shared" si="54"/>
        <v>197</v>
      </c>
      <c r="B208" s="150">
        <f t="shared" si="55"/>
        <v>61.416666666667133</v>
      </c>
      <c r="C208">
        <v>0.01</v>
      </c>
      <c r="D208">
        <f t="shared" si="46"/>
        <v>0.99</v>
      </c>
      <c r="E208">
        <f t="shared" si="56"/>
        <v>0.13808081308747278</v>
      </c>
      <c r="F208">
        <v>2000</v>
      </c>
      <c r="G208">
        <f t="shared" si="57"/>
        <v>111.17378838655924</v>
      </c>
      <c r="H208">
        <f t="shared" si="47"/>
        <v>0.99570564446549459</v>
      </c>
      <c r="I208">
        <f t="shared" si="58"/>
        <v>0.42835210591488032</v>
      </c>
      <c r="J208" s="149">
        <f t="shared" si="48"/>
        <v>118.29441414491585</v>
      </c>
      <c r="K208" s="149">
        <f t="shared" si="49"/>
        <v>6.5756190827294381</v>
      </c>
      <c r="L208">
        <f t="shared" si="50"/>
        <v>7.4999999999999997E-3</v>
      </c>
      <c r="M208">
        <f t="shared" si="51"/>
        <v>0.99250000000000005</v>
      </c>
      <c r="N208">
        <f t="shared" si="59"/>
        <v>0.22694025615262467</v>
      </c>
      <c r="O208" s="149">
        <f t="shared" si="52"/>
        <v>194.42067327967831</v>
      </c>
      <c r="P208" s="131">
        <f t="shared" si="45"/>
        <v>122.29116722521518</v>
      </c>
      <c r="Q208" s="148">
        <f t="shared" si="53"/>
        <v>7.2331809910023823</v>
      </c>
    </row>
    <row r="209" spans="1:17" x14ac:dyDescent="0.25">
      <c r="A209">
        <f t="shared" si="54"/>
        <v>198</v>
      </c>
      <c r="B209" s="150">
        <f t="shared" si="55"/>
        <v>61.500000000000469</v>
      </c>
      <c r="C209">
        <v>0.01</v>
      </c>
      <c r="D209">
        <f t="shared" si="46"/>
        <v>0.99</v>
      </c>
      <c r="E209">
        <f t="shared" si="56"/>
        <v>0.13670000495659804</v>
      </c>
      <c r="F209">
        <v>2000</v>
      </c>
      <c r="G209">
        <f t="shared" si="57"/>
        <v>111.39613596333236</v>
      </c>
      <c r="H209">
        <f t="shared" si="47"/>
        <v>0.99570564446549459</v>
      </c>
      <c r="I209">
        <f t="shared" si="58"/>
        <v>0.42651260967812771</v>
      </c>
      <c r="J209" s="149">
        <f t="shared" si="48"/>
        <v>116.60855171410324</v>
      </c>
      <c r="K209" s="149">
        <f t="shared" si="49"/>
        <v>6.4948710406157586</v>
      </c>
      <c r="L209">
        <f t="shared" si="50"/>
        <v>7.4999999999999997E-3</v>
      </c>
      <c r="M209">
        <f t="shared" si="51"/>
        <v>0.99250000000000005</v>
      </c>
      <c r="N209">
        <f t="shared" si="59"/>
        <v>0.22523820423148</v>
      </c>
      <c r="O209" s="149">
        <f t="shared" si="52"/>
        <v>192.1338685719673</v>
      </c>
      <c r="P209" s="131">
        <f t="shared" si="45"/>
        <v>122.5357495596656</v>
      </c>
      <c r="Q209" s="148">
        <f t="shared" si="53"/>
        <v>7.1443581446773354</v>
      </c>
    </row>
    <row r="210" spans="1:17" x14ac:dyDescent="0.25">
      <c r="A210">
        <f t="shared" si="54"/>
        <v>199</v>
      </c>
      <c r="B210" s="150">
        <f t="shared" si="55"/>
        <v>61.583333333333805</v>
      </c>
      <c r="C210">
        <v>0.01</v>
      </c>
      <c r="D210">
        <f t="shared" si="46"/>
        <v>0.99</v>
      </c>
      <c r="E210">
        <f t="shared" si="56"/>
        <v>0.13533300490703207</v>
      </c>
      <c r="F210">
        <v>2000</v>
      </c>
      <c r="G210">
        <f t="shared" si="57"/>
        <v>111.61892823525902</v>
      </c>
      <c r="H210">
        <f t="shared" si="47"/>
        <v>0.99570564446549459</v>
      </c>
      <c r="I210">
        <f t="shared" si="58"/>
        <v>0.4246810128922201</v>
      </c>
      <c r="J210" s="149">
        <f t="shared" si="48"/>
        <v>114.94671520333235</v>
      </c>
      <c r="K210" s="149">
        <f t="shared" si="49"/>
        <v>6.4151145775797556</v>
      </c>
      <c r="L210">
        <f t="shared" si="50"/>
        <v>7.4999999999999997E-3</v>
      </c>
      <c r="M210">
        <f t="shared" si="51"/>
        <v>0.99250000000000005</v>
      </c>
      <c r="N210">
        <f t="shared" si="59"/>
        <v>0.22354891769974392</v>
      </c>
      <c r="O210" s="149">
        <f t="shared" si="52"/>
        <v>189.87396159937359</v>
      </c>
      <c r="P210" s="131">
        <f t="shared" si="45"/>
        <v>122.78082105878494</v>
      </c>
      <c r="Q210" s="148">
        <f t="shared" si="53"/>
        <v>7.0566260353377315</v>
      </c>
    </row>
    <row r="211" spans="1:17" x14ac:dyDescent="0.25">
      <c r="A211">
        <f t="shared" si="54"/>
        <v>200</v>
      </c>
      <c r="B211" s="150">
        <f t="shared" si="55"/>
        <v>61.66666666666714</v>
      </c>
      <c r="C211">
        <v>0.01</v>
      </c>
      <c r="D211">
        <f t="shared" si="46"/>
        <v>0.99</v>
      </c>
      <c r="E211">
        <f t="shared" si="56"/>
        <v>0.13397967485796175</v>
      </c>
      <c r="F211">
        <v>2000</v>
      </c>
      <c r="G211">
        <f t="shared" si="57"/>
        <v>111.84216609172954</v>
      </c>
      <c r="H211">
        <f t="shared" si="47"/>
        <v>0.99570564446549459</v>
      </c>
      <c r="I211">
        <f t="shared" si="58"/>
        <v>0.42285728163410702</v>
      </c>
      <c r="J211" s="149">
        <f t="shared" si="48"/>
        <v>113.30856220931844</v>
      </c>
      <c r="K211" s="149">
        <f t="shared" si="49"/>
        <v>6.3363375171148313</v>
      </c>
      <c r="L211">
        <f t="shared" si="50"/>
        <v>7.4999999999999997E-3</v>
      </c>
      <c r="M211">
        <f t="shared" si="51"/>
        <v>0.99250000000000005</v>
      </c>
      <c r="N211">
        <f t="shared" si="59"/>
        <v>0.22187230081699585</v>
      </c>
      <c r="O211" s="149">
        <f t="shared" si="52"/>
        <v>187.64063598675946</v>
      </c>
      <c r="P211" s="131">
        <f t="shared" si="45"/>
        <v>123.0263827009025</v>
      </c>
      <c r="Q211" s="148">
        <f t="shared" si="53"/>
        <v>6.9699712688263151</v>
      </c>
    </row>
    <row r="212" spans="1:17" x14ac:dyDescent="0.25">
      <c r="A212">
        <f t="shared" si="54"/>
        <v>201</v>
      </c>
      <c r="B212" s="150">
        <f t="shared" si="55"/>
        <v>61.750000000000476</v>
      </c>
      <c r="C212">
        <v>0.01</v>
      </c>
      <c r="D212">
        <f t="shared" si="46"/>
        <v>0.99</v>
      </c>
      <c r="E212">
        <f t="shared" si="56"/>
        <v>0.13263987810938213</v>
      </c>
      <c r="F212">
        <v>2000</v>
      </c>
      <c r="G212">
        <f t="shared" si="57"/>
        <v>112.06585042391299</v>
      </c>
      <c r="H212">
        <f t="shared" si="47"/>
        <v>0.99570564446549459</v>
      </c>
      <c r="I212">
        <f t="shared" si="58"/>
        <v>0.42104138212641568</v>
      </c>
      <c r="J212" s="149">
        <f t="shared" si="48"/>
        <v>111.69375520850711</v>
      </c>
      <c r="K212" s="149">
        <f t="shared" si="49"/>
        <v>6.2585278322408557</v>
      </c>
      <c r="L212">
        <f t="shared" si="50"/>
        <v>7.4999999999999997E-3</v>
      </c>
      <c r="M212">
        <f t="shared" si="51"/>
        <v>0.99250000000000005</v>
      </c>
      <c r="N212">
        <f t="shared" si="59"/>
        <v>0.2202082585608684</v>
      </c>
      <c r="O212" s="149">
        <f t="shared" si="52"/>
        <v>185.43357908023827</v>
      </c>
      <c r="P212" s="131">
        <f t="shared" si="45"/>
        <v>123.2724354663043</v>
      </c>
      <c r="Q212" s="148">
        <f t="shared" si="53"/>
        <v>6.8843806154649423</v>
      </c>
    </row>
    <row r="213" spans="1:17" x14ac:dyDescent="0.25">
      <c r="A213">
        <f t="shared" si="54"/>
        <v>202</v>
      </c>
      <c r="B213" s="150">
        <f t="shared" si="55"/>
        <v>61.833333333333812</v>
      </c>
      <c r="C213">
        <v>0.01</v>
      </c>
      <c r="D213">
        <f t="shared" si="46"/>
        <v>0.99</v>
      </c>
      <c r="E213">
        <f t="shared" si="56"/>
        <v>0.1313134793282883</v>
      </c>
      <c r="F213">
        <v>2000</v>
      </c>
      <c r="G213">
        <f t="shared" si="57"/>
        <v>112.28998212476081</v>
      </c>
      <c r="H213">
        <f t="shared" si="47"/>
        <v>0.99570564446549459</v>
      </c>
      <c r="I213">
        <f t="shared" si="58"/>
        <v>0.41923328073682531</v>
      </c>
      <c r="J213" s="149">
        <f t="shared" si="48"/>
        <v>110.1019614875312</v>
      </c>
      <c r="K213" s="149">
        <f t="shared" si="49"/>
        <v>6.18167364366799</v>
      </c>
      <c r="L213">
        <f t="shared" si="50"/>
        <v>7.4999999999999997E-3</v>
      </c>
      <c r="M213">
        <f t="shared" si="51"/>
        <v>0.99250000000000005</v>
      </c>
      <c r="N213">
        <f t="shared" si="59"/>
        <v>0.21855669662166188</v>
      </c>
      <c r="O213" s="149">
        <f t="shared" si="52"/>
        <v>183.25248190340466</v>
      </c>
      <c r="P213" s="131">
        <f t="shared" si="45"/>
        <v>123.5189803372369</v>
      </c>
      <c r="Q213" s="148">
        <f t="shared" si="53"/>
        <v>6.7998410080347886</v>
      </c>
    </row>
    <row r="214" spans="1:17" x14ac:dyDescent="0.25">
      <c r="A214">
        <f t="shared" si="54"/>
        <v>203</v>
      </c>
      <c r="B214" s="150">
        <f t="shared" si="55"/>
        <v>61.916666666667147</v>
      </c>
      <c r="C214">
        <v>0.01</v>
      </c>
      <c r="D214">
        <f t="shared" si="46"/>
        <v>0.99</v>
      </c>
      <c r="E214">
        <f t="shared" si="56"/>
        <v>0.13000034453500542</v>
      </c>
      <c r="F214">
        <v>2000</v>
      </c>
      <c r="G214">
        <f t="shared" si="57"/>
        <v>112.51456208901034</v>
      </c>
      <c r="H214">
        <f t="shared" si="47"/>
        <v>0.99570564446549459</v>
      </c>
      <c r="I214">
        <f t="shared" si="58"/>
        <v>0.41743294397744424</v>
      </c>
      <c r="J214" s="149">
        <f t="shared" si="48"/>
        <v>108.53285307465873</v>
      </c>
      <c r="K214" s="149">
        <f t="shared" si="49"/>
        <v>6.1057632179830632</v>
      </c>
      <c r="L214">
        <f t="shared" si="50"/>
        <v>7.4999999999999997E-3</v>
      </c>
      <c r="M214">
        <f t="shared" si="51"/>
        <v>0.99250000000000005</v>
      </c>
      <c r="N214">
        <f t="shared" si="59"/>
        <v>0.21691752139699944</v>
      </c>
      <c r="O214" s="149">
        <f t="shared" si="52"/>
        <v>181.09703911407945</v>
      </c>
      <c r="P214" s="131">
        <f t="shared" si="45"/>
        <v>123.76601829791139</v>
      </c>
      <c r="Q214" s="148">
        <f t="shared" si="53"/>
        <v>6.7163395397813694</v>
      </c>
    </row>
    <row r="215" spans="1:17" x14ac:dyDescent="0.25">
      <c r="A215">
        <f t="shared" si="54"/>
        <v>204</v>
      </c>
      <c r="B215" s="150">
        <f t="shared" si="55"/>
        <v>62.000000000000483</v>
      </c>
      <c r="C215">
        <v>0.01</v>
      </c>
      <c r="D215">
        <f t="shared" si="46"/>
        <v>0.99</v>
      </c>
      <c r="E215">
        <f t="shared" si="56"/>
        <v>0.12870034108965536</v>
      </c>
      <c r="F215">
        <v>2000</v>
      </c>
      <c r="G215">
        <f t="shared" si="57"/>
        <v>112.73959121318836</v>
      </c>
      <c r="H215">
        <f t="shared" si="47"/>
        <v>0.99570564446549459</v>
      </c>
      <c r="I215">
        <f t="shared" si="58"/>
        <v>0.4156403385041898</v>
      </c>
      <c r="J215" s="149">
        <f t="shared" si="48"/>
        <v>106.98610667221807</v>
      </c>
      <c r="K215" s="149">
        <f t="shared" si="49"/>
        <v>6.0307849658582153</v>
      </c>
      <c r="L215">
        <f t="shared" si="50"/>
        <v>7.4999999999999997E-3</v>
      </c>
      <c r="M215">
        <f t="shared" si="51"/>
        <v>0.99250000000000005</v>
      </c>
      <c r="N215">
        <f t="shared" si="59"/>
        <v>0.21529063998652195</v>
      </c>
      <c r="O215" s="149">
        <f t="shared" si="52"/>
        <v>178.9669489615633</v>
      </c>
      <c r="P215" s="131">
        <f t="shared" si="45"/>
        <v>124.01355033450722</v>
      </c>
      <c r="Q215" s="148">
        <f t="shared" si="53"/>
        <v>6.6338634624440385</v>
      </c>
    </row>
    <row r="216" spans="1:17" x14ac:dyDescent="0.25">
      <c r="A216">
        <f t="shared" si="54"/>
        <v>205</v>
      </c>
      <c r="B216" s="150">
        <f t="shared" si="55"/>
        <v>62.083333333333819</v>
      </c>
      <c r="C216">
        <v>0.01</v>
      </c>
      <c r="D216">
        <f t="shared" si="46"/>
        <v>0.99</v>
      </c>
      <c r="E216">
        <f t="shared" si="56"/>
        <v>0.12741333767875881</v>
      </c>
      <c r="F216">
        <v>2000</v>
      </c>
      <c r="G216">
        <f t="shared" si="57"/>
        <v>112.96507039561475</v>
      </c>
      <c r="H216">
        <f t="shared" si="47"/>
        <v>0.99570564446549459</v>
      </c>
      <c r="I216">
        <f t="shared" si="58"/>
        <v>0.41385543111617062</v>
      </c>
      <c r="J216" s="149">
        <f t="shared" si="48"/>
        <v>105.46140358998591</v>
      </c>
      <c r="K216" s="149">
        <f t="shared" si="49"/>
        <v>5.956727440281548</v>
      </c>
      <c r="L216">
        <f t="shared" si="50"/>
        <v>7.4999999999999997E-3</v>
      </c>
      <c r="M216">
        <f t="shared" si="51"/>
        <v>0.99250000000000005</v>
      </c>
      <c r="N216">
        <f t="shared" si="59"/>
        <v>0.21367596018662305</v>
      </c>
      <c r="O216" s="149">
        <f t="shared" si="52"/>
        <v>176.86191324439318</v>
      </c>
      <c r="P216" s="131">
        <f t="shared" ref="P216:P251" si="60">G216*1.1</f>
        <v>124.26157743517624</v>
      </c>
      <c r="Q216" s="148">
        <f t="shared" si="53"/>
        <v>6.5524001843097031</v>
      </c>
    </row>
    <row r="217" spans="1:17" x14ac:dyDescent="0.25">
      <c r="A217">
        <f t="shared" si="54"/>
        <v>206</v>
      </c>
      <c r="B217" s="150">
        <f t="shared" si="55"/>
        <v>62.166666666667155</v>
      </c>
      <c r="C217">
        <v>0.01</v>
      </c>
      <c r="D217">
        <f t="shared" si="46"/>
        <v>0.99</v>
      </c>
      <c r="E217">
        <f t="shared" si="56"/>
        <v>0.12613920430197123</v>
      </c>
      <c r="F217">
        <v>2000</v>
      </c>
      <c r="G217">
        <f t="shared" si="57"/>
        <v>113.19100053640598</v>
      </c>
      <c r="H217">
        <f t="shared" si="47"/>
        <v>0.99570564446549459</v>
      </c>
      <c r="I217">
        <f t="shared" si="58"/>
        <v>0.41207818875507179</v>
      </c>
      <c r="J217" s="149">
        <f t="shared" si="48"/>
        <v>103.95842967952453</v>
      </c>
      <c r="K217" s="149">
        <f t="shared" si="49"/>
        <v>5.8835793348094922</v>
      </c>
      <c r="L217">
        <f t="shared" si="50"/>
        <v>7.4999999999999997E-3</v>
      </c>
      <c r="M217">
        <f t="shared" si="51"/>
        <v>0.99250000000000005</v>
      </c>
      <c r="N217">
        <f t="shared" si="59"/>
        <v>0.21207339048522339</v>
      </c>
      <c r="O217" s="149">
        <f t="shared" si="52"/>
        <v>174.78163726859586</v>
      </c>
      <c r="P217" s="131">
        <f t="shared" si="60"/>
        <v>124.51010059004659</v>
      </c>
      <c r="Q217" s="148">
        <f t="shared" si="53"/>
        <v>6.4719372682904419</v>
      </c>
    </row>
    <row r="218" spans="1:17" x14ac:dyDescent="0.25">
      <c r="A218">
        <f t="shared" si="54"/>
        <v>207</v>
      </c>
      <c r="B218" s="150">
        <f t="shared" si="55"/>
        <v>62.25000000000049</v>
      </c>
      <c r="C218">
        <v>0.01</v>
      </c>
      <c r="D218">
        <f t="shared" si="46"/>
        <v>0.99</v>
      </c>
      <c r="E218">
        <f t="shared" si="56"/>
        <v>0.12487781225895152</v>
      </c>
      <c r="F218">
        <v>2000</v>
      </c>
      <c r="G218">
        <f t="shared" si="57"/>
        <v>113.41738253747879</v>
      </c>
      <c r="H218">
        <f t="shared" si="47"/>
        <v>0.99570564446549459</v>
      </c>
      <c r="I218">
        <f t="shared" si="58"/>
        <v>0.4103085785045425</v>
      </c>
      <c r="J218" s="149">
        <f t="shared" si="48"/>
        <v>102.47687526945506</v>
      </c>
      <c r="K218" s="149">
        <f t="shared" si="49"/>
        <v>5.8113294818406418</v>
      </c>
      <c r="L218">
        <f t="shared" si="50"/>
        <v>7.4999999999999997E-3</v>
      </c>
      <c r="M218">
        <f t="shared" si="51"/>
        <v>0.99250000000000005</v>
      </c>
      <c r="N218">
        <f t="shared" si="59"/>
        <v>0.21048284005658421</v>
      </c>
      <c r="O218" s="149">
        <f t="shared" si="52"/>
        <v>172.7258298064321</v>
      </c>
      <c r="P218" s="131">
        <f t="shared" si="60"/>
        <v>124.75912079122668</v>
      </c>
      <c r="Q218" s="148">
        <f t="shared" si="53"/>
        <v>6.3924624300247066</v>
      </c>
    </row>
    <row r="219" spans="1:17" x14ac:dyDescent="0.25">
      <c r="A219">
        <f t="shared" si="54"/>
        <v>208</v>
      </c>
      <c r="B219" s="150">
        <f t="shared" si="55"/>
        <v>62.333333333333826</v>
      </c>
      <c r="C219">
        <v>0.01</v>
      </c>
      <c r="D219">
        <f t="shared" si="46"/>
        <v>0.99</v>
      </c>
      <c r="E219">
        <f t="shared" si="56"/>
        <v>0.123629034136362</v>
      </c>
      <c r="F219">
        <v>2000</v>
      </c>
      <c r="G219">
        <f t="shared" si="57"/>
        <v>113.64421730255374</v>
      </c>
      <c r="H219">
        <f t="shared" si="47"/>
        <v>0.99570564446549459</v>
      </c>
      <c r="I219">
        <f t="shared" si="58"/>
        <v>0.40854656758958646</v>
      </c>
      <c r="J219" s="149">
        <f t="shared" si="48"/>
        <v>101.01643510165303</v>
      </c>
      <c r="K219" s="149">
        <f t="shared" si="49"/>
        <v>5.7399668509107862</v>
      </c>
      <c r="L219">
        <f t="shared" si="50"/>
        <v>7.4999999999999997E-3</v>
      </c>
      <c r="M219">
        <f t="shared" si="51"/>
        <v>0.99250000000000005</v>
      </c>
      <c r="N219">
        <f t="shared" si="59"/>
        <v>0.20890421875615983</v>
      </c>
      <c r="O219" s="149">
        <f t="shared" si="52"/>
        <v>170.69420305562642</v>
      </c>
      <c r="P219" s="131">
        <f t="shared" si="60"/>
        <v>125.00863903280913</v>
      </c>
      <c r="Q219" s="148">
        <f t="shared" si="53"/>
        <v>6.3139635360018662</v>
      </c>
    </row>
    <row r="220" spans="1:17" x14ac:dyDescent="0.25">
      <c r="A220">
        <f t="shared" si="54"/>
        <v>209</v>
      </c>
      <c r="B220" s="150">
        <f t="shared" si="55"/>
        <v>62.416666666667162</v>
      </c>
      <c r="C220">
        <v>0.01</v>
      </c>
      <c r="D220">
        <f t="shared" si="46"/>
        <v>0.99</v>
      </c>
      <c r="E220">
        <f t="shared" si="56"/>
        <v>0.12239274379499838</v>
      </c>
      <c r="F220">
        <v>2000</v>
      </c>
      <c r="G220">
        <f t="shared" si="57"/>
        <v>113.87150573715886</v>
      </c>
      <c r="H220">
        <f t="shared" si="47"/>
        <v>0.99570564446549459</v>
      </c>
      <c r="I220">
        <f t="shared" si="58"/>
        <v>0.40679212337595494</v>
      </c>
      <c r="J220" s="149">
        <f t="shared" si="48"/>
        <v>99.576808268353247</v>
      </c>
      <c r="K220" s="149">
        <f t="shared" si="49"/>
        <v>5.6694805470088774</v>
      </c>
      <c r="L220">
        <f t="shared" si="50"/>
        <v>7.4999999999999997E-3</v>
      </c>
      <c r="M220">
        <f t="shared" si="51"/>
        <v>0.99250000000000005</v>
      </c>
      <c r="N220">
        <f t="shared" si="59"/>
        <v>0.20733743711548863</v>
      </c>
      <c r="O220" s="149">
        <f t="shared" si="52"/>
        <v>168.6864725990763</v>
      </c>
      <c r="P220" s="131">
        <f t="shared" si="60"/>
        <v>125.25865631087476</v>
      </c>
      <c r="Q220" s="148">
        <f t="shared" si="53"/>
        <v>6.2364286017097657</v>
      </c>
    </row>
    <row r="221" spans="1:17" x14ac:dyDescent="0.25">
      <c r="A221">
        <f t="shared" si="54"/>
        <v>210</v>
      </c>
      <c r="B221" s="150">
        <f t="shared" si="55"/>
        <v>62.500000000000497</v>
      </c>
      <c r="C221">
        <v>0.01</v>
      </c>
      <c r="D221">
        <f t="shared" si="46"/>
        <v>0.99</v>
      </c>
      <c r="E221">
        <f t="shared" si="56"/>
        <v>0.1211688163570484</v>
      </c>
      <c r="F221">
        <v>2000</v>
      </c>
      <c r="G221">
        <f t="shared" si="57"/>
        <v>114.09924874863317</v>
      </c>
      <c r="H221">
        <f t="shared" si="47"/>
        <v>0.99570564446549459</v>
      </c>
      <c r="I221">
        <f t="shared" si="58"/>
        <v>0.40504521336954219</v>
      </c>
      <c r="J221" s="149">
        <f t="shared" si="48"/>
        <v>98.157698150151091</v>
      </c>
      <c r="K221" s="149">
        <f t="shared" si="49"/>
        <v>5.5998598089136697</v>
      </c>
      <c r="L221">
        <f t="shared" si="50"/>
        <v>7.4999999999999997E-3</v>
      </c>
      <c r="M221">
        <f t="shared" si="51"/>
        <v>0.99250000000000005</v>
      </c>
      <c r="N221">
        <f t="shared" si="59"/>
        <v>0.20578240633712247</v>
      </c>
      <c r="O221" s="149">
        <f t="shared" si="52"/>
        <v>166.7023573650352</v>
      </c>
      <c r="P221" s="131">
        <f t="shared" si="60"/>
        <v>125.50917362349649</v>
      </c>
      <c r="Q221" s="148">
        <f t="shared" si="53"/>
        <v>6.1598457898050372</v>
      </c>
    </row>
    <row r="222" spans="1:17" x14ac:dyDescent="0.25">
      <c r="A222">
        <f t="shared" si="54"/>
        <v>211</v>
      </c>
      <c r="B222" s="150">
        <f t="shared" si="55"/>
        <v>62.583333333333833</v>
      </c>
      <c r="C222">
        <v>0.01</v>
      </c>
      <c r="D222">
        <f t="shared" si="46"/>
        <v>0.99</v>
      </c>
      <c r="E222">
        <f t="shared" si="56"/>
        <v>0.11995712819347792</v>
      </c>
      <c r="F222">
        <v>2000</v>
      </c>
      <c r="G222">
        <f t="shared" si="57"/>
        <v>114.32744724613043</v>
      </c>
      <c r="H222">
        <f t="shared" si="47"/>
        <v>0.99570564446549459</v>
      </c>
      <c r="I222">
        <f t="shared" si="58"/>
        <v>0.4033058052157838</v>
      </c>
      <c r="J222" s="149">
        <f t="shared" si="48"/>
        <v>96.758812354887226</v>
      </c>
      <c r="K222" s="149">
        <f t="shared" si="49"/>
        <v>5.5310940075508022</v>
      </c>
      <c r="L222">
        <f t="shared" si="50"/>
        <v>7.4999999999999997E-3</v>
      </c>
      <c r="M222">
        <f t="shared" si="51"/>
        <v>0.99250000000000005</v>
      </c>
      <c r="N222">
        <f t="shared" si="59"/>
        <v>0.20423903828959405</v>
      </c>
      <c r="O222" s="149">
        <f t="shared" si="52"/>
        <v>164.74157958776405</v>
      </c>
      <c r="P222" s="131">
        <f t="shared" si="60"/>
        <v>125.76019197074349</v>
      </c>
      <c r="Q222" s="148">
        <f t="shared" si="53"/>
        <v>6.084203408305882</v>
      </c>
    </row>
    <row r="223" spans="1:17" x14ac:dyDescent="0.25">
      <c r="A223">
        <f t="shared" si="54"/>
        <v>212</v>
      </c>
      <c r="B223" s="150">
        <f t="shared" si="55"/>
        <v>62.666666666667169</v>
      </c>
      <c r="C223">
        <v>0.01</v>
      </c>
      <c r="D223">
        <f t="shared" si="46"/>
        <v>0.99</v>
      </c>
      <c r="E223">
        <f t="shared" si="56"/>
        <v>0.11875755691154315</v>
      </c>
      <c r="F223">
        <v>2000</v>
      </c>
      <c r="G223">
        <f t="shared" si="57"/>
        <v>114.5561021406227</v>
      </c>
      <c r="H223">
        <f t="shared" si="47"/>
        <v>0.99570564446549459</v>
      </c>
      <c r="I223">
        <f t="shared" si="58"/>
        <v>0.40157386669905726</v>
      </c>
      <c r="J223" s="149">
        <f t="shared" si="48"/>
        <v>95.379862657403464</v>
      </c>
      <c r="K223" s="149">
        <f t="shared" si="49"/>
        <v>5.4631726443700384</v>
      </c>
      <c r="L223">
        <f t="shared" si="50"/>
        <v>7.4999999999999997E-3</v>
      </c>
      <c r="M223">
        <f t="shared" si="51"/>
        <v>0.99250000000000005</v>
      </c>
      <c r="N223">
        <f t="shared" si="59"/>
        <v>0.20270724550242211</v>
      </c>
      <c r="O223" s="149">
        <f t="shared" si="52"/>
        <v>162.80386476864547</v>
      </c>
      <c r="P223" s="131">
        <f t="shared" si="60"/>
        <v>126.01171235468497</v>
      </c>
      <c r="Q223" s="148">
        <f t="shared" si="53"/>
        <v>6.0094899088070424</v>
      </c>
    </row>
    <row r="224" spans="1:17" x14ac:dyDescent="0.25">
      <c r="A224">
        <f t="shared" si="54"/>
        <v>213</v>
      </c>
      <c r="B224" s="150">
        <f t="shared" si="55"/>
        <v>62.750000000000504</v>
      </c>
      <c r="C224">
        <v>0.01</v>
      </c>
      <c r="D224">
        <f t="shared" si="46"/>
        <v>0.99</v>
      </c>
      <c r="E224">
        <f t="shared" si="56"/>
        <v>0.11756998134242772</v>
      </c>
      <c r="F224">
        <v>2000</v>
      </c>
      <c r="G224">
        <f t="shared" si="57"/>
        <v>114.78521434490395</v>
      </c>
      <c r="H224">
        <f t="shared" si="47"/>
        <v>0.99570564446549459</v>
      </c>
      <c r="I224">
        <f t="shared" si="58"/>
        <v>0.39984936574208541</v>
      </c>
      <c r="J224" s="149">
        <f t="shared" si="48"/>
        <v>94.020564940157072</v>
      </c>
      <c r="K224" s="149">
        <f t="shared" si="49"/>
        <v>5.396085349742445</v>
      </c>
      <c r="L224">
        <f t="shared" si="50"/>
        <v>7.4999999999999997E-3</v>
      </c>
      <c r="M224">
        <f t="shared" si="51"/>
        <v>0.99250000000000005</v>
      </c>
      <c r="N224">
        <f t="shared" si="59"/>
        <v>0.20118694116115396</v>
      </c>
      <c r="O224" s="149">
        <f t="shared" si="52"/>
        <v>160.88894163775532</v>
      </c>
      <c r="P224" s="131">
        <f t="shared" si="60"/>
        <v>126.26373577939435</v>
      </c>
      <c r="Q224" s="148">
        <f t="shared" si="53"/>
        <v>5.9356938847166907</v>
      </c>
    </row>
    <row r="225" spans="1:17" x14ac:dyDescent="0.25">
      <c r="A225">
        <f t="shared" si="54"/>
        <v>214</v>
      </c>
      <c r="B225" s="150">
        <f t="shared" si="55"/>
        <v>62.83333333333384</v>
      </c>
      <c r="C225">
        <v>0.01</v>
      </c>
      <c r="D225">
        <f t="shared" si="46"/>
        <v>0.99</v>
      </c>
      <c r="E225">
        <f t="shared" si="56"/>
        <v>0.11639428152900344</v>
      </c>
      <c r="F225">
        <v>2000</v>
      </c>
      <c r="G225">
        <f t="shared" si="57"/>
        <v>115.01478477359376</v>
      </c>
      <c r="H225">
        <f t="shared" si="47"/>
        <v>0.99570564446549459</v>
      </c>
      <c r="I225">
        <f t="shared" si="58"/>
        <v>0.39813227040534238</v>
      </c>
      <c r="J225" s="149">
        <f t="shared" si="48"/>
        <v>92.680639134681485</v>
      </c>
      <c r="K225" s="149">
        <f t="shared" si="49"/>
        <v>5.3298218813772511</v>
      </c>
      <c r="L225">
        <f t="shared" si="50"/>
        <v>7.4999999999999997E-3</v>
      </c>
      <c r="M225">
        <f t="shared" si="51"/>
        <v>0.99250000000000005</v>
      </c>
      <c r="N225">
        <f t="shared" si="59"/>
        <v>0.1996780391024453</v>
      </c>
      <c r="O225" s="149">
        <f t="shared" si="52"/>
        <v>158.99654211588657</v>
      </c>
      <c r="P225" s="131">
        <f t="shared" si="60"/>
        <v>126.51626325095314</v>
      </c>
      <c r="Q225" s="148">
        <f t="shared" si="53"/>
        <v>5.8628040695149775</v>
      </c>
    </row>
    <row r="226" spans="1:17" x14ac:dyDescent="0.25">
      <c r="A226">
        <f t="shared" si="54"/>
        <v>215</v>
      </c>
      <c r="B226" s="150">
        <f t="shared" si="55"/>
        <v>62.916666666667176</v>
      </c>
      <c r="C226">
        <v>0.01</v>
      </c>
      <c r="D226">
        <f t="shared" si="46"/>
        <v>0.99</v>
      </c>
      <c r="E226">
        <f t="shared" si="56"/>
        <v>0.11523033871371341</v>
      </c>
      <c r="F226">
        <v>2000</v>
      </c>
      <c r="G226">
        <f t="shared" si="57"/>
        <v>115.24481434314094</v>
      </c>
      <c r="H226">
        <f t="shared" si="47"/>
        <v>0.99570564446549459</v>
      </c>
      <c r="I226">
        <f t="shared" si="58"/>
        <v>0.396422548886462</v>
      </c>
      <c r="J226" s="149">
        <f t="shared" si="48"/>
        <v>91.359809163881252</v>
      </c>
      <c r="K226" s="149">
        <f t="shared" si="49"/>
        <v>5.2643721227581413</v>
      </c>
      <c r="L226">
        <f t="shared" si="50"/>
        <v>7.4999999999999997E-3</v>
      </c>
      <c r="M226">
        <f t="shared" si="51"/>
        <v>0.99250000000000005</v>
      </c>
      <c r="N226">
        <f t="shared" si="59"/>
        <v>0.19818045380917698</v>
      </c>
      <c r="O226" s="149">
        <f t="shared" si="52"/>
        <v>157.12640127701937</v>
      </c>
      <c r="P226" s="131">
        <f t="shared" si="60"/>
        <v>126.76929577745506</v>
      </c>
      <c r="Q226" s="148">
        <f t="shared" si="53"/>
        <v>5.7908093350339556</v>
      </c>
    </row>
    <row r="227" spans="1:17" x14ac:dyDescent="0.25">
      <c r="A227">
        <f t="shared" si="54"/>
        <v>216</v>
      </c>
      <c r="B227" s="150">
        <f t="shared" si="55"/>
        <v>63.000000000000512</v>
      </c>
      <c r="C227">
        <v>0.01</v>
      </c>
      <c r="D227">
        <f t="shared" si="46"/>
        <v>0.99</v>
      </c>
      <c r="E227">
        <f t="shared" si="56"/>
        <v>0.11407803532657627</v>
      </c>
      <c r="F227">
        <v>2000</v>
      </c>
      <c r="G227">
        <f t="shared" si="57"/>
        <v>115.47530397182723</v>
      </c>
      <c r="H227">
        <f t="shared" si="47"/>
        <v>0.99570564446549459</v>
      </c>
      <c r="I227">
        <f t="shared" si="58"/>
        <v>0.39472016951964867</v>
      </c>
      <c r="J227" s="149">
        <f t="shared" si="48"/>
        <v>90.057802885149314</v>
      </c>
      <c r="K227" s="149">
        <f t="shared" si="49"/>
        <v>5.199726081598758</v>
      </c>
      <c r="L227">
        <f t="shared" si="50"/>
        <v>7.4999999999999997E-3</v>
      </c>
      <c r="M227">
        <f t="shared" si="51"/>
        <v>0.99250000000000005</v>
      </c>
      <c r="N227">
        <f t="shared" si="59"/>
        <v>0.19669410040560817</v>
      </c>
      <c r="O227" s="149">
        <f t="shared" si="52"/>
        <v>155.27825731123289</v>
      </c>
      <c r="P227" s="131">
        <f t="shared" si="60"/>
        <v>127.02283436900997</v>
      </c>
      <c r="Q227" s="148">
        <f t="shared" si="53"/>
        <v>5.7196986897586344</v>
      </c>
    </row>
    <row r="228" spans="1:17" x14ac:dyDescent="0.25">
      <c r="A228">
        <f t="shared" si="54"/>
        <v>217</v>
      </c>
      <c r="B228" s="150">
        <f t="shared" si="55"/>
        <v>63.083333333333847</v>
      </c>
      <c r="C228">
        <v>0.01</v>
      </c>
      <c r="D228">
        <f t="shared" si="46"/>
        <v>0.99</v>
      </c>
      <c r="E228">
        <f t="shared" si="56"/>
        <v>0.11293725497331052</v>
      </c>
      <c r="F228">
        <v>2000</v>
      </c>
      <c r="G228">
        <f t="shared" si="57"/>
        <v>115.70625457977089</v>
      </c>
      <c r="H228">
        <f t="shared" si="47"/>
        <v>0.99570564446549459</v>
      </c>
      <c r="I228">
        <f t="shared" si="58"/>
        <v>0.39302510077509106</v>
      </c>
      <c r="J228" s="149">
        <f t="shared" si="48"/>
        <v>88.774352034295035</v>
      </c>
      <c r="K228" s="149">
        <f t="shared" si="49"/>
        <v>5.135873888317172</v>
      </c>
      <c r="L228">
        <f t="shared" si="50"/>
        <v>7.4999999999999997E-3</v>
      </c>
      <c r="M228">
        <f t="shared" si="51"/>
        <v>0.99250000000000005</v>
      </c>
      <c r="N228">
        <f t="shared" si="59"/>
        <v>0.19521889465256612</v>
      </c>
      <c r="O228" s="149">
        <f t="shared" si="52"/>
        <v>153.45185148805336</v>
      </c>
      <c r="P228" s="131">
        <f t="shared" si="60"/>
        <v>127.27688003774799</v>
      </c>
      <c r="Q228" s="148">
        <f t="shared" si="53"/>
        <v>5.6494612771488901</v>
      </c>
    </row>
    <row r="229" spans="1:17" x14ac:dyDescent="0.25">
      <c r="A229">
        <f t="shared" si="54"/>
        <v>218</v>
      </c>
      <c r="B229" s="150">
        <f t="shared" si="55"/>
        <v>63.166666666667183</v>
      </c>
      <c r="C229">
        <v>0.01</v>
      </c>
      <c r="D229">
        <f t="shared" si="46"/>
        <v>0.99</v>
      </c>
      <c r="E229">
        <f t="shared" si="56"/>
        <v>0.11180788242357741</v>
      </c>
      <c r="F229">
        <v>2000</v>
      </c>
      <c r="G229">
        <f t="shared" si="57"/>
        <v>115.93766708893043</v>
      </c>
      <c r="H229">
        <f t="shared" si="47"/>
        <v>0.99570564446549459</v>
      </c>
      <c r="I229">
        <f t="shared" si="58"/>
        <v>0.39133731125837801</v>
      </c>
      <c r="J229" s="149">
        <f t="shared" si="48"/>
        <v>87.509192170271291</v>
      </c>
      <c r="K229" s="149">
        <f t="shared" si="49"/>
        <v>5.0728057945290743</v>
      </c>
      <c r="L229">
        <f t="shared" si="50"/>
        <v>7.4999999999999997E-3</v>
      </c>
      <c r="M229">
        <f t="shared" si="51"/>
        <v>0.99250000000000005</v>
      </c>
      <c r="N229">
        <f t="shared" si="59"/>
        <v>0.19375475294267189</v>
      </c>
      <c r="O229" s="149">
        <f t="shared" si="52"/>
        <v>151.64692812023304</v>
      </c>
      <c r="P229" s="131">
        <f t="shared" si="60"/>
        <v>127.53143379782348</v>
      </c>
      <c r="Q229" s="148">
        <f t="shared" si="53"/>
        <v>5.5800863739819828</v>
      </c>
    </row>
    <row r="230" spans="1:17" x14ac:dyDescent="0.25">
      <c r="A230">
        <f t="shared" si="54"/>
        <v>219</v>
      </c>
      <c r="B230" s="150">
        <f t="shared" si="55"/>
        <v>63.250000000000519</v>
      </c>
      <c r="C230">
        <v>0.01</v>
      </c>
      <c r="D230">
        <f t="shared" si="46"/>
        <v>0.99</v>
      </c>
      <c r="E230">
        <f t="shared" si="56"/>
        <v>0.11068980359934164</v>
      </c>
      <c r="F230">
        <v>2000</v>
      </c>
      <c r="G230">
        <f t="shared" si="57"/>
        <v>116.16954242310828</v>
      </c>
      <c r="H230">
        <f t="shared" si="47"/>
        <v>0.99570564446549459</v>
      </c>
      <c r="I230">
        <f t="shared" si="58"/>
        <v>0.38965676970991714</v>
      </c>
      <c r="J230" s="149">
        <f t="shared" si="48"/>
        <v>86.262062620689235</v>
      </c>
      <c r="K230" s="149">
        <f t="shared" si="49"/>
        <v>5.0105121715594914</v>
      </c>
      <c r="L230">
        <f t="shared" si="50"/>
        <v>7.4999999999999997E-3</v>
      </c>
      <c r="M230">
        <f t="shared" si="51"/>
        <v>0.99250000000000005</v>
      </c>
      <c r="N230">
        <f t="shared" si="59"/>
        <v>0.19230159229560187</v>
      </c>
      <c r="O230" s="149">
        <f t="shared" si="52"/>
        <v>149.86323452795543</v>
      </c>
      <c r="P230" s="131">
        <f t="shared" si="60"/>
        <v>127.78649666541912</v>
      </c>
      <c r="Q230" s="148">
        <f t="shared" si="53"/>
        <v>5.5115633887154409</v>
      </c>
    </row>
    <row r="231" spans="1:17" x14ac:dyDescent="0.25">
      <c r="A231">
        <f t="shared" si="54"/>
        <v>220</v>
      </c>
      <c r="B231" s="150">
        <f t="shared" si="55"/>
        <v>63.333333333333854</v>
      </c>
      <c r="C231">
        <v>0.01</v>
      </c>
      <c r="D231">
        <f t="shared" si="46"/>
        <v>0.99</v>
      </c>
      <c r="E231">
        <f t="shared" si="56"/>
        <v>0.10958290556334822</v>
      </c>
      <c r="F231">
        <v>2000</v>
      </c>
      <c r="G231">
        <f t="shared" si="57"/>
        <v>116.4018815079545</v>
      </c>
      <c r="H231">
        <f t="shared" si="47"/>
        <v>0.99570564446549459</v>
      </c>
      <c r="I231">
        <f t="shared" si="58"/>
        <v>0.38798344500435583</v>
      </c>
      <c r="J231" s="149">
        <f t="shared" si="48"/>
        <v>85.032706428109663</v>
      </c>
      <c r="K231" s="149">
        <f t="shared" si="49"/>
        <v>4.9489835089727512</v>
      </c>
      <c r="L231">
        <f t="shared" si="50"/>
        <v>7.4999999999999997E-3</v>
      </c>
      <c r="M231">
        <f t="shared" si="51"/>
        <v>0.99250000000000005</v>
      </c>
      <c r="N231">
        <f t="shared" si="59"/>
        <v>0.19085933035338487</v>
      </c>
      <c r="O231" s="149">
        <f t="shared" si="52"/>
        <v>148.10052100346135</v>
      </c>
      <c r="P231" s="131">
        <f t="shared" si="60"/>
        <v>128.04206965874997</v>
      </c>
      <c r="Q231" s="148">
        <f t="shared" si="53"/>
        <v>5.4438818598700269</v>
      </c>
    </row>
    <row r="232" spans="1:17" x14ac:dyDescent="0.25">
      <c r="A232">
        <f t="shared" si="54"/>
        <v>221</v>
      </c>
      <c r="B232" s="150">
        <f t="shared" si="55"/>
        <v>63.41666666666719</v>
      </c>
      <c r="C232">
        <v>0.01</v>
      </c>
      <c r="D232">
        <f t="shared" si="46"/>
        <v>0.99</v>
      </c>
      <c r="E232">
        <f t="shared" si="56"/>
        <v>0.10848707650771475</v>
      </c>
      <c r="F232">
        <v>2000</v>
      </c>
      <c r="G232">
        <f t="shared" si="57"/>
        <v>116.63468527097041</v>
      </c>
      <c r="H232">
        <f t="shared" si="47"/>
        <v>0.99570564446549459</v>
      </c>
      <c r="I232">
        <f t="shared" si="58"/>
        <v>0.38631730615000492</v>
      </c>
      <c r="J232" s="149">
        <f t="shared" si="48"/>
        <v>83.820870297099688</v>
      </c>
      <c r="K232" s="149">
        <f t="shared" si="49"/>
        <v>4.8882104131205271</v>
      </c>
      <c r="L232">
        <f t="shared" si="50"/>
        <v>7.4999999999999997E-3</v>
      </c>
      <c r="M232">
        <f t="shared" si="51"/>
        <v>0.99250000000000005</v>
      </c>
      <c r="N232">
        <f t="shared" si="59"/>
        <v>0.18942788537573449</v>
      </c>
      <c r="O232" s="149">
        <f t="shared" si="52"/>
        <v>146.35854077609133</v>
      </c>
      <c r="P232" s="131">
        <f t="shared" si="60"/>
        <v>128.29815379806746</v>
      </c>
      <c r="Q232" s="148">
        <f t="shared" si="53"/>
        <v>5.3770314544325801</v>
      </c>
    </row>
    <row r="233" spans="1:17" x14ac:dyDescent="0.25">
      <c r="A233">
        <f t="shared" si="54"/>
        <v>222</v>
      </c>
      <c r="B233" s="150">
        <f t="shared" si="55"/>
        <v>63.500000000000526</v>
      </c>
      <c r="C233">
        <v>0.01</v>
      </c>
      <c r="D233">
        <f t="shared" si="46"/>
        <v>0.99</v>
      </c>
      <c r="E233">
        <f t="shared" si="56"/>
        <v>0.1074022057426376</v>
      </c>
      <c r="F233">
        <v>2000</v>
      </c>
      <c r="G233">
        <f t="shared" si="57"/>
        <v>116.86795464151236</v>
      </c>
      <c r="H233">
        <f t="shared" si="47"/>
        <v>0.99570564446549459</v>
      </c>
      <c r="I233">
        <f t="shared" si="58"/>
        <v>0.38465832228826441</v>
      </c>
      <c r="J233" s="149">
        <f t="shared" si="48"/>
        <v>82.626304542043954</v>
      </c>
      <c r="K233" s="149">
        <f t="shared" si="49"/>
        <v>4.8281836057076895</v>
      </c>
      <c r="L233">
        <f t="shared" si="50"/>
        <v>7.4999999999999997E-3</v>
      </c>
      <c r="M233">
        <f t="shared" si="51"/>
        <v>0.99250000000000005</v>
      </c>
      <c r="N233">
        <f t="shared" si="59"/>
        <v>0.18800717623541649</v>
      </c>
      <c r="O233" s="149">
        <f t="shared" si="52"/>
        <v>144.63704997773874</v>
      </c>
      <c r="P233" s="131">
        <f t="shared" si="60"/>
        <v>128.5547501056636</v>
      </c>
      <c r="Q233" s="148">
        <f t="shared" si="53"/>
        <v>5.3110019662784591</v>
      </c>
    </row>
    <row r="234" spans="1:17" x14ac:dyDescent="0.25">
      <c r="A234">
        <f t="shared" si="54"/>
        <v>223</v>
      </c>
      <c r="B234" s="150">
        <f t="shared" si="55"/>
        <v>63.583333333333862</v>
      </c>
      <c r="C234">
        <v>0.01</v>
      </c>
      <c r="D234">
        <f t="shared" si="46"/>
        <v>0.99</v>
      </c>
      <c r="E234">
        <f t="shared" si="56"/>
        <v>0.10632818368521123</v>
      </c>
      <c r="F234">
        <v>2000</v>
      </c>
      <c r="G234">
        <f t="shared" si="57"/>
        <v>117.10169055079538</v>
      </c>
      <c r="H234">
        <f t="shared" si="47"/>
        <v>0.99570564446549459</v>
      </c>
      <c r="I234">
        <f t="shared" si="58"/>
        <v>0.38300646269305222</v>
      </c>
      <c r="J234" s="149">
        <f t="shared" si="48"/>
        <v>81.448763035699713</v>
      </c>
      <c r="K234" s="149">
        <f t="shared" si="49"/>
        <v>4.7688939223757849</v>
      </c>
      <c r="L234">
        <f t="shared" si="50"/>
        <v>7.4999999999999997E-3</v>
      </c>
      <c r="M234">
        <f t="shared" si="51"/>
        <v>0.99250000000000005</v>
      </c>
      <c r="N234">
        <f t="shared" si="59"/>
        <v>0.18659712241365087</v>
      </c>
      <c r="O234" s="149">
        <f t="shared" si="52"/>
        <v>142.93580760870975</v>
      </c>
      <c r="P234" s="131">
        <f t="shared" si="60"/>
        <v>128.81185960587493</v>
      </c>
      <c r="Q234" s="148">
        <f t="shared" si="53"/>
        <v>5.2457833146133641</v>
      </c>
    </row>
    <row r="235" spans="1:17" x14ac:dyDescent="0.25">
      <c r="A235">
        <f t="shared" si="54"/>
        <v>224</v>
      </c>
      <c r="B235" s="150">
        <f t="shared" si="55"/>
        <v>63.666666666667197</v>
      </c>
      <c r="C235">
        <v>0.01</v>
      </c>
      <c r="D235">
        <f t="shared" si="46"/>
        <v>0.99</v>
      </c>
      <c r="E235">
        <f t="shared" si="56"/>
        <v>0.10526490184835911</v>
      </c>
      <c r="F235">
        <v>2000</v>
      </c>
      <c r="G235">
        <f t="shared" si="57"/>
        <v>117.33589393189698</v>
      </c>
      <c r="H235">
        <f t="shared" si="47"/>
        <v>0.99570564446549459</v>
      </c>
      <c r="I235">
        <f t="shared" si="58"/>
        <v>0.38136169677023496</v>
      </c>
      <c r="J235" s="149">
        <f t="shared" si="48"/>
        <v>80.288003158484955</v>
      </c>
      <c r="K235" s="149">
        <f t="shared" si="49"/>
        <v>4.7103323113038993</v>
      </c>
      <c r="L235">
        <f t="shared" si="50"/>
        <v>7.4999999999999997E-3</v>
      </c>
      <c r="M235">
        <f t="shared" si="51"/>
        <v>0.99250000000000005</v>
      </c>
      <c r="N235">
        <f t="shared" si="59"/>
        <v>0.1851976439955485</v>
      </c>
      <c r="O235" s="149">
        <f t="shared" si="52"/>
        <v>141.2545755039846</v>
      </c>
      <c r="P235" s="131">
        <f t="shared" si="60"/>
        <v>129.06948332508668</v>
      </c>
      <c r="Q235" s="148">
        <f t="shared" si="53"/>
        <v>5.1813655424342899</v>
      </c>
    </row>
    <row r="236" spans="1:17" x14ac:dyDescent="0.25">
      <c r="A236">
        <f t="shared" si="54"/>
        <v>225</v>
      </c>
      <c r="B236" s="150">
        <f t="shared" si="55"/>
        <v>63.750000000000533</v>
      </c>
      <c r="C236">
        <v>0.01</v>
      </c>
      <c r="D236">
        <f t="shared" si="46"/>
        <v>0.99</v>
      </c>
      <c r="E236">
        <f t="shared" si="56"/>
        <v>0.10421225282987552</v>
      </c>
      <c r="F236">
        <v>2000</v>
      </c>
      <c r="G236">
        <f t="shared" si="57"/>
        <v>117.57056571976076</v>
      </c>
      <c r="H236">
        <f t="shared" si="47"/>
        <v>0.99570564446549459</v>
      </c>
      <c r="I236">
        <f t="shared" si="58"/>
        <v>0.37972399405706131</v>
      </c>
      <c r="J236" s="149">
        <f t="shared" si="48"/>
        <v>79.14378574848925</v>
      </c>
      <c r="K236" s="149">
        <f t="shared" si="49"/>
        <v>4.6524898318267098</v>
      </c>
      <c r="L236">
        <f t="shared" si="50"/>
        <v>7.4999999999999997E-3</v>
      </c>
      <c r="M236">
        <f t="shared" si="51"/>
        <v>0.99250000000000005</v>
      </c>
      <c r="N236">
        <f t="shared" si="59"/>
        <v>0.18380866166558191</v>
      </c>
      <c r="O236" s="149">
        <f t="shared" si="52"/>
        <v>139.59311829987561</v>
      </c>
      <c r="P236" s="131">
        <f t="shared" si="60"/>
        <v>129.32762229173684</v>
      </c>
      <c r="Q236" s="148">
        <f t="shared" si="53"/>
        <v>5.117738815009381</v>
      </c>
    </row>
    <row r="237" spans="1:17" x14ac:dyDescent="0.25">
      <c r="A237">
        <f t="shared" si="54"/>
        <v>226</v>
      </c>
      <c r="B237" s="150">
        <f t="shared" si="55"/>
        <v>63.833333333333869</v>
      </c>
      <c r="C237">
        <v>0.01</v>
      </c>
      <c r="D237">
        <f t="shared" si="46"/>
        <v>0.99</v>
      </c>
      <c r="E237">
        <f t="shared" si="56"/>
        <v>0.10317013030157676</v>
      </c>
      <c r="F237">
        <v>2000</v>
      </c>
      <c r="G237">
        <f t="shared" si="57"/>
        <v>117.80570685120028</v>
      </c>
      <c r="H237">
        <f t="shared" si="47"/>
        <v>0.99570564446549459</v>
      </c>
      <c r="I237">
        <f t="shared" si="58"/>
        <v>0.37809332422159786</v>
      </c>
      <c r="J237" s="149">
        <f t="shared" si="48"/>
        <v>78.015875052197117</v>
      </c>
      <c r="K237" s="149">
        <f t="shared" si="49"/>
        <v>4.5953576530695024</v>
      </c>
      <c r="L237">
        <f t="shared" si="50"/>
        <v>7.4999999999999997E-3</v>
      </c>
      <c r="M237">
        <f t="shared" si="51"/>
        <v>0.99250000000000005</v>
      </c>
      <c r="N237">
        <f t="shared" si="59"/>
        <v>0.18243009670309004</v>
      </c>
      <c r="O237" s="149">
        <f t="shared" si="52"/>
        <v>137.95120340107775</v>
      </c>
      <c r="P237" s="131">
        <f t="shared" si="60"/>
        <v>129.58627753632032</v>
      </c>
      <c r="Q237" s="148">
        <f t="shared" si="53"/>
        <v>5.0548934183764525</v>
      </c>
    </row>
    <row r="238" spans="1:17" x14ac:dyDescent="0.25">
      <c r="A238">
        <f t="shared" si="54"/>
        <v>227</v>
      </c>
      <c r="B238" s="150">
        <f t="shared" si="55"/>
        <v>63.916666666667204</v>
      </c>
      <c r="C238">
        <v>0.01</v>
      </c>
      <c r="D238">
        <f t="shared" si="46"/>
        <v>0.99</v>
      </c>
      <c r="E238">
        <f t="shared" si="56"/>
        <v>0.10213842899856099</v>
      </c>
      <c r="F238">
        <v>2000</v>
      </c>
      <c r="G238">
        <f t="shared" si="57"/>
        <v>118.04131826490269</v>
      </c>
      <c r="H238">
        <f t="shared" si="47"/>
        <v>0.99570564446549459</v>
      </c>
      <c r="I238">
        <f t="shared" si="58"/>
        <v>0.37646965706216728</v>
      </c>
      <c r="J238" s="149">
        <f t="shared" si="48"/>
        <v>76.904038675913554</v>
      </c>
      <c r="K238" s="149">
        <f t="shared" si="49"/>
        <v>4.5389270525999486</v>
      </c>
      <c r="L238">
        <f t="shared" si="50"/>
        <v>7.4999999999999997E-3</v>
      </c>
      <c r="M238">
        <f t="shared" si="51"/>
        <v>0.99250000000000005</v>
      </c>
      <c r="N238">
        <f t="shared" si="59"/>
        <v>0.18106187097781687</v>
      </c>
      <c r="O238" s="149">
        <f t="shared" si="52"/>
        <v>136.32860094810621</v>
      </c>
      <c r="P238" s="131">
        <f t="shared" si="60"/>
        <v>129.84545009139296</v>
      </c>
      <c r="Q238" s="148">
        <f t="shared" si="53"/>
        <v>4.9928197578599436</v>
      </c>
    </row>
    <row r="239" spans="1:17" x14ac:dyDescent="0.25">
      <c r="A239">
        <f t="shared" si="54"/>
        <v>228</v>
      </c>
      <c r="B239" s="150">
        <f t="shared" si="55"/>
        <v>64.00000000000054</v>
      </c>
      <c r="C239">
        <v>0.01</v>
      </c>
      <c r="D239">
        <f t="shared" si="46"/>
        <v>0.99</v>
      </c>
      <c r="E239">
        <f t="shared" si="56"/>
        <v>0.10111704470857538</v>
      </c>
      <c r="F239">
        <v>2000</v>
      </c>
      <c r="G239">
        <f t="shared" si="57"/>
        <v>118.27740090143249</v>
      </c>
      <c r="H239">
        <f t="shared" si="47"/>
        <v>0.99570564446549459</v>
      </c>
      <c r="I239">
        <f t="shared" si="58"/>
        <v>0.37485296250678901</v>
      </c>
      <c r="J239" s="149">
        <f t="shared" si="48"/>
        <v>75.808047537881833</v>
      </c>
      <c r="K239" s="149">
        <f t="shared" si="49"/>
        <v>4.4831894150964509</v>
      </c>
      <c r="L239">
        <f t="shared" si="50"/>
        <v>7.4999999999999997E-3</v>
      </c>
      <c r="M239">
        <f t="shared" si="51"/>
        <v>0.99250000000000005</v>
      </c>
      <c r="N239">
        <f t="shared" si="59"/>
        <v>0.17970390694548324</v>
      </c>
      <c r="O239" s="149">
        <f t="shared" si="52"/>
        <v>134.72508378511748</v>
      </c>
      <c r="P239" s="131">
        <f t="shared" si="60"/>
        <v>130.10514099157575</v>
      </c>
      <c r="Q239" s="148">
        <f t="shared" si="53"/>
        <v>4.9315083566060967</v>
      </c>
    </row>
    <row r="240" spans="1:17" x14ac:dyDescent="0.25">
      <c r="A240">
        <f t="shared" si="54"/>
        <v>229</v>
      </c>
      <c r="B240" s="150">
        <f t="shared" si="55"/>
        <v>64.083333333333869</v>
      </c>
      <c r="C240">
        <v>0.01</v>
      </c>
      <c r="D240">
        <f t="shared" si="46"/>
        <v>0.99</v>
      </c>
      <c r="E240">
        <f t="shared" si="56"/>
        <v>0.10010587426148963</v>
      </c>
      <c r="F240">
        <v>2000</v>
      </c>
      <c r="G240">
        <f t="shared" si="57"/>
        <v>118.51395570323535</v>
      </c>
      <c r="H240">
        <f t="shared" si="47"/>
        <v>0.99570564446549459</v>
      </c>
      <c r="I240">
        <f t="shared" si="58"/>
        <v>0.37324321061262222</v>
      </c>
      <c r="J240" s="149">
        <f t="shared" si="48"/>
        <v>74.727675821083707</v>
      </c>
      <c r="K240" s="149">
        <f t="shared" si="49"/>
        <v>4.4281362310328225</v>
      </c>
      <c r="L240">
        <f t="shared" si="50"/>
        <v>7.4999999999999997E-3</v>
      </c>
      <c r="M240">
        <f t="shared" si="51"/>
        <v>0.99250000000000005</v>
      </c>
      <c r="N240">
        <f t="shared" si="59"/>
        <v>0.17835612764339212</v>
      </c>
      <c r="O240" s="149">
        <f t="shared" si="52"/>
        <v>133.14042742810867</v>
      </c>
      <c r="P240" s="131">
        <f t="shared" si="60"/>
        <v>130.3653512735589</v>
      </c>
      <c r="Q240" s="148">
        <f t="shared" si="53"/>
        <v>4.8709498541361054</v>
      </c>
    </row>
    <row r="241" spans="1:17" x14ac:dyDescent="0.25">
      <c r="A241">
        <f t="shared" si="54"/>
        <v>230</v>
      </c>
      <c r="B241" s="150">
        <f t="shared" si="55"/>
        <v>64.166666666667197</v>
      </c>
      <c r="C241">
        <v>0.01</v>
      </c>
      <c r="D241">
        <f t="shared" si="46"/>
        <v>0.99</v>
      </c>
      <c r="E241">
        <f t="shared" si="56"/>
        <v>9.9104815518874734E-2</v>
      </c>
      <c r="F241">
        <v>2000</v>
      </c>
      <c r="G241">
        <f t="shared" si="57"/>
        <v>118.75098361464183</v>
      </c>
      <c r="H241">
        <f t="shared" si="47"/>
        <v>0.99570564446549459</v>
      </c>
      <c r="I241">
        <f t="shared" si="58"/>
        <v>0.37164037156541135</v>
      </c>
      <c r="J241" s="149">
        <f t="shared" si="48"/>
        <v>73.662700926712304</v>
      </c>
      <c r="K241" s="149">
        <f t="shared" si="49"/>
        <v>4.3737590953791372</v>
      </c>
      <c r="L241">
        <f t="shared" si="50"/>
        <v>7.4999999999999997E-3</v>
      </c>
      <c r="M241">
        <f t="shared" si="51"/>
        <v>0.99250000000000005</v>
      </c>
      <c r="N241">
        <f t="shared" si="59"/>
        <v>0.17701845668606669</v>
      </c>
      <c r="O241" s="149">
        <f t="shared" si="52"/>
        <v>131.57441003349101</v>
      </c>
      <c r="P241" s="131">
        <f t="shared" si="60"/>
        <v>130.62608197610601</v>
      </c>
      <c r="Q241" s="148">
        <f t="shared" si="53"/>
        <v>4.8111350049170509</v>
      </c>
    </row>
    <row r="242" spans="1:17" x14ac:dyDescent="0.25">
      <c r="A242">
        <f t="shared" si="54"/>
        <v>231</v>
      </c>
      <c r="B242" s="150">
        <f t="shared" si="55"/>
        <v>64.250000000000526</v>
      </c>
      <c r="C242">
        <v>0.01</v>
      </c>
      <c r="D242">
        <f t="shared" si="46"/>
        <v>0.99</v>
      </c>
      <c r="E242">
        <f t="shared" si="56"/>
        <v>9.8113767363685989E-2</v>
      </c>
      <c r="F242">
        <v>2000</v>
      </c>
      <c r="G242">
        <f t="shared" si="57"/>
        <v>118.9884855818711</v>
      </c>
      <c r="H242">
        <f t="shared" si="47"/>
        <v>0.99570564446549459</v>
      </c>
      <c r="I242">
        <f t="shared" si="58"/>
        <v>0.37004441567893376</v>
      </c>
      <c r="J242" s="149">
        <f t="shared" si="48"/>
        <v>72.612903428308044</v>
      </c>
      <c r="K242" s="149">
        <f t="shared" si="49"/>
        <v>4.3200497063185157</v>
      </c>
      <c r="L242">
        <f t="shared" si="50"/>
        <v>7.4999999999999997E-3</v>
      </c>
      <c r="M242">
        <f t="shared" si="51"/>
        <v>0.99250000000000005</v>
      </c>
      <c r="N242">
        <f t="shared" si="59"/>
        <v>0.1756908182609212</v>
      </c>
      <c r="O242" s="149">
        <f t="shared" si="52"/>
        <v>130.02681236703265</v>
      </c>
      <c r="P242" s="131">
        <f t="shared" si="60"/>
        <v>130.88733414005821</v>
      </c>
      <c r="Q242" s="148">
        <f t="shared" si="53"/>
        <v>4.7520546769503671</v>
      </c>
    </row>
    <row r="243" spans="1:17" x14ac:dyDescent="0.25">
      <c r="A243">
        <f t="shared" si="54"/>
        <v>232</v>
      </c>
      <c r="B243" s="150">
        <f t="shared" si="55"/>
        <v>64.333333333333854</v>
      </c>
      <c r="C243">
        <v>0.01</v>
      </c>
      <c r="D243">
        <f t="shared" si="46"/>
        <v>0.99</v>
      </c>
      <c r="E243">
        <f t="shared" si="56"/>
        <v>9.7132629690049127E-2</v>
      </c>
      <c r="F243">
        <v>2000</v>
      </c>
      <c r="G243">
        <f t="shared" si="57"/>
        <v>119.22646255303485</v>
      </c>
      <c r="H243">
        <f t="shared" si="47"/>
        <v>0.99570564446549459</v>
      </c>
      <c r="I243">
        <f t="shared" si="58"/>
        <v>0.36845531339445009</v>
      </c>
      <c r="J243" s="149">
        <f t="shared" si="48"/>
        <v>71.57806702654824</v>
      </c>
      <c r="K243" s="149">
        <f t="shared" si="49"/>
        <v>4.2669998639796862</v>
      </c>
      <c r="L243">
        <f t="shared" si="50"/>
        <v>7.4999999999999997E-3</v>
      </c>
      <c r="M243">
        <f t="shared" si="51"/>
        <v>0.99250000000000005</v>
      </c>
      <c r="N243">
        <f t="shared" si="59"/>
        <v>0.17437313712396429</v>
      </c>
      <c r="O243" s="149">
        <f t="shared" si="52"/>
        <v>128.49741777316737</v>
      </c>
      <c r="P243" s="131">
        <f t="shared" si="60"/>
        <v>131.14910880833835</v>
      </c>
      <c r="Q243" s="148">
        <f t="shared" si="53"/>
        <v>4.693699850377655</v>
      </c>
    </row>
    <row r="244" spans="1:17" x14ac:dyDescent="0.25">
      <c r="A244">
        <f t="shared" si="54"/>
        <v>233</v>
      </c>
      <c r="B244" s="150">
        <f t="shared" si="55"/>
        <v>64.416666666667183</v>
      </c>
      <c r="C244">
        <v>0.01</v>
      </c>
      <c r="D244">
        <f t="shared" si="46"/>
        <v>0.99</v>
      </c>
      <c r="E244">
        <f t="shared" si="56"/>
        <v>9.6161303393148628E-2</v>
      </c>
      <c r="F244">
        <v>2000</v>
      </c>
      <c r="G244">
        <f t="shared" si="57"/>
        <v>119.46491547814092</v>
      </c>
      <c r="H244">
        <f t="shared" si="47"/>
        <v>0.99570564446549459</v>
      </c>
      <c r="I244">
        <f t="shared" si="58"/>
        <v>0.36687303528015669</v>
      </c>
      <c r="J244" s="149">
        <f t="shared" si="48"/>
        <v>70.557978504680932</v>
      </c>
      <c r="K244" s="149">
        <f t="shared" si="49"/>
        <v>4.2146014691850961</v>
      </c>
      <c r="L244">
        <f t="shared" si="50"/>
        <v>7.4999999999999997E-3</v>
      </c>
      <c r="M244">
        <f t="shared" si="51"/>
        <v>0.99250000000000005</v>
      </c>
      <c r="N244">
        <f t="shared" si="59"/>
        <v>0.17306533859553458</v>
      </c>
      <c r="O244" s="149">
        <f t="shared" si="52"/>
        <v>126.98601214466363</v>
      </c>
      <c r="P244" s="131">
        <f t="shared" si="60"/>
        <v>131.41140702595501</v>
      </c>
      <c r="Q244" s="148">
        <f t="shared" si="53"/>
        <v>4.6360616161036061</v>
      </c>
    </row>
    <row r="245" spans="1:17" x14ac:dyDescent="0.25">
      <c r="A245">
        <f t="shared" si="54"/>
        <v>234</v>
      </c>
      <c r="B245" s="150">
        <f t="shared" si="55"/>
        <v>64.500000000000512</v>
      </c>
      <c r="C245">
        <v>0.01</v>
      </c>
      <c r="D245">
        <f t="shared" si="46"/>
        <v>0.99</v>
      </c>
      <c r="E245">
        <f t="shared" si="56"/>
        <v>9.5199690359217146E-2</v>
      </c>
      <c r="F245">
        <v>2000</v>
      </c>
      <c r="G245">
        <f t="shared" si="57"/>
        <v>119.7038453090972</v>
      </c>
      <c r="H245">
        <f t="shared" si="47"/>
        <v>0.99570564446549459</v>
      </c>
      <c r="I245">
        <f t="shared" si="58"/>
        <v>0.36529755203064057</v>
      </c>
      <c r="J245" s="149">
        <f t="shared" si="48"/>
        <v>69.552427684593994</v>
      </c>
      <c r="K245" s="149">
        <f t="shared" si="49"/>
        <v>4.1628465222144051</v>
      </c>
      <c r="L245">
        <f t="shared" si="50"/>
        <v>7.4999999999999997E-3</v>
      </c>
      <c r="M245">
        <f t="shared" si="51"/>
        <v>0.99250000000000005</v>
      </c>
      <c r="N245">
        <f t="shared" si="59"/>
        <v>0.17176734855606807</v>
      </c>
      <c r="O245" s="149">
        <f t="shared" si="52"/>
        <v>125.49238389265091</v>
      </c>
      <c r="P245" s="131">
        <f t="shared" si="60"/>
        <v>131.67422984000694</v>
      </c>
      <c r="Q245" s="148">
        <f t="shared" si="53"/>
        <v>4.5791311744358456</v>
      </c>
    </row>
    <row r="246" spans="1:17" x14ac:dyDescent="0.25">
      <c r="A246">
        <f t="shared" si="54"/>
        <v>235</v>
      </c>
      <c r="B246" s="150">
        <f t="shared" si="55"/>
        <v>64.58333333333384</v>
      </c>
      <c r="C246">
        <v>0.01</v>
      </c>
      <c r="D246">
        <f t="shared" si="46"/>
        <v>0.99</v>
      </c>
      <c r="E246">
        <f t="shared" si="56"/>
        <v>9.4247693455624976E-2</v>
      </c>
      <c r="F246">
        <v>2000</v>
      </c>
      <c r="G246">
        <f t="shared" si="57"/>
        <v>119.9432529997154</v>
      </c>
      <c r="H246">
        <f t="shared" si="47"/>
        <v>0.99570564446549459</v>
      </c>
      <c r="I246">
        <f t="shared" si="58"/>
        <v>0.36372883446633653</v>
      </c>
      <c r="J246" s="149">
        <f t="shared" si="48"/>
        <v>68.56120738351008</v>
      </c>
      <c r="K246" s="149">
        <f t="shared" si="49"/>
        <v>4.1117271215831535</v>
      </c>
      <c r="L246">
        <f t="shared" si="50"/>
        <v>7.4999999999999997E-3</v>
      </c>
      <c r="M246">
        <f t="shared" si="51"/>
        <v>0.99250000000000005</v>
      </c>
      <c r="N246">
        <f t="shared" si="59"/>
        <v>0.17047909344189757</v>
      </c>
      <c r="O246" s="149">
        <f t="shared" si="52"/>
        <v>124.01632391699815</v>
      </c>
      <c r="P246" s="131">
        <f t="shared" si="60"/>
        <v>131.93757829968695</v>
      </c>
      <c r="Q246" s="148">
        <f t="shared" si="53"/>
        <v>4.5228998337414685</v>
      </c>
    </row>
    <row r="247" spans="1:17" x14ac:dyDescent="0.25">
      <c r="A247">
        <f t="shared" si="54"/>
        <v>236</v>
      </c>
      <c r="B247" s="150">
        <f t="shared" si="55"/>
        <v>64.666666666667169</v>
      </c>
      <c r="C247">
        <v>0.01</v>
      </c>
      <c r="D247">
        <f t="shared" si="46"/>
        <v>0.99</v>
      </c>
      <c r="E247">
        <f t="shared" si="56"/>
        <v>9.3305216521068726E-2</v>
      </c>
      <c r="F247">
        <v>2000</v>
      </c>
      <c r="G247">
        <f t="shared" si="57"/>
        <v>120.18313950571483</v>
      </c>
      <c r="H247">
        <f t="shared" si="47"/>
        <v>0.99570564446549459</v>
      </c>
      <c r="I247">
        <f t="shared" si="58"/>
        <v>0.36216685353298683</v>
      </c>
      <c r="J247" s="149">
        <f t="shared" si="48"/>
        <v>67.58411337129904</v>
      </c>
      <c r="K247" s="149">
        <f t="shared" si="49"/>
        <v>4.0612354628364402</v>
      </c>
      <c r="L247">
        <f t="shared" si="50"/>
        <v>7.4999999999999997E-3</v>
      </c>
      <c r="M247">
        <f t="shared" si="51"/>
        <v>0.99250000000000005</v>
      </c>
      <c r="N247">
        <f t="shared" si="59"/>
        <v>0.16920050024108335</v>
      </c>
      <c r="O247" s="149">
        <f t="shared" si="52"/>
        <v>122.55762557704107</v>
      </c>
      <c r="P247" s="131">
        <f t="shared" si="60"/>
        <v>132.20145345628632</v>
      </c>
      <c r="Q247" s="148">
        <f t="shared" si="53"/>
        <v>4.4673590091200843</v>
      </c>
    </row>
    <row r="248" spans="1:17" x14ac:dyDescent="0.25">
      <c r="A248">
        <f t="shared" si="54"/>
        <v>237</v>
      </c>
      <c r="B248" s="150">
        <f t="shared" si="55"/>
        <v>64.750000000000497</v>
      </c>
      <c r="C248">
        <v>0.01</v>
      </c>
      <c r="D248">
        <f t="shared" si="46"/>
        <v>0.99</v>
      </c>
      <c r="E248">
        <f t="shared" si="56"/>
        <v>9.2372164355858044E-2</v>
      </c>
      <c r="F248">
        <v>2000</v>
      </c>
      <c r="G248">
        <f t="shared" si="57"/>
        <v>120.42350578472626</v>
      </c>
      <c r="H248">
        <f t="shared" si="47"/>
        <v>0.99570564446549459</v>
      </c>
      <c r="I248">
        <f t="shared" si="58"/>
        <v>0.36061158030110302</v>
      </c>
      <c r="J248" s="149">
        <f t="shared" si="48"/>
        <v>66.62094432839838</v>
      </c>
      <c r="K248" s="149">
        <f t="shared" si="49"/>
        <v>4.0113638373574041</v>
      </c>
      <c r="L248">
        <f t="shared" si="50"/>
        <v>7.4999999999999997E-3</v>
      </c>
      <c r="M248">
        <f t="shared" si="51"/>
        <v>0.99250000000000005</v>
      </c>
      <c r="N248">
        <f t="shared" si="59"/>
        <v>0.16793149648927524</v>
      </c>
      <c r="O248" s="149">
        <f t="shared" si="52"/>
        <v>121.11608466265336</v>
      </c>
      <c r="P248" s="131">
        <f t="shared" si="60"/>
        <v>132.4658563631989</v>
      </c>
      <c r="Q248" s="148">
        <f t="shared" si="53"/>
        <v>4.4125002210931443</v>
      </c>
    </row>
    <row r="249" spans="1:17" x14ac:dyDescent="0.25">
      <c r="A249">
        <f t="shared" si="54"/>
        <v>238</v>
      </c>
      <c r="B249" s="150">
        <f t="shared" si="55"/>
        <v>64.833333333333826</v>
      </c>
      <c r="C249">
        <v>0.01</v>
      </c>
      <c r="D249">
        <f t="shared" si="46"/>
        <v>0.99</v>
      </c>
      <c r="E249">
        <f t="shared" si="56"/>
        <v>9.144844271229946E-2</v>
      </c>
      <c r="F249">
        <v>2000</v>
      </c>
      <c r="G249">
        <f t="shared" si="57"/>
        <v>120.66435279629572</v>
      </c>
      <c r="H249">
        <f t="shared" si="47"/>
        <v>0.99570564446549459</v>
      </c>
      <c r="I249">
        <f t="shared" si="58"/>
        <v>0.35906298596543024</v>
      </c>
      <c r="J249" s="149">
        <f t="shared" si="48"/>
        <v>65.671501804333658</v>
      </c>
      <c r="K249" s="149">
        <f t="shared" si="49"/>
        <v>3.9621046311903445</v>
      </c>
      <c r="L249">
        <f t="shared" si="50"/>
        <v>7.4999999999999997E-3</v>
      </c>
      <c r="M249">
        <f t="shared" si="51"/>
        <v>0.99250000000000005</v>
      </c>
      <c r="N249">
        <f t="shared" si="59"/>
        <v>0.16667201026560569</v>
      </c>
      <c r="O249" s="149">
        <f t="shared" si="52"/>
        <v>119.69149936565843</v>
      </c>
      <c r="P249" s="131">
        <f t="shared" si="60"/>
        <v>132.73078807592529</v>
      </c>
      <c r="Q249" s="148">
        <f t="shared" si="53"/>
        <v>4.3583150943093782</v>
      </c>
    </row>
    <row r="250" spans="1:17" x14ac:dyDescent="0.25">
      <c r="A250">
        <f t="shared" si="54"/>
        <v>239</v>
      </c>
      <c r="B250" s="150">
        <f t="shared" si="55"/>
        <v>64.916666666667155</v>
      </c>
      <c r="C250">
        <v>0.01</v>
      </c>
      <c r="D250">
        <f t="shared" si="46"/>
        <v>0.99</v>
      </c>
      <c r="E250">
        <f t="shared" si="56"/>
        <v>9.0533958285176463E-2</v>
      </c>
      <c r="F250">
        <v>2000</v>
      </c>
      <c r="G250">
        <f t="shared" si="57"/>
        <v>120.90568150188831</v>
      </c>
      <c r="H250">
        <f t="shared" si="47"/>
        <v>0.99570564446549459</v>
      </c>
      <c r="I250">
        <f t="shared" si="58"/>
        <v>0.35752104184441358</v>
      </c>
      <c r="J250" s="149">
        <f t="shared" si="48"/>
        <v>64.735590176829945</v>
      </c>
      <c r="K250" s="149">
        <f t="shared" si="49"/>
        <v>3.9134503238782847</v>
      </c>
      <c r="L250">
        <f t="shared" si="50"/>
        <v>7.4999999999999997E-3</v>
      </c>
      <c r="M250">
        <f t="shared" si="51"/>
        <v>0.99250000000000005</v>
      </c>
      <c r="N250">
        <f t="shared" si="59"/>
        <v>0.16542197018861365</v>
      </c>
      <c r="O250" s="149">
        <f t="shared" si="52"/>
        <v>118.28367025157735</v>
      </c>
      <c r="P250" s="131">
        <f t="shared" si="60"/>
        <v>132.99624965207715</v>
      </c>
      <c r="Q250" s="148">
        <f t="shared" si="53"/>
        <v>4.3047953562661139</v>
      </c>
    </row>
    <row r="251" spans="1:17" x14ac:dyDescent="0.25">
      <c r="A251">
        <f t="shared" si="54"/>
        <v>240</v>
      </c>
      <c r="B251" s="150">
        <f t="shared" si="55"/>
        <v>65.000000000000483</v>
      </c>
      <c r="C251">
        <v>0.01</v>
      </c>
      <c r="D251">
        <f t="shared" si="46"/>
        <v>0.99</v>
      </c>
      <c r="E251">
        <f t="shared" si="56"/>
        <v>8.9628618702324692E-2</v>
      </c>
      <c r="F251">
        <v>2000</v>
      </c>
      <c r="G251">
        <f t="shared" si="57"/>
        <v>121.14749286489209</v>
      </c>
      <c r="H251">
        <f t="shared" si="47"/>
        <v>0.99570564446549459</v>
      </c>
      <c r="I251">
        <f t="shared" si="58"/>
        <v>0.35598571937966689</v>
      </c>
      <c r="J251" s="149">
        <f t="shared" si="48"/>
        <v>63.813016611505837</v>
      </c>
      <c r="K251" s="149">
        <f t="shared" si="49"/>
        <v>3.8653934873148219</v>
      </c>
      <c r="L251">
        <f t="shared" si="50"/>
        <v>7.4999999999999997E-3</v>
      </c>
      <c r="M251">
        <f t="shared" si="51"/>
        <v>0.99250000000000005</v>
      </c>
      <c r="N251">
        <f t="shared" si="59"/>
        <v>0.16418130541219905</v>
      </c>
      <c r="O251" s="149">
        <f t="shared" si="52"/>
        <v>116.89240023170896</v>
      </c>
      <c r="P251" s="131">
        <f t="shared" si="60"/>
        <v>133.26224215138132</v>
      </c>
      <c r="Q251" s="148">
        <f t="shared" si="53"/>
        <v>4.2519328360463051</v>
      </c>
    </row>
  </sheetData>
  <mergeCells count="2">
    <mergeCell ref="B9:Q9"/>
    <mergeCell ref="L10:N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28C7-0793-4FD5-885B-375BA9A53F50}">
  <sheetPr codeName="Sheet2"/>
  <dimension ref="A1:AJ36"/>
  <sheetViews>
    <sheetView zoomScale="115" zoomScaleNormal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9.7109375" bestFit="1" customWidth="1"/>
    <col min="2" max="2" width="13.7109375" bestFit="1" customWidth="1"/>
    <col min="3" max="34" width="12.5703125" customWidth="1"/>
    <col min="35" max="35" width="14.42578125" bestFit="1" customWidth="1"/>
  </cols>
  <sheetData>
    <row r="1" spans="1:36" x14ac:dyDescent="0.25">
      <c r="A1" s="74" t="s">
        <v>128</v>
      </c>
    </row>
    <row r="2" spans="1:36" x14ac:dyDescent="0.25">
      <c r="C2" s="74"/>
    </row>
    <row r="3" spans="1:36" x14ac:dyDescent="0.25">
      <c r="B3" s="74" t="s">
        <v>127</v>
      </c>
      <c r="C3" s="71" t="s">
        <v>126</v>
      </c>
      <c r="D3" s="71" t="s">
        <v>125</v>
      </c>
      <c r="E3" s="71" t="s">
        <v>124</v>
      </c>
      <c r="F3" s="71" t="s">
        <v>123</v>
      </c>
      <c r="G3" s="71" t="s">
        <v>122</v>
      </c>
      <c r="H3" s="71" t="s">
        <v>121</v>
      </c>
      <c r="I3" s="71" t="s">
        <v>120</v>
      </c>
      <c r="J3" s="71" t="s">
        <v>119</v>
      </c>
      <c r="K3" s="71" t="s">
        <v>118</v>
      </c>
      <c r="L3" s="71" t="s">
        <v>117</v>
      </c>
      <c r="M3" s="71" t="s">
        <v>116</v>
      </c>
      <c r="N3" s="71" t="s">
        <v>115</v>
      </c>
      <c r="O3" s="71" t="s">
        <v>114</v>
      </c>
      <c r="P3" s="71" t="s">
        <v>113</v>
      </c>
      <c r="Q3" s="71" t="s">
        <v>112</v>
      </c>
      <c r="R3" s="71" t="s">
        <v>111</v>
      </c>
      <c r="S3" s="71" t="s">
        <v>110</v>
      </c>
      <c r="T3" s="71" t="s">
        <v>109</v>
      </c>
      <c r="U3" s="71" t="s">
        <v>108</v>
      </c>
      <c r="V3" s="71" t="s">
        <v>107</v>
      </c>
      <c r="W3" s="71" t="s">
        <v>106</v>
      </c>
      <c r="X3" s="71" t="s">
        <v>105</v>
      </c>
      <c r="Y3" s="71" t="s">
        <v>104</v>
      </c>
      <c r="Z3" s="71" t="s">
        <v>103</v>
      </c>
      <c r="AA3" s="71" t="s">
        <v>98</v>
      </c>
      <c r="AB3" s="71" t="s">
        <v>97</v>
      </c>
      <c r="AC3" s="71" t="s">
        <v>96</v>
      </c>
      <c r="AD3" s="71" t="s">
        <v>95</v>
      </c>
      <c r="AE3" s="71" t="s">
        <v>94</v>
      </c>
      <c r="AF3" s="71" t="s">
        <v>93</v>
      </c>
      <c r="AG3" s="71" t="s">
        <v>102</v>
      </c>
      <c r="AH3" s="71" t="s">
        <v>101</v>
      </c>
      <c r="AI3" s="73" t="s">
        <v>1</v>
      </c>
    </row>
    <row r="4" spans="1:36" x14ac:dyDescent="0.25">
      <c r="A4" s="72"/>
      <c r="B4" s="71" t="s">
        <v>126</v>
      </c>
      <c r="C4" s="70">
        <v>113543425.02</v>
      </c>
      <c r="D4" s="70">
        <v>243842641.03</v>
      </c>
      <c r="E4" s="70">
        <v>117194648.17</v>
      </c>
      <c r="F4" s="70">
        <v>50620048.350000001</v>
      </c>
      <c r="G4" s="70">
        <v>26425911.710000001</v>
      </c>
      <c r="H4" s="70">
        <v>15661763.58</v>
      </c>
      <c r="I4" s="70">
        <v>10689051.75</v>
      </c>
      <c r="J4" s="70">
        <v>7920304.79</v>
      </c>
      <c r="K4" s="70">
        <v>5657484.3600000003</v>
      </c>
      <c r="L4" s="70">
        <v>4540521.8600000003</v>
      </c>
      <c r="M4" s="70">
        <v>3329638.47</v>
      </c>
      <c r="N4" s="70">
        <v>2943599.96</v>
      </c>
      <c r="O4" s="70">
        <v>1592481.93</v>
      </c>
      <c r="P4" s="70">
        <v>347047.07</v>
      </c>
      <c r="Q4" s="70">
        <v>141045.48000000001</v>
      </c>
      <c r="R4" s="70">
        <v>38247.379999999997</v>
      </c>
      <c r="S4" s="70">
        <v>6051.68</v>
      </c>
      <c r="T4" s="70">
        <v>380.58</v>
      </c>
      <c r="U4" s="70">
        <v>121.98</v>
      </c>
      <c r="V4" s="70">
        <v>23</v>
      </c>
      <c r="W4" s="70">
        <v>0</v>
      </c>
      <c r="X4" s="70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  <c r="AI4" s="67">
        <f t="shared" ref="AI4:AI35" si="0">SUM(C4:AH4)</f>
        <v>604494438.15000021</v>
      </c>
      <c r="AJ4" s="69"/>
    </row>
    <row r="5" spans="1:36" x14ac:dyDescent="0.25">
      <c r="A5" s="72"/>
      <c r="B5" s="71" t="s">
        <v>125</v>
      </c>
      <c r="C5" s="70"/>
      <c r="D5" s="70">
        <v>105413552.76000001</v>
      </c>
      <c r="E5" s="70">
        <v>261411698.56</v>
      </c>
      <c r="F5" s="70">
        <v>93402048.189999998</v>
      </c>
      <c r="G5" s="70">
        <v>43690676</v>
      </c>
      <c r="H5" s="70">
        <v>25270134.739999998</v>
      </c>
      <c r="I5" s="70">
        <v>19392192.469999999</v>
      </c>
      <c r="J5" s="70">
        <v>9042780.1300000008</v>
      </c>
      <c r="K5" s="70">
        <v>8256311.0599999996</v>
      </c>
      <c r="L5" s="70">
        <v>5845842.2000000002</v>
      </c>
      <c r="M5" s="70">
        <v>2669921.4700000002</v>
      </c>
      <c r="N5" s="70">
        <v>4858867.6100000003</v>
      </c>
      <c r="O5" s="70">
        <v>3440513.74</v>
      </c>
      <c r="P5" s="70">
        <v>1263310.82</v>
      </c>
      <c r="Q5" s="70">
        <v>648133.31000000006</v>
      </c>
      <c r="R5" s="70">
        <v>78613.02</v>
      </c>
      <c r="S5" s="70">
        <v>59967.71</v>
      </c>
      <c r="T5" s="70">
        <v>770.26</v>
      </c>
      <c r="U5" s="70">
        <v>356.93</v>
      </c>
      <c r="V5" s="70">
        <v>229.44</v>
      </c>
      <c r="W5" s="70">
        <v>0</v>
      </c>
      <c r="X5" s="70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67">
        <f t="shared" si="0"/>
        <v>584745920.42000008</v>
      </c>
      <c r="AJ5" s="69"/>
    </row>
    <row r="6" spans="1:36" x14ac:dyDescent="0.25">
      <c r="A6" s="72"/>
      <c r="B6" s="71" t="s">
        <v>124</v>
      </c>
      <c r="C6" s="70"/>
      <c r="D6" s="70"/>
      <c r="E6" s="70">
        <v>125076858.62</v>
      </c>
      <c r="F6" s="70">
        <v>200067909.97999999</v>
      </c>
      <c r="G6" s="70">
        <v>73218065.129999995</v>
      </c>
      <c r="H6" s="70">
        <v>39613383.039999999</v>
      </c>
      <c r="I6" s="70">
        <v>26107766.18</v>
      </c>
      <c r="J6" s="70">
        <v>13956575.380000001</v>
      </c>
      <c r="K6" s="70">
        <v>8930675.4800000004</v>
      </c>
      <c r="L6" s="70">
        <v>7226636.7800000003</v>
      </c>
      <c r="M6" s="70">
        <v>4389489.05</v>
      </c>
      <c r="N6" s="70">
        <v>6424737.2699999996</v>
      </c>
      <c r="O6" s="70">
        <v>3297911.43</v>
      </c>
      <c r="P6" s="70">
        <v>2094734.07</v>
      </c>
      <c r="Q6" s="70">
        <v>1300234.97</v>
      </c>
      <c r="R6" s="70">
        <v>549389.06000000006</v>
      </c>
      <c r="S6" s="70">
        <v>133802.56</v>
      </c>
      <c r="T6" s="70">
        <v>18932.27</v>
      </c>
      <c r="U6" s="70">
        <v>7488.34</v>
      </c>
      <c r="V6" s="70">
        <v>190.93</v>
      </c>
      <c r="W6" s="70">
        <v>57.11</v>
      </c>
      <c r="X6" s="70">
        <v>0</v>
      </c>
      <c r="Y6" s="70">
        <v>0</v>
      </c>
      <c r="Z6" s="70">
        <v>0</v>
      </c>
      <c r="AA6" s="70">
        <v>0</v>
      </c>
      <c r="AB6" s="70">
        <v>0</v>
      </c>
      <c r="AC6" s="70">
        <v>0</v>
      </c>
      <c r="AD6" s="70">
        <v>0</v>
      </c>
      <c r="AE6" s="70">
        <v>0</v>
      </c>
      <c r="AF6" s="70">
        <v>0</v>
      </c>
      <c r="AG6" s="70">
        <v>0</v>
      </c>
      <c r="AH6" s="70">
        <v>0</v>
      </c>
      <c r="AI6" s="67">
        <f t="shared" si="0"/>
        <v>512414837.65000004</v>
      </c>
      <c r="AJ6" s="69"/>
    </row>
    <row r="7" spans="1:36" x14ac:dyDescent="0.25">
      <c r="A7" s="72"/>
      <c r="B7" s="71" t="s">
        <v>123</v>
      </c>
      <c r="C7" s="70"/>
      <c r="D7" s="70"/>
      <c r="E7" s="70"/>
      <c r="F7" s="70">
        <v>65620367.729999997</v>
      </c>
      <c r="G7" s="70">
        <v>145147762.93000001</v>
      </c>
      <c r="H7" s="70">
        <v>63627605.259999998</v>
      </c>
      <c r="I7" s="70">
        <v>31826810.34</v>
      </c>
      <c r="J7" s="70">
        <v>14196967.310000001</v>
      </c>
      <c r="K7" s="70">
        <v>8153911.8600000003</v>
      </c>
      <c r="L7" s="70">
        <v>6109972.54</v>
      </c>
      <c r="M7" s="70">
        <v>3347650.55</v>
      </c>
      <c r="N7" s="70">
        <v>4219103.6500000004</v>
      </c>
      <c r="O7" s="70">
        <v>2358691.73</v>
      </c>
      <c r="P7" s="70">
        <v>1764616.1</v>
      </c>
      <c r="Q7" s="70">
        <v>1447662.04</v>
      </c>
      <c r="R7" s="70">
        <v>529818.73</v>
      </c>
      <c r="S7" s="70">
        <v>366056.68</v>
      </c>
      <c r="T7" s="70">
        <v>30360.5</v>
      </c>
      <c r="U7" s="70">
        <v>34945.269999999997</v>
      </c>
      <c r="V7" s="70">
        <v>5041.76</v>
      </c>
      <c r="W7" s="70">
        <v>715.91</v>
      </c>
      <c r="X7" s="70">
        <v>233.34</v>
      </c>
      <c r="Y7" s="70">
        <v>0</v>
      </c>
      <c r="Z7" s="70">
        <v>0</v>
      </c>
      <c r="AA7" s="70">
        <v>0</v>
      </c>
      <c r="AB7" s="70">
        <v>0</v>
      </c>
      <c r="AC7" s="70">
        <v>0</v>
      </c>
      <c r="AD7" s="70">
        <v>0</v>
      </c>
      <c r="AE7" s="70">
        <v>0</v>
      </c>
      <c r="AF7" s="70">
        <v>0</v>
      </c>
      <c r="AG7" s="70">
        <v>0</v>
      </c>
      <c r="AH7" s="70">
        <v>0</v>
      </c>
      <c r="AI7" s="67">
        <f t="shared" si="0"/>
        <v>348788294.23000008</v>
      </c>
      <c r="AJ7" s="69"/>
    </row>
    <row r="8" spans="1:36" x14ac:dyDescent="0.25">
      <c r="A8" s="72"/>
      <c r="B8" s="71" t="s">
        <v>122</v>
      </c>
      <c r="C8" s="70"/>
      <c r="D8" s="70"/>
      <c r="E8" s="70"/>
      <c r="F8" s="70"/>
      <c r="G8" s="70">
        <v>71907133.430000007</v>
      </c>
      <c r="H8" s="70">
        <v>198052932.63999999</v>
      </c>
      <c r="I8" s="70">
        <v>84607663.640000001</v>
      </c>
      <c r="J8" s="70">
        <v>38254447.420000002</v>
      </c>
      <c r="K8" s="70">
        <v>21568557.800000001</v>
      </c>
      <c r="L8" s="70">
        <v>13479766.869999999</v>
      </c>
      <c r="M8" s="70">
        <v>7752586.6399999997</v>
      </c>
      <c r="N8" s="70">
        <v>6137752.5300000003</v>
      </c>
      <c r="O8" s="70">
        <v>5493460.4299999997</v>
      </c>
      <c r="P8" s="70">
        <v>2955626.53</v>
      </c>
      <c r="Q8" s="70">
        <v>2947997.14</v>
      </c>
      <c r="R8" s="70">
        <v>1463590.44</v>
      </c>
      <c r="S8" s="70">
        <v>1801818.06</v>
      </c>
      <c r="T8" s="70">
        <v>316368.43</v>
      </c>
      <c r="U8" s="70">
        <v>125683.8</v>
      </c>
      <c r="V8" s="70">
        <v>31687.82</v>
      </c>
      <c r="W8" s="70">
        <v>1907.43</v>
      </c>
      <c r="X8" s="70">
        <v>512.79999999999995</v>
      </c>
      <c r="Y8" s="70">
        <v>124.25</v>
      </c>
      <c r="Z8" s="70">
        <v>0</v>
      </c>
      <c r="AA8" s="70">
        <v>0</v>
      </c>
      <c r="AB8" s="70">
        <v>0</v>
      </c>
      <c r="AC8" s="70">
        <v>0</v>
      </c>
      <c r="AD8" s="70">
        <v>0</v>
      </c>
      <c r="AE8" s="70">
        <v>0</v>
      </c>
      <c r="AF8" s="70">
        <v>0</v>
      </c>
      <c r="AG8" s="70">
        <v>0</v>
      </c>
      <c r="AH8" s="70">
        <v>0</v>
      </c>
      <c r="AI8" s="67">
        <f t="shared" si="0"/>
        <v>456899618.09999996</v>
      </c>
      <c r="AJ8" s="69"/>
    </row>
    <row r="9" spans="1:36" x14ac:dyDescent="0.25">
      <c r="A9" s="72"/>
      <c r="B9" s="71" t="s">
        <v>121</v>
      </c>
      <c r="C9" s="70"/>
      <c r="D9" s="70"/>
      <c r="E9" s="70"/>
      <c r="F9" s="70"/>
      <c r="G9" s="70"/>
      <c r="H9" s="70">
        <v>96126520.629999995</v>
      </c>
      <c r="I9" s="70">
        <v>241141796.71000001</v>
      </c>
      <c r="J9" s="70">
        <v>103792228.98999999</v>
      </c>
      <c r="K9" s="70">
        <v>52441829.759999998</v>
      </c>
      <c r="L9" s="70">
        <v>28867282.550000001</v>
      </c>
      <c r="M9" s="70">
        <v>14065874.369999999</v>
      </c>
      <c r="N9" s="70">
        <v>12197214.18</v>
      </c>
      <c r="O9" s="70">
        <v>10034466.73</v>
      </c>
      <c r="P9" s="70">
        <v>5545170.7199999997</v>
      </c>
      <c r="Q9" s="70">
        <v>4665146.62</v>
      </c>
      <c r="R9" s="70">
        <v>3032394.66</v>
      </c>
      <c r="S9" s="70">
        <v>2158227.41</v>
      </c>
      <c r="T9" s="70">
        <v>1648371.18</v>
      </c>
      <c r="U9" s="70">
        <v>419163.88</v>
      </c>
      <c r="V9" s="70">
        <v>74375.05</v>
      </c>
      <c r="W9" s="70">
        <v>72366.740000000005</v>
      </c>
      <c r="X9" s="70">
        <v>5672.56</v>
      </c>
      <c r="Y9" s="70">
        <v>843.6</v>
      </c>
      <c r="Z9" s="70">
        <v>155.29</v>
      </c>
      <c r="AA9" s="70">
        <v>0</v>
      </c>
      <c r="AB9" s="70">
        <v>0</v>
      </c>
      <c r="AC9" s="70">
        <v>0</v>
      </c>
      <c r="AD9" s="70">
        <v>0</v>
      </c>
      <c r="AE9" s="70">
        <v>0</v>
      </c>
      <c r="AF9" s="70">
        <v>0</v>
      </c>
      <c r="AG9" s="70">
        <v>0</v>
      </c>
      <c r="AH9" s="70">
        <v>0</v>
      </c>
      <c r="AI9" s="67">
        <f t="shared" si="0"/>
        <v>576289101.62999988</v>
      </c>
      <c r="AJ9" s="69"/>
    </row>
    <row r="10" spans="1:36" x14ac:dyDescent="0.25">
      <c r="A10" s="72"/>
      <c r="B10" s="71" t="s">
        <v>120</v>
      </c>
      <c r="C10" s="70"/>
      <c r="D10" s="70"/>
      <c r="E10" s="70"/>
      <c r="F10" s="70"/>
      <c r="G10" s="70"/>
      <c r="H10" s="70"/>
      <c r="I10" s="70">
        <v>96718737.189999998</v>
      </c>
      <c r="J10" s="70">
        <v>237990555.50999999</v>
      </c>
      <c r="K10" s="70">
        <v>114307373.92</v>
      </c>
      <c r="L10" s="70">
        <v>59034848.829999998</v>
      </c>
      <c r="M10" s="70">
        <v>29532772.789999999</v>
      </c>
      <c r="N10" s="70">
        <v>19636654.789999999</v>
      </c>
      <c r="O10" s="70">
        <v>13896699.59</v>
      </c>
      <c r="P10" s="70">
        <v>9047432.0399999991</v>
      </c>
      <c r="Q10" s="70">
        <v>7907114.4100000001</v>
      </c>
      <c r="R10" s="70">
        <v>5267976.41</v>
      </c>
      <c r="S10" s="70">
        <v>2818992.67</v>
      </c>
      <c r="T10" s="70">
        <v>1794454.74</v>
      </c>
      <c r="U10" s="70">
        <v>1867336.2</v>
      </c>
      <c r="V10" s="70">
        <v>558966.81000000006</v>
      </c>
      <c r="W10" s="70">
        <v>143138.79999999999</v>
      </c>
      <c r="X10" s="70">
        <v>64574.63</v>
      </c>
      <c r="Y10" s="70">
        <v>11733.13</v>
      </c>
      <c r="Z10" s="70">
        <v>850.05</v>
      </c>
      <c r="AA10" s="70">
        <v>254.13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I10" s="67">
        <f t="shared" si="0"/>
        <v>600600466.63999975</v>
      </c>
      <c r="AJ10" s="69"/>
    </row>
    <row r="11" spans="1:36" x14ac:dyDescent="0.25">
      <c r="A11" s="72"/>
      <c r="B11" s="71" t="s">
        <v>119</v>
      </c>
      <c r="C11" s="70"/>
      <c r="D11" s="70"/>
      <c r="E11" s="70"/>
      <c r="F11" s="70"/>
      <c r="G11" s="70"/>
      <c r="H11" s="70"/>
      <c r="I11" s="70"/>
      <c r="J11" s="70">
        <v>93231693.060000002</v>
      </c>
      <c r="K11" s="70">
        <v>228720153.31999999</v>
      </c>
      <c r="L11" s="70">
        <v>125774156.66</v>
      </c>
      <c r="M11" s="70">
        <v>50485342.759999998</v>
      </c>
      <c r="N11" s="70">
        <v>31159844.109999999</v>
      </c>
      <c r="O11" s="70">
        <v>18547856.620000001</v>
      </c>
      <c r="P11" s="70">
        <v>12798547.449999999</v>
      </c>
      <c r="Q11" s="70">
        <v>10737004.34</v>
      </c>
      <c r="R11" s="70">
        <v>6445893.3099999996</v>
      </c>
      <c r="S11" s="70">
        <v>5930393.0499999998</v>
      </c>
      <c r="T11" s="70">
        <v>5196020.0199999996</v>
      </c>
      <c r="U11" s="70">
        <v>3212040.65</v>
      </c>
      <c r="V11" s="70">
        <v>1864606.43</v>
      </c>
      <c r="W11" s="70">
        <v>483756.24</v>
      </c>
      <c r="X11" s="70">
        <v>195268.2</v>
      </c>
      <c r="Y11" s="70">
        <v>83161.25</v>
      </c>
      <c r="Z11" s="70">
        <v>23791.439999999999</v>
      </c>
      <c r="AA11" s="70">
        <v>1280.79</v>
      </c>
      <c r="AB11" s="70">
        <v>55.29</v>
      </c>
      <c r="AC11" s="70">
        <v>0</v>
      </c>
      <c r="AD11" s="70">
        <v>0</v>
      </c>
      <c r="AE11" s="70">
        <v>0</v>
      </c>
      <c r="AF11" s="70">
        <v>0</v>
      </c>
      <c r="AG11" s="70">
        <v>0</v>
      </c>
      <c r="AH11" s="70">
        <v>0</v>
      </c>
      <c r="AI11" s="67">
        <f t="shared" si="0"/>
        <v>594890864.98999989</v>
      </c>
      <c r="AJ11" s="69"/>
    </row>
    <row r="12" spans="1:36" x14ac:dyDescent="0.25">
      <c r="A12" s="72"/>
      <c r="B12" s="71" t="s">
        <v>118</v>
      </c>
      <c r="C12" s="70"/>
      <c r="D12" s="70"/>
      <c r="E12" s="70"/>
      <c r="F12" s="70"/>
      <c r="G12" s="70"/>
      <c r="H12" s="70"/>
      <c r="I12" s="70"/>
      <c r="J12" s="70"/>
      <c r="K12" s="70">
        <v>88068092.290000007</v>
      </c>
      <c r="L12" s="70">
        <v>242057145.47999999</v>
      </c>
      <c r="M12" s="70">
        <v>103071516.40000001</v>
      </c>
      <c r="N12" s="70">
        <v>62074393.310000002</v>
      </c>
      <c r="O12" s="70">
        <v>34081974.539999999</v>
      </c>
      <c r="P12" s="70">
        <v>19368469.109999999</v>
      </c>
      <c r="Q12" s="70">
        <v>16234675.220000001</v>
      </c>
      <c r="R12" s="70">
        <v>9516382.2899999991</v>
      </c>
      <c r="S12" s="70">
        <v>7377122.0599999996</v>
      </c>
      <c r="T12" s="70">
        <v>8244631.9000000004</v>
      </c>
      <c r="U12" s="70">
        <v>7213019.8600000003</v>
      </c>
      <c r="V12" s="70">
        <v>3139408.58</v>
      </c>
      <c r="W12" s="70">
        <v>1663870.42</v>
      </c>
      <c r="X12" s="70">
        <v>815783.31</v>
      </c>
      <c r="Y12" s="70">
        <v>187768.37</v>
      </c>
      <c r="Z12" s="70">
        <v>111508.75</v>
      </c>
      <c r="AA12" s="70">
        <v>8307.2800000000007</v>
      </c>
      <c r="AB12" s="70">
        <v>1511.93</v>
      </c>
      <c r="AC12" s="70">
        <v>0</v>
      </c>
      <c r="AD12" s="70">
        <v>0</v>
      </c>
      <c r="AE12" s="70">
        <v>0</v>
      </c>
      <c r="AF12" s="70">
        <v>0</v>
      </c>
      <c r="AG12" s="70">
        <v>0</v>
      </c>
      <c r="AH12" s="70">
        <v>0</v>
      </c>
      <c r="AI12" s="67">
        <f t="shared" si="0"/>
        <v>603235581.09999979</v>
      </c>
      <c r="AJ12" s="69"/>
    </row>
    <row r="13" spans="1:36" x14ac:dyDescent="0.25">
      <c r="A13" s="72"/>
      <c r="B13" s="71" t="s">
        <v>117</v>
      </c>
      <c r="C13" s="70"/>
      <c r="D13" s="70"/>
      <c r="E13" s="70"/>
      <c r="F13" s="70"/>
      <c r="G13" s="70"/>
      <c r="H13" s="70"/>
      <c r="I13" s="70"/>
      <c r="J13" s="70"/>
      <c r="K13" s="70"/>
      <c r="L13" s="70">
        <v>93366393.650000006</v>
      </c>
      <c r="M13" s="70">
        <v>227767982.72999999</v>
      </c>
      <c r="N13" s="70">
        <v>126938461.36</v>
      </c>
      <c r="O13" s="70">
        <v>69840144.579999998</v>
      </c>
      <c r="P13" s="70">
        <v>37440868.920000002</v>
      </c>
      <c r="Q13" s="70">
        <v>26881643.68</v>
      </c>
      <c r="R13" s="70">
        <v>14227493.810000001</v>
      </c>
      <c r="S13" s="70">
        <v>9620743.4100000001</v>
      </c>
      <c r="T13" s="70">
        <v>9505781.5</v>
      </c>
      <c r="U13" s="70">
        <v>6819215.2999999998</v>
      </c>
      <c r="V13" s="70">
        <v>4813566.84</v>
      </c>
      <c r="W13" s="70">
        <v>2897255.25</v>
      </c>
      <c r="X13" s="70">
        <v>1599274.68</v>
      </c>
      <c r="Y13" s="70">
        <v>725880.73</v>
      </c>
      <c r="Z13" s="70">
        <v>272004.55</v>
      </c>
      <c r="AA13" s="70">
        <v>68122.27</v>
      </c>
      <c r="AB13" s="70">
        <v>17773.48</v>
      </c>
      <c r="AC13" s="70">
        <v>1064.49</v>
      </c>
      <c r="AD13" s="70">
        <v>215.55</v>
      </c>
      <c r="AE13" s="70">
        <v>0</v>
      </c>
      <c r="AF13" s="70">
        <v>0</v>
      </c>
      <c r="AG13" s="70">
        <v>0</v>
      </c>
      <c r="AH13" s="70">
        <v>0</v>
      </c>
      <c r="AI13" s="67">
        <f t="shared" si="0"/>
        <v>632803886.77999973</v>
      </c>
      <c r="AJ13" s="69"/>
    </row>
    <row r="14" spans="1:36" x14ac:dyDescent="0.25">
      <c r="A14" s="72"/>
      <c r="B14" s="71" t="s">
        <v>116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>
        <v>75201501.959999993</v>
      </c>
      <c r="N14" s="70">
        <v>238385921.34999999</v>
      </c>
      <c r="O14" s="70">
        <v>127683316.16</v>
      </c>
      <c r="P14" s="70">
        <v>62280295.890000001</v>
      </c>
      <c r="Q14" s="70">
        <v>39184551.850000001</v>
      </c>
      <c r="R14" s="70">
        <v>25730509.109999999</v>
      </c>
      <c r="S14" s="70">
        <v>16886138.18</v>
      </c>
      <c r="T14" s="70">
        <v>15229153.640000001</v>
      </c>
      <c r="U14" s="70">
        <v>9765459.2799999993</v>
      </c>
      <c r="V14" s="70">
        <v>7726041.2999999998</v>
      </c>
      <c r="W14" s="70">
        <v>6361824.5499999998</v>
      </c>
      <c r="X14" s="70">
        <v>3438214.99</v>
      </c>
      <c r="Y14" s="70">
        <v>2019089.41</v>
      </c>
      <c r="Z14" s="70">
        <v>830511.1</v>
      </c>
      <c r="AA14" s="70">
        <v>221068.66</v>
      </c>
      <c r="AB14" s="70">
        <v>108629.61</v>
      </c>
      <c r="AC14" s="70">
        <v>12943.7</v>
      </c>
      <c r="AD14" s="70">
        <v>969.46</v>
      </c>
      <c r="AE14" s="70">
        <v>0</v>
      </c>
      <c r="AF14" s="70">
        <v>0</v>
      </c>
      <c r="AG14" s="70">
        <v>0</v>
      </c>
      <c r="AH14" s="70">
        <v>0</v>
      </c>
      <c r="AI14" s="67">
        <f t="shared" si="0"/>
        <v>631066140.19999993</v>
      </c>
      <c r="AJ14" s="69"/>
    </row>
    <row r="15" spans="1:36" x14ac:dyDescent="0.25">
      <c r="A15" s="72"/>
      <c r="B15" s="71" t="s">
        <v>115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>
        <v>99775646.420000002</v>
      </c>
      <c r="O15" s="70">
        <v>274362121.82999998</v>
      </c>
      <c r="P15" s="70">
        <v>122470761.44</v>
      </c>
      <c r="Q15" s="70">
        <v>78654013.469999999</v>
      </c>
      <c r="R15" s="70">
        <v>41569152.890000001</v>
      </c>
      <c r="S15" s="70">
        <v>28368163.390000001</v>
      </c>
      <c r="T15" s="70">
        <v>22276808.32</v>
      </c>
      <c r="U15" s="70">
        <v>13356410.890000001</v>
      </c>
      <c r="V15" s="70">
        <v>13205171.199999999</v>
      </c>
      <c r="W15" s="70">
        <v>7247179.25</v>
      </c>
      <c r="X15" s="70">
        <v>6962421.54</v>
      </c>
      <c r="Y15" s="70">
        <v>5695518.5999999996</v>
      </c>
      <c r="Z15" s="70">
        <v>2792254.89</v>
      </c>
      <c r="AA15" s="70">
        <v>642679.41</v>
      </c>
      <c r="AB15" s="70">
        <v>291651.40999999997</v>
      </c>
      <c r="AC15" s="70">
        <v>131255.96</v>
      </c>
      <c r="AD15" s="70">
        <v>14256.43</v>
      </c>
      <c r="AE15" s="70">
        <v>1881.04</v>
      </c>
      <c r="AF15" s="70">
        <v>0</v>
      </c>
      <c r="AG15" s="70">
        <v>0</v>
      </c>
      <c r="AH15" s="70">
        <v>0</v>
      </c>
      <c r="AI15" s="67">
        <f t="shared" si="0"/>
        <v>717817348.37999988</v>
      </c>
      <c r="AJ15" s="69"/>
    </row>
    <row r="16" spans="1:36" x14ac:dyDescent="0.25">
      <c r="A16" s="72"/>
      <c r="B16" s="71" t="s">
        <v>114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>
        <v>77430688.870000005</v>
      </c>
      <c r="P16" s="70">
        <v>196438370.12</v>
      </c>
      <c r="Q16" s="70">
        <v>134327779.74000001</v>
      </c>
      <c r="R16" s="70">
        <v>59386387.270000003</v>
      </c>
      <c r="S16" s="70">
        <v>29803158.010000002</v>
      </c>
      <c r="T16" s="70">
        <v>23418669.760000002</v>
      </c>
      <c r="U16" s="70">
        <v>13820975.060000001</v>
      </c>
      <c r="V16" s="70">
        <v>17376552.649999999</v>
      </c>
      <c r="W16" s="70">
        <v>9640386.9199999999</v>
      </c>
      <c r="X16" s="70">
        <v>9238337.5299999993</v>
      </c>
      <c r="Y16" s="70">
        <v>6827063.5700000003</v>
      </c>
      <c r="Z16" s="70">
        <v>4367344.4400000004</v>
      </c>
      <c r="AA16" s="70">
        <v>1829160.77</v>
      </c>
      <c r="AB16" s="70">
        <v>876917.19</v>
      </c>
      <c r="AC16" s="70">
        <v>150026.29</v>
      </c>
      <c r="AD16" s="70">
        <v>91187.47</v>
      </c>
      <c r="AE16" s="70">
        <v>12130.47</v>
      </c>
      <c r="AF16" s="70">
        <v>1516.95</v>
      </c>
      <c r="AG16" s="70">
        <v>324.60000000000002</v>
      </c>
      <c r="AH16" s="70">
        <v>0</v>
      </c>
      <c r="AI16" s="67">
        <f t="shared" si="0"/>
        <v>585036977.68000019</v>
      </c>
      <c r="AJ16" s="69"/>
    </row>
    <row r="17" spans="1:36" x14ac:dyDescent="0.25">
      <c r="A17" s="72"/>
      <c r="B17" s="71" t="s">
        <v>113</v>
      </c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>
        <v>71097410.879999995</v>
      </c>
      <c r="Q17" s="70">
        <v>218524387.61000001</v>
      </c>
      <c r="R17" s="70">
        <v>98245268.109999999</v>
      </c>
      <c r="S17" s="70">
        <v>49009534.340000004</v>
      </c>
      <c r="T17" s="70">
        <v>30182139.620000001</v>
      </c>
      <c r="U17" s="70">
        <v>20107232.690000001</v>
      </c>
      <c r="V17" s="70">
        <v>18676533.870000001</v>
      </c>
      <c r="W17" s="70">
        <v>11039059.640000001</v>
      </c>
      <c r="X17" s="70">
        <v>9779079.6799999997</v>
      </c>
      <c r="Y17" s="70">
        <v>7336432.0800000001</v>
      </c>
      <c r="Z17" s="70">
        <v>5128916.1900000004</v>
      </c>
      <c r="AA17" s="70">
        <v>3503424.99</v>
      </c>
      <c r="AB17" s="70">
        <v>2177608.62</v>
      </c>
      <c r="AC17" s="70">
        <v>824831.43</v>
      </c>
      <c r="AD17" s="70">
        <v>157153.04</v>
      </c>
      <c r="AE17" s="70">
        <v>42234.75</v>
      </c>
      <c r="AF17" s="70">
        <v>8550.33</v>
      </c>
      <c r="AG17" s="70">
        <v>691.28</v>
      </c>
      <c r="AH17" s="70">
        <v>0</v>
      </c>
      <c r="AI17" s="67">
        <f t="shared" si="0"/>
        <v>545840489.14999998</v>
      </c>
      <c r="AJ17" s="69"/>
    </row>
    <row r="18" spans="1:36" x14ac:dyDescent="0.25">
      <c r="A18" s="72"/>
      <c r="B18" s="71" t="s">
        <v>112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>
        <v>110006090.06999999</v>
      </c>
      <c r="R18" s="70">
        <v>257449970.69</v>
      </c>
      <c r="S18" s="70">
        <v>111190239.17</v>
      </c>
      <c r="T18" s="70">
        <v>59561696.299999997</v>
      </c>
      <c r="U18" s="70">
        <v>30956851.699999999</v>
      </c>
      <c r="V18" s="70">
        <v>29817357.920000002</v>
      </c>
      <c r="W18" s="70">
        <v>19130415.699999999</v>
      </c>
      <c r="X18" s="70">
        <v>13445580.369999999</v>
      </c>
      <c r="Y18" s="70">
        <v>12127269.1</v>
      </c>
      <c r="Z18" s="70">
        <v>9976679.75</v>
      </c>
      <c r="AA18" s="70">
        <v>6194346.6200000001</v>
      </c>
      <c r="AB18" s="70">
        <v>4496843.57</v>
      </c>
      <c r="AC18" s="70">
        <v>3038770.61</v>
      </c>
      <c r="AD18" s="70">
        <v>546286.74</v>
      </c>
      <c r="AE18" s="70">
        <v>229267.53</v>
      </c>
      <c r="AF18" s="70">
        <v>84826.84</v>
      </c>
      <c r="AG18" s="70">
        <v>10670.26</v>
      </c>
      <c r="AH18" s="70">
        <v>591.79</v>
      </c>
      <c r="AI18" s="67">
        <f t="shared" si="0"/>
        <v>668263754.73000014</v>
      </c>
      <c r="AJ18" s="69"/>
    </row>
    <row r="19" spans="1:36" x14ac:dyDescent="0.25">
      <c r="A19" s="72"/>
      <c r="B19" s="71" t="s">
        <v>111</v>
      </c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>
        <v>104760385.97</v>
      </c>
      <c r="S19" s="70">
        <v>252625139.47999999</v>
      </c>
      <c r="T19" s="70">
        <v>110338923.78</v>
      </c>
      <c r="U19" s="70">
        <v>53422469.079999998</v>
      </c>
      <c r="V19" s="70">
        <v>35864598.82</v>
      </c>
      <c r="W19" s="70">
        <v>25972376.550000001</v>
      </c>
      <c r="X19" s="70">
        <v>17210993.390000001</v>
      </c>
      <c r="Y19" s="70">
        <v>15398156.51</v>
      </c>
      <c r="Z19" s="70">
        <v>13148792.18</v>
      </c>
      <c r="AA19" s="70">
        <v>7762904.6699999999</v>
      </c>
      <c r="AB19" s="70">
        <v>6074834.0300000003</v>
      </c>
      <c r="AC19" s="70">
        <v>5245508.38</v>
      </c>
      <c r="AD19" s="70">
        <v>2267586.17</v>
      </c>
      <c r="AE19" s="70">
        <v>327980.63</v>
      </c>
      <c r="AF19" s="70">
        <v>122368.36</v>
      </c>
      <c r="AG19" s="70">
        <v>52081.49</v>
      </c>
      <c r="AH19" s="70">
        <v>8311.4500000000007</v>
      </c>
      <c r="AI19" s="67">
        <f t="shared" si="0"/>
        <v>650603410.93999982</v>
      </c>
      <c r="AJ19" s="69"/>
    </row>
    <row r="20" spans="1:36" x14ac:dyDescent="0.25">
      <c r="A20" s="72"/>
      <c r="B20" s="71" t="s">
        <v>110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>
        <v>90104570.719999999</v>
      </c>
      <c r="T20" s="70">
        <v>249237082.53</v>
      </c>
      <c r="U20" s="70">
        <v>98817910.260000005</v>
      </c>
      <c r="V20" s="70">
        <v>46171360.979999997</v>
      </c>
      <c r="W20" s="70">
        <v>37021539.079999998</v>
      </c>
      <c r="X20" s="70">
        <v>21878669.420000002</v>
      </c>
      <c r="Y20" s="70">
        <v>18664825.059999999</v>
      </c>
      <c r="Z20" s="70">
        <v>14146602.140000001</v>
      </c>
      <c r="AA20" s="70">
        <v>8976252.9700000007</v>
      </c>
      <c r="AB20" s="70">
        <v>8409730.9900000002</v>
      </c>
      <c r="AC20" s="70">
        <v>6645304.8499999996</v>
      </c>
      <c r="AD20" s="70">
        <v>4455693.34</v>
      </c>
      <c r="AE20" s="70">
        <v>1482735.29</v>
      </c>
      <c r="AF20" s="70">
        <v>623698.11</v>
      </c>
      <c r="AG20" s="70">
        <v>134617.51999999999</v>
      </c>
      <c r="AH20" s="70">
        <v>21237.200000000001</v>
      </c>
      <c r="AI20" s="67">
        <f t="shared" si="0"/>
        <v>606791830.46000004</v>
      </c>
      <c r="AJ20" s="69"/>
    </row>
    <row r="21" spans="1:36" x14ac:dyDescent="0.25">
      <c r="A21" s="72"/>
      <c r="B21" s="71" t="s">
        <v>109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>
        <v>98808409.319999993</v>
      </c>
      <c r="U21" s="70">
        <v>241337197.34</v>
      </c>
      <c r="V21" s="70">
        <v>100944946.48</v>
      </c>
      <c r="W21" s="70">
        <v>51812959.579999998</v>
      </c>
      <c r="X21" s="70">
        <v>37614255.189999998</v>
      </c>
      <c r="Y21" s="70">
        <v>27584021.579999998</v>
      </c>
      <c r="Z21" s="70">
        <v>22107472.079999998</v>
      </c>
      <c r="AA21" s="70">
        <v>12417981.91</v>
      </c>
      <c r="AB21" s="70">
        <v>11041189.789999999</v>
      </c>
      <c r="AC21" s="70">
        <v>7703432.3099999996</v>
      </c>
      <c r="AD21" s="70">
        <v>6301702.96</v>
      </c>
      <c r="AE21" s="70">
        <v>2849260.48</v>
      </c>
      <c r="AF21" s="70">
        <v>1755854.39</v>
      </c>
      <c r="AG21" s="70">
        <v>579630.79</v>
      </c>
      <c r="AH21" s="70">
        <v>88060.5</v>
      </c>
      <c r="AI21" s="67">
        <f t="shared" si="0"/>
        <v>622946374.69999993</v>
      </c>
      <c r="AJ21" s="69"/>
    </row>
    <row r="22" spans="1:36" x14ac:dyDescent="0.25">
      <c r="A22" s="72"/>
      <c r="B22" s="71" t="s">
        <v>108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>
        <v>87906786.530000001</v>
      </c>
      <c r="V22" s="70">
        <v>242429195.00999999</v>
      </c>
      <c r="W22" s="70">
        <v>92294704.659999996</v>
      </c>
      <c r="X22" s="70">
        <v>55000063.93</v>
      </c>
      <c r="Y22" s="70">
        <v>37032744.590000004</v>
      </c>
      <c r="Z22" s="70">
        <v>31471713.84</v>
      </c>
      <c r="AA22" s="70">
        <v>17859479.440000001</v>
      </c>
      <c r="AB22" s="70">
        <v>14346198.24</v>
      </c>
      <c r="AC22" s="70">
        <v>11532165.550000001</v>
      </c>
      <c r="AD22" s="70">
        <v>7298959.7800000003</v>
      </c>
      <c r="AE22" s="70">
        <v>4250578.97</v>
      </c>
      <c r="AF22" s="70">
        <v>3712090.12</v>
      </c>
      <c r="AG22" s="70">
        <v>1965642.71</v>
      </c>
      <c r="AH22" s="70">
        <v>276603.06</v>
      </c>
      <c r="AI22" s="67">
        <f t="shared" si="0"/>
        <v>607376926.42999995</v>
      </c>
      <c r="AJ22" s="69"/>
    </row>
    <row r="23" spans="1:36" x14ac:dyDescent="0.25">
      <c r="A23" s="72"/>
      <c r="B23" s="71" t="s">
        <v>107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>
        <v>105240732.73999999</v>
      </c>
      <c r="W23" s="70">
        <v>248358579.78999999</v>
      </c>
      <c r="X23" s="70">
        <v>110692347.42</v>
      </c>
      <c r="Y23" s="70">
        <v>61998549.43</v>
      </c>
      <c r="Z23" s="70">
        <v>46230771.079999998</v>
      </c>
      <c r="AA23" s="70">
        <v>24980674.98</v>
      </c>
      <c r="AB23" s="70">
        <v>20014045.93</v>
      </c>
      <c r="AC23" s="70">
        <v>15320250.07</v>
      </c>
      <c r="AD23" s="70">
        <v>10600935.199999999</v>
      </c>
      <c r="AE23" s="70">
        <v>7704955.46</v>
      </c>
      <c r="AF23" s="70">
        <v>4908830.75</v>
      </c>
      <c r="AG23" s="70">
        <v>2775547.64</v>
      </c>
      <c r="AH23" s="70">
        <v>918210.57</v>
      </c>
      <c r="AI23" s="67">
        <f t="shared" si="0"/>
        <v>659744431.06000018</v>
      </c>
      <c r="AJ23" s="69"/>
    </row>
    <row r="24" spans="1:36" x14ac:dyDescent="0.25">
      <c r="A24" s="72"/>
      <c r="B24" s="71" t="s">
        <v>106</v>
      </c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>
        <v>97091652.290000007</v>
      </c>
      <c r="X24" s="70">
        <v>242299915.56999999</v>
      </c>
      <c r="Y24" s="70">
        <v>109319880.59</v>
      </c>
      <c r="Z24" s="70">
        <v>64267220.850000001</v>
      </c>
      <c r="AA24" s="70">
        <v>39780219.140000001</v>
      </c>
      <c r="AB24" s="70">
        <v>30138196.719999999</v>
      </c>
      <c r="AC24" s="70">
        <v>21633674.449999999</v>
      </c>
      <c r="AD24" s="70">
        <v>11352009.43</v>
      </c>
      <c r="AE24" s="70">
        <v>7504940.9000000004</v>
      </c>
      <c r="AF24" s="70">
        <v>5017964.88</v>
      </c>
      <c r="AG24" s="70">
        <v>3791194.61</v>
      </c>
      <c r="AH24" s="70">
        <v>2216568.44</v>
      </c>
      <c r="AI24" s="67">
        <f t="shared" si="0"/>
        <v>634413437.87000012</v>
      </c>
      <c r="AJ24" s="69"/>
    </row>
    <row r="25" spans="1:36" x14ac:dyDescent="0.25">
      <c r="A25" s="72"/>
      <c r="B25" s="71" t="s">
        <v>105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>
        <v>97225545.049999997</v>
      </c>
      <c r="Y25" s="70">
        <v>231263365.66</v>
      </c>
      <c r="Z25" s="70">
        <v>119352419.38</v>
      </c>
      <c r="AA25" s="70">
        <v>60004319.670000002</v>
      </c>
      <c r="AB25" s="70">
        <v>48885733.340000004</v>
      </c>
      <c r="AC25" s="70">
        <v>31999848.260000002</v>
      </c>
      <c r="AD25" s="70">
        <v>17202231.149999999</v>
      </c>
      <c r="AE25" s="70">
        <v>10419492.83</v>
      </c>
      <c r="AF25" s="70">
        <v>5241427.33</v>
      </c>
      <c r="AG25" s="70">
        <v>4032928.98</v>
      </c>
      <c r="AH25" s="70">
        <v>3186257.03</v>
      </c>
      <c r="AI25" s="67">
        <f t="shared" si="0"/>
        <v>628813568.68000007</v>
      </c>
      <c r="AJ25" s="69"/>
    </row>
    <row r="26" spans="1:36" x14ac:dyDescent="0.25">
      <c r="A26" s="72"/>
      <c r="B26" s="71" t="s">
        <v>104</v>
      </c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>
        <v>93497058.590000004</v>
      </c>
      <c r="Z26" s="70">
        <v>243532588.46000001</v>
      </c>
      <c r="AA26" s="70">
        <v>109782793.27</v>
      </c>
      <c r="AB26" s="70">
        <v>68607869.319999993</v>
      </c>
      <c r="AC26" s="70">
        <v>54661697.890000001</v>
      </c>
      <c r="AD26" s="70">
        <v>25922421.719999999</v>
      </c>
      <c r="AE26" s="70">
        <v>16030345.16</v>
      </c>
      <c r="AF26" s="70">
        <v>8420922.3800000008</v>
      </c>
      <c r="AG26" s="70">
        <v>5605253.7400000002</v>
      </c>
      <c r="AH26" s="70">
        <v>4047121.87</v>
      </c>
      <c r="AI26" s="67">
        <f t="shared" si="0"/>
        <v>630108072.39999998</v>
      </c>
      <c r="AJ26" s="69"/>
    </row>
    <row r="27" spans="1:36" x14ac:dyDescent="0.25">
      <c r="A27" s="72"/>
      <c r="B27" s="71" t="s">
        <v>103</v>
      </c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105916698.64</v>
      </c>
      <c r="AA27" s="70">
        <v>252913819.87</v>
      </c>
      <c r="AB27" s="70">
        <v>139590443.47</v>
      </c>
      <c r="AC27" s="70">
        <v>87428045.129999995</v>
      </c>
      <c r="AD27" s="70">
        <v>50750024.200000003</v>
      </c>
      <c r="AE27" s="70">
        <v>25948423.449999999</v>
      </c>
      <c r="AF27" s="70">
        <v>14317609.59</v>
      </c>
      <c r="AG27" s="70">
        <v>9748620.4399999995</v>
      </c>
      <c r="AH27" s="70">
        <v>8574657.0199999996</v>
      </c>
      <c r="AI27" s="67">
        <f t="shared" si="0"/>
        <v>695188341.81000018</v>
      </c>
      <c r="AJ27" s="69"/>
    </row>
    <row r="28" spans="1:36" x14ac:dyDescent="0.25">
      <c r="A28" s="72"/>
      <c r="B28" s="71" t="s">
        <v>98</v>
      </c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>
        <v>91912139.980000004</v>
      </c>
      <c r="AB28" s="70">
        <v>238945979.25</v>
      </c>
      <c r="AC28" s="70">
        <v>130485457.84999999</v>
      </c>
      <c r="AD28" s="70">
        <v>70099254.189999998</v>
      </c>
      <c r="AE28" s="70">
        <v>36324331.890000001</v>
      </c>
      <c r="AF28" s="70">
        <v>23668146.48</v>
      </c>
      <c r="AG28" s="70">
        <v>14775693.18</v>
      </c>
      <c r="AH28" s="70">
        <v>9210883.1400000006</v>
      </c>
      <c r="AI28" s="67">
        <f t="shared" si="0"/>
        <v>615421885.96000004</v>
      </c>
      <c r="AJ28" s="69"/>
    </row>
    <row r="29" spans="1:36" x14ac:dyDescent="0.25">
      <c r="A29" s="72"/>
      <c r="B29" s="71" t="s">
        <v>97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>
        <v>78182752.799999997</v>
      </c>
      <c r="AC29" s="70">
        <v>215524939.84</v>
      </c>
      <c r="AD29" s="70">
        <v>103952041.68000001</v>
      </c>
      <c r="AE29" s="70">
        <v>51677842.399999999</v>
      </c>
      <c r="AF29" s="70">
        <v>32226550.780000001</v>
      </c>
      <c r="AG29" s="70">
        <v>15965592.130000001</v>
      </c>
      <c r="AH29" s="70">
        <v>13788977.75</v>
      </c>
      <c r="AI29" s="67">
        <f t="shared" si="0"/>
        <v>511318697.38</v>
      </c>
      <c r="AJ29" s="69"/>
    </row>
    <row r="30" spans="1:36" x14ac:dyDescent="0.25">
      <c r="A30" s="72"/>
      <c r="B30" s="71" t="s">
        <v>96</v>
      </c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>
        <v>105256327.20999999</v>
      </c>
      <c r="AD30" s="70">
        <v>234311295.06</v>
      </c>
      <c r="AE30" s="70">
        <v>110632978.93000001</v>
      </c>
      <c r="AF30" s="70">
        <v>56077436.399999999</v>
      </c>
      <c r="AG30" s="70">
        <v>31239516.34</v>
      </c>
      <c r="AH30" s="70">
        <v>22799856.68</v>
      </c>
      <c r="AI30" s="67">
        <f t="shared" si="0"/>
        <v>560317410.61999989</v>
      </c>
      <c r="AJ30" s="69"/>
    </row>
    <row r="31" spans="1:36" x14ac:dyDescent="0.25">
      <c r="A31" s="72"/>
      <c r="B31" s="71" t="s">
        <v>95</v>
      </c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>
        <v>92737725.390000001</v>
      </c>
      <c r="AE31" s="70">
        <v>230255406.61000001</v>
      </c>
      <c r="AF31" s="70">
        <v>96427275.879999995</v>
      </c>
      <c r="AG31" s="70">
        <v>54224534.560000002</v>
      </c>
      <c r="AH31" s="70">
        <v>33455711.789999999</v>
      </c>
      <c r="AI31" s="67">
        <f t="shared" si="0"/>
        <v>507100654.23000002</v>
      </c>
      <c r="AJ31" s="69"/>
    </row>
    <row r="32" spans="1:36" x14ac:dyDescent="0.25">
      <c r="A32" s="72"/>
      <c r="B32" s="71" t="s">
        <v>94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>
        <v>105431750.51000001</v>
      </c>
      <c r="AF32" s="70">
        <v>228817912.34</v>
      </c>
      <c r="AG32" s="70">
        <v>97712823.620000005</v>
      </c>
      <c r="AH32" s="70">
        <v>64069121.700000003</v>
      </c>
      <c r="AI32" s="67">
        <f t="shared" si="0"/>
        <v>496031608.17000002</v>
      </c>
      <c r="AJ32" s="69"/>
    </row>
    <row r="33" spans="1:36" x14ac:dyDescent="0.25">
      <c r="A33" s="72"/>
      <c r="B33" s="71" t="s">
        <v>93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>
        <v>99297446.109999999</v>
      </c>
      <c r="AG33" s="70">
        <v>218370309.50999999</v>
      </c>
      <c r="AH33" s="70">
        <v>107101649.38</v>
      </c>
      <c r="AI33" s="67">
        <f t="shared" si="0"/>
        <v>424769405</v>
      </c>
      <c r="AJ33" s="69"/>
    </row>
    <row r="34" spans="1:36" x14ac:dyDescent="0.25">
      <c r="A34" s="72"/>
      <c r="B34" s="71" t="s">
        <v>102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>
        <v>86850842.209999993</v>
      </c>
      <c r="AH34" s="70">
        <v>221335774.75</v>
      </c>
      <c r="AI34" s="67">
        <f t="shared" si="0"/>
        <v>308186616.95999998</v>
      </c>
      <c r="AJ34" s="69"/>
    </row>
    <row r="35" spans="1:36" x14ac:dyDescent="0.25">
      <c r="A35" s="72"/>
      <c r="B35" s="71" t="s">
        <v>101</v>
      </c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>
        <v>98806347.290000007</v>
      </c>
      <c r="AI35" s="67">
        <f t="shared" si="0"/>
        <v>98806347.290000007</v>
      </c>
      <c r="AJ35" s="69"/>
    </row>
    <row r="36" spans="1:36" x14ac:dyDescent="0.25">
      <c r="B36" s="68" t="s">
        <v>1</v>
      </c>
      <c r="C36" s="67">
        <f t="shared" ref="C36:AI36" si="1">SUM(C4:C35)</f>
        <v>113543425.02</v>
      </c>
      <c r="D36" s="67">
        <f t="shared" si="1"/>
        <v>349256193.79000002</v>
      </c>
      <c r="E36" s="67">
        <f t="shared" si="1"/>
        <v>503683205.35000002</v>
      </c>
      <c r="F36" s="67">
        <f t="shared" si="1"/>
        <v>409710374.25</v>
      </c>
      <c r="G36" s="67">
        <f t="shared" si="1"/>
        <v>360389549.19999999</v>
      </c>
      <c r="H36" s="67">
        <f t="shared" si="1"/>
        <v>438352339.88999999</v>
      </c>
      <c r="I36" s="67">
        <f t="shared" si="1"/>
        <v>510484018.28000003</v>
      </c>
      <c r="J36" s="67">
        <f t="shared" si="1"/>
        <v>518385552.58999997</v>
      </c>
      <c r="K36" s="67">
        <f t="shared" si="1"/>
        <v>536104389.85000002</v>
      </c>
      <c r="L36" s="67">
        <f t="shared" si="1"/>
        <v>586302567.41999996</v>
      </c>
      <c r="M36" s="67">
        <f t="shared" si="1"/>
        <v>521614277.19</v>
      </c>
      <c r="N36" s="67">
        <f t="shared" si="1"/>
        <v>614752196.53999996</v>
      </c>
      <c r="O36" s="67">
        <f t="shared" si="1"/>
        <v>642060328.17999995</v>
      </c>
      <c r="P36" s="67">
        <f t="shared" si="1"/>
        <v>544912661.15999997</v>
      </c>
      <c r="Q36" s="67">
        <f t="shared" si="1"/>
        <v>653607479.95000005</v>
      </c>
      <c r="R36" s="67">
        <f t="shared" si="1"/>
        <v>628291473.14999998</v>
      </c>
      <c r="S36" s="67">
        <f t="shared" si="1"/>
        <v>608260118.58000004</v>
      </c>
      <c r="T36" s="67">
        <f t="shared" si="1"/>
        <v>635808954.6500001</v>
      </c>
      <c r="U36" s="67">
        <f t="shared" si="1"/>
        <v>589190665.03999996</v>
      </c>
      <c r="V36" s="67">
        <f t="shared" si="1"/>
        <v>627940587.63</v>
      </c>
      <c r="W36" s="67">
        <f t="shared" si="1"/>
        <v>611233745.90999997</v>
      </c>
      <c r="X36" s="67">
        <f t="shared" si="1"/>
        <v>627466743.60000002</v>
      </c>
      <c r="Y36" s="67">
        <f t="shared" si="1"/>
        <v>629773486.10000002</v>
      </c>
      <c r="Z36" s="67">
        <f t="shared" si="1"/>
        <v>683678295.10000002</v>
      </c>
      <c r="AA36" s="67">
        <f t="shared" si="1"/>
        <v>638859230.81999993</v>
      </c>
      <c r="AB36" s="67">
        <f t="shared" si="1"/>
        <v>672207964.9799999</v>
      </c>
      <c r="AC36" s="67">
        <f t="shared" si="1"/>
        <v>697595544.2700001</v>
      </c>
      <c r="AD36" s="67">
        <f t="shared" si="1"/>
        <v>638061948.95999992</v>
      </c>
      <c r="AE36" s="67">
        <f t="shared" si="1"/>
        <v>611126537.30000007</v>
      </c>
      <c r="AF36" s="67">
        <f t="shared" si="1"/>
        <v>580730428.01999998</v>
      </c>
      <c r="AG36" s="67">
        <f t="shared" si="1"/>
        <v>547836515.61000001</v>
      </c>
      <c r="AH36" s="67">
        <f t="shared" si="1"/>
        <v>589905941.40999997</v>
      </c>
      <c r="AI36" s="67">
        <f t="shared" si="1"/>
        <v>17921126739.790001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DF441-BBD0-41F0-A794-20A7F6D778BE}">
  <sheetPr codeName="Sheet3"/>
  <dimension ref="A1:D34"/>
  <sheetViews>
    <sheetView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 x14ac:dyDescent="0.25"/>
  <cols>
    <col min="1" max="1" width="9.42578125" bestFit="1" customWidth="1"/>
    <col min="2" max="2" width="13.7109375" bestFit="1" customWidth="1"/>
    <col min="3" max="3" width="11.28515625" bestFit="1" customWidth="1"/>
    <col min="4" max="4" width="10.28515625" bestFit="1" customWidth="1"/>
  </cols>
  <sheetData>
    <row r="1" spans="1:3" x14ac:dyDescent="0.25">
      <c r="A1" s="74" t="s">
        <v>130</v>
      </c>
    </row>
    <row r="2" spans="1:3" x14ac:dyDescent="0.25">
      <c r="B2" s="74" t="s">
        <v>127</v>
      </c>
      <c r="C2" s="79" t="s">
        <v>129</v>
      </c>
    </row>
    <row r="3" spans="1:3" x14ac:dyDescent="0.25">
      <c r="B3" s="77" t="s">
        <v>126</v>
      </c>
      <c r="C3" s="76">
        <v>4022562</v>
      </c>
    </row>
    <row r="4" spans="1:3" x14ac:dyDescent="0.25">
      <c r="B4" s="77" t="s">
        <v>125</v>
      </c>
      <c r="C4" s="76">
        <v>3996174</v>
      </c>
    </row>
    <row r="5" spans="1:3" x14ac:dyDescent="0.25">
      <c r="B5" s="77" t="s">
        <v>124</v>
      </c>
      <c r="C5" s="76">
        <v>3989428</v>
      </c>
    </row>
    <row r="6" spans="1:3" x14ac:dyDescent="0.25">
      <c r="B6" s="77" t="s">
        <v>123</v>
      </c>
      <c r="C6" s="76">
        <v>3980783</v>
      </c>
    </row>
    <row r="7" spans="1:3" x14ac:dyDescent="0.25">
      <c r="B7" s="77" t="s">
        <v>122</v>
      </c>
      <c r="C7" s="76">
        <v>3957638</v>
      </c>
    </row>
    <row r="8" spans="1:3" x14ac:dyDescent="0.25">
      <c r="B8" s="77" t="s">
        <v>121</v>
      </c>
      <c r="C8" s="76">
        <v>3933019</v>
      </c>
    </row>
    <row r="9" spans="1:3" x14ac:dyDescent="0.25">
      <c r="B9" s="77" t="s">
        <v>120</v>
      </c>
      <c r="C9" s="76">
        <v>3901508</v>
      </c>
    </row>
    <row r="10" spans="1:3" x14ac:dyDescent="0.25">
      <c r="B10" s="77" t="s">
        <v>119</v>
      </c>
      <c r="C10" s="76">
        <v>3871947</v>
      </c>
    </row>
    <row r="11" spans="1:3" x14ac:dyDescent="0.25">
      <c r="B11" s="77" t="s">
        <v>118</v>
      </c>
      <c r="C11" s="76">
        <v>3856827</v>
      </c>
    </row>
    <row r="12" spans="1:3" x14ac:dyDescent="0.25">
      <c r="B12" s="77" t="s">
        <v>117</v>
      </c>
      <c r="C12" s="76">
        <v>3841287</v>
      </c>
    </row>
    <row r="13" spans="1:3" x14ac:dyDescent="0.25">
      <c r="B13" s="77" t="s">
        <v>116</v>
      </c>
      <c r="C13" s="76">
        <v>3823972</v>
      </c>
    </row>
    <row r="14" spans="1:3" x14ac:dyDescent="0.25">
      <c r="B14" s="77" t="s">
        <v>115</v>
      </c>
      <c r="C14" s="76">
        <v>3822502</v>
      </c>
    </row>
    <row r="15" spans="1:3" x14ac:dyDescent="0.25">
      <c r="B15" s="77" t="s">
        <v>114</v>
      </c>
      <c r="C15" s="76">
        <v>3895094</v>
      </c>
    </row>
    <row r="16" spans="1:3" x14ac:dyDescent="0.25">
      <c r="B16" s="77" t="s">
        <v>113</v>
      </c>
      <c r="C16" s="76">
        <v>3874416</v>
      </c>
    </row>
    <row r="17" spans="2:4" x14ac:dyDescent="0.25">
      <c r="B17" s="77" t="s">
        <v>112</v>
      </c>
      <c r="C17" s="76">
        <v>3866938</v>
      </c>
    </row>
    <row r="18" spans="2:4" x14ac:dyDescent="0.25">
      <c r="B18" s="77" t="s">
        <v>111</v>
      </c>
      <c r="C18" s="76">
        <v>3861213</v>
      </c>
    </row>
    <row r="19" spans="2:4" x14ac:dyDescent="0.25">
      <c r="B19" s="77" t="s">
        <v>110</v>
      </c>
      <c r="C19" s="76">
        <v>3836568</v>
      </c>
    </row>
    <row r="20" spans="2:4" x14ac:dyDescent="0.25">
      <c r="B20" s="77" t="s">
        <v>109</v>
      </c>
      <c r="C20" s="76">
        <v>3825850</v>
      </c>
    </row>
    <row r="21" spans="2:4" x14ac:dyDescent="0.25">
      <c r="B21" s="77" t="s">
        <v>108</v>
      </c>
      <c r="C21" s="76">
        <v>3810668</v>
      </c>
    </row>
    <row r="22" spans="2:4" x14ac:dyDescent="0.25">
      <c r="B22" s="77" t="s">
        <v>107</v>
      </c>
      <c r="C22" s="76">
        <v>3797329</v>
      </c>
      <c r="D22" s="78"/>
    </row>
    <row r="23" spans="2:4" x14ac:dyDescent="0.25">
      <c r="B23" s="77" t="s">
        <v>106</v>
      </c>
      <c r="C23" s="76">
        <v>3799900</v>
      </c>
      <c r="D23" s="78"/>
    </row>
    <row r="24" spans="2:4" x14ac:dyDescent="0.25">
      <c r="B24" s="77" t="s">
        <v>105</v>
      </c>
      <c r="C24" s="76">
        <v>3796860</v>
      </c>
      <c r="D24" s="78"/>
    </row>
    <row r="25" spans="2:4" x14ac:dyDescent="0.25">
      <c r="B25" s="77" t="s">
        <v>104</v>
      </c>
      <c r="C25" s="76">
        <v>3795321</v>
      </c>
      <c r="D25" s="78"/>
    </row>
    <row r="26" spans="2:4" x14ac:dyDescent="0.25">
      <c r="B26" s="77" t="s">
        <v>103</v>
      </c>
      <c r="C26" s="76">
        <v>3800988</v>
      </c>
      <c r="D26" s="78"/>
    </row>
    <row r="27" spans="2:4" x14ac:dyDescent="0.25">
      <c r="B27" s="77" t="s">
        <v>98</v>
      </c>
      <c r="C27" s="76">
        <v>3697596</v>
      </c>
      <c r="D27" s="78"/>
    </row>
    <row r="28" spans="2:4" x14ac:dyDescent="0.25">
      <c r="B28" s="77" t="s">
        <v>97</v>
      </c>
      <c r="C28" s="76">
        <v>3686785</v>
      </c>
      <c r="D28" s="78"/>
    </row>
    <row r="29" spans="2:4" x14ac:dyDescent="0.25">
      <c r="B29" s="77" t="s">
        <v>96</v>
      </c>
      <c r="C29" s="76">
        <v>3686904</v>
      </c>
      <c r="D29" s="78"/>
    </row>
    <row r="30" spans="2:4" x14ac:dyDescent="0.25">
      <c r="B30" s="77" t="s">
        <v>95</v>
      </c>
      <c r="C30" s="76">
        <v>3699255</v>
      </c>
      <c r="D30" s="78"/>
    </row>
    <row r="31" spans="2:4" x14ac:dyDescent="0.25">
      <c r="B31" s="77" t="s">
        <v>94</v>
      </c>
      <c r="C31" s="76">
        <v>3686935</v>
      </c>
      <c r="D31" s="78"/>
    </row>
    <row r="32" spans="2:4" x14ac:dyDescent="0.25">
      <c r="B32" s="77" t="s">
        <v>93</v>
      </c>
      <c r="C32" s="76">
        <v>3692581</v>
      </c>
      <c r="D32" s="78"/>
    </row>
    <row r="33" spans="2:4" x14ac:dyDescent="0.25">
      <c r="B33" s="77" t="s">
        <v>102</v>
      </c>
      <c r="C33" s="76">
        <v>3688179</v>
      </c>
      <c r="D33" s="78"/>
    </row>
    <row r="34" spans="2:4" x14ac:dyDescent="0.25">
      <c r="B34" s="77" t="s">
        <v>101</v>
      </c>
      <c r="C34" s="76">
        <v>3678321</v>
      </c>
      <c r="D34" s="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C0EF-4441-4C89-8CFF-447FFCCF5A16}">
  <dimension ref="A1:AL162"/>
  <sheetViews>
    <sheetView zoomScale="51" workbookViewId="0"/>
  </sheetViews>
  <sheetFormatPr defaultRowHeight="15" x14ac:dyDescent="0.25"/>
  <cols>
    <col min="2" max="2" width="10.85546875" bestFit="1" customWidth="1"/>
    <col min="3" max="4" width="14.5703125" customWidth="1"/>
    <col min="5" max="7" width="20.28515625" bestFit="1" customWidth="1"/>
    <col min="8" max="8" width="16" bestFit="1" customWidth="1"/>
    <col min="9" max="37" width="14.5703125" customWidth="1"/>
    <col min="38" max="38" width="13.42578125" bestFit="1" customWidth="1"/>
  </cols>
  <sheetData>
    <row r="1" spans="1:38" x14ac:dyDescent="0.25">
      <c r="A1" s="74" t="s">
        <v>338</v>
      </c>
    </row>
    <row r="2" spans="1:38" x14ac:dyDescent="0.25">
      <c r="A2" s="74"/>
      <c r="D2" s="74" t="s">
        <v>326</v>
      </c>
    </row>
    <row r="3" spans="1:38" x14ac:dyDescent="0.25">
      <c r="C3" s="74" t="s">
        <v>127</v>
      </c>
      <c r="D3" s="73" t="s">
        <v>126</v>
      </c>
      <c r="E3" s="73" t="s">
        <v>125</v>
      </c>
      <c r="F3" s="73" t="s">
        <v>124</v>
      </c>
      <c r="G3" s="73" t="s">
        <v>123</v>
      </c>
      <c r="H3" s="73" t="s">
        <v>122</v>
      </c>
      <c r="I3" s="73" t="s">
        <v>121</v>
      </c>
      <c r="J3" s="73" t="s">
        <v>120</v>
      </c>
      <c r="K3" s="73" t="s">
        <v>119</v>
      </c>
      <c r="L3" s="73" t="s">
        <v>118</v>
      </c>
      <c r="M3" s="73" t="s">
        <v>117</v>
      </c>
      <c r="N3" s="73" t="s">
        <v>116</v>
      </c>
      <c r="O3" s="73" t="s">
        <v>115</v>
      </c>
      <c r="P3" s="73" t="s">
        <v>114</v>
      </c>
      <c r="Q3" s="73" t="s">
        <v>113</v>
      </c>
      <c r="R3" s="73" t="s">
        <v>112</v>
      </c>
      <c r="S3" s="73" t="s">
        <v>111</v>
      </c>
      <c r="T3" s="73" t="s">
        <v>110</v>
      </c>
      <c r="U3" s="73" t="s">
        <v>109</v>
      </c>
      <c r="V3" s="73" t="s">
        <v>108</v>
      </c>
      <c r="W3" s="73" t="s">
        <v>107</v>
      </c>
      <c r="X3" s="73" t="s">
        <v>106</v>
      </c>
      <c r="Y3" s="73" t="s">
        <v>105</v>
      </c>
      <c r="Z3" s="73" t="s">
        <v>104</v>
      </c>
      <c r="AA3" s="73" t="s">
        <v>103</v>
      </c>
      <c r="AB3" s="73" t="s">
        <v>98</v>
      </c>
      <c r="AC3" s="73" t="s">
        <v>97</v>
      </c>
      <c r="AD3" s="73" t="s">
        <v>96</v>
      </c>
      <c r="AE3" s="73" t="s">
        <v>95</v>
      </c>
      <c r="AF3" s="73" t="s">
        <v>94</v>
      </c>
      <c r="AG3" s="73" t="s">
        <v>93</v>
      </c>
      <c r="AH3" s="73" t="s">
        <v>102</v>
      </c>
      <c r="AI3" s="73" t="s">
        <v>101</v>
      </c>
      <c r="AJ3" s="73" t="s">
        <v>1</v>
      </c>
      <c r="AL3" s="79" t="s">
        <v>319</v>
      </c>
    </row>
    <row r="4" spans="1:38" x14ac:dyDescent="0.25">
      <c r="C4" s="73" t="s">
        <v>126</v>
      </c>
      <c r="D4" s="168">
        <f>'[90]Exhibit 1'!C4/$AL4</f>
        <v>28.226643870249855</v>
      </c>
      <c r="E4" s="168">
        <f>'[90]Exhibit 1'!D4/$AL4</f>
        <v>60.618740253102374</v>
      </c>
      <c r="F4" s="168">
        <f>'[90]Exhibit 1'!E4/$AL4</f>
        <v>29.134329854953137</v>
      </c>
      <c r="G4" s="168">
        <f>'[90]Exhibit 1'!F4/$AL4</f>
        <v>12.584031855817264</v>
      </c>
      <c r="H4" s="168">
        <f>'[90]Exhibit 1'!G4/$AL4</f>
        <v>6.5694230965240559</v>
      </c>
      <c r="I4" s="168">
        <f>'[90]Exhibit 1'!H4/$AL4</f>
        <v>3.8934797226245363</v>
      </c>
      <c r="J4" s="168">
        <f>'[90]Exhibit 1'!I4/$AL4</f>
        <v>2.6572745802302116</v>
      </c>
      <c r="K4" s="168">
        <f>'[90]Exhibit 1'!J4/$AL4</f>
        <v>1.9689702209686264</v>
      </c>
      <c r="L4" s="168">
        <f>'[90]Exhibit 1'!K4/$AL4</f>
        <v>1.4064380760321409</v>
      </c>
      <c r="M4" s="168">
        <f>'[90]Exhibit 1'!L4/$AL4</f>
        <v>1.1287636734996254</v>
      </c>
      <c r="N4" s="168">
        <f>'[90]Exhibit 1'!M4/$AL4</f>
        <v>0.82774074582318435</v>
      </c>
      <c r="O4" s="168">
        <f>'[90]Exhibit 1'!N4/$AL4</f>
        <v>0.73177242762199812</v>
      </c>
      <c r="P4" s="168">
        <f>'[90]Exhibit 1'!O4/$AL4</f>
        <v>0.39588747917372064</v>
      </c>
      <c r="Q4" s="168">
        <f>'[90]Exhibit 1'!P4/$AL4</f>
        <v>8.6275132614487979E-2</v>
      </c>
      <c r="R4" s="168">
        <f>'[90]Exhibit 1'!Q4/$AL4</f>
        <v>3.506359379917575E-2</v>
      </c>
      <c r="S4" s="168">
        <f>'[90]Exhibit 1'!R4/$AL4</f>
        <v>9.5082139193876924E-3</v>
      </c>
      <c r="T4" s="168">
        <f>'[90]Exhibit 1'!S4/$AL4</f>
        <v>1.504434238676744E-3</v>
      </c>
      <c r="U4" s="168">
        <f>'[90]Exhibit 1'!T4/$AL4</f>
        <v>9.461134471016233E-5</v>
      </c>
      <c r="V4" s="168">
        <f>'[90]Exhibit 1'!U4/$AL4</f>
        <v>3.0323957716500083E-5</v>
      </c>
      <c r="W4" s="168">
        <f>'[90]Exhibit 1'!V4/$AL4</f>
        <v>5.7177490365592873E-6</v>
      </c>
      <c r="X4" s="168">
        <f>'[90]Exhibit 1'!W4/$AL4</f>
        <v>0</v>
      </c>
      <c r="Y4" s="168">
        <f>'[90]Exhibit 1'!X4/$AL4</f>
        <v>0</v>
      </c>
      <c r="Z4" s="168">
        <f>'[90]Exhibit 1'!Y4/$AL4</f>
        <v>0</v>
      </c>
      <c r="AA4" s="168">
        <f>'[90]Exhibit 1'!Z4/$AL4</f>
        <v>0</v>
      </c>
      <c r="AB4" s="168">
        <f>'[90]Exhibit 1'!AA4/$AL4</f>
        <v>0</v>
      </c>
      <c r="AC4" s="168">
        <f>'[90]Exhibit 1'!AB4/$AL4</f>
        <v>0</v>
      </c>
      <c r="AD4" s="168">
        <f>'[90]Exhibit 1'!AC4/$AL4</f>
        <v>0</v>
      </c>
      <c r="AE4" s="168">
        <f>'[90]Exhibit 1'!AD4/$AL4</f>
        <v>0</v>
      </c>
      <c r="AF4" s="168">
        <f>'[90]Exhibit 1'!AE4/$AL4</f>
        <v>0</v>
      </c>
      <c r="AG4" s="168">
        <f>'[90]Exhibit 1'!AF4/$AL4</f>
        <v>0</v>
      </c>
      <c r="AH4" s="168">
        <f>'[90]Exhibit 1'!AG4/$AL4</f>
        <v>0</v>
      </c>
      <c r="AI4" s="168">
        <f>'[90]Exhibit 1'!AH4/$AL4</f>
        <v>0</v>
      </c>
      <c r="AJ4" s="186">
        <f t="shared" ref="AJ4:AJ35" si="0">SUM(D4:AI4)</f>
        <v>150.27597788424396</v>
      </c>
      <c r="AK4" s="69"/>
      <c r="AL4" s="76">
        <v>4022562</v>
      </c>
    </row>
    <row r="5" spans="1:38" x14ac:dyDescent="0.25">
      <c r="C5" s="73" t="s">
        <v>125</v>
      </c>
      <c r="D5" s="168"/>
      <c r="E5" s="168">
        <f>'[90]Exhibit 1'!D5/$AL5</f>
        <v>26.378619339398135</v>
      </c>
      <c r="F5" s="168">
        <f>'[90]Exhibit 1'!E5/$AL5</f>
        <v>65.41549456054716</v>
      </c>
      <c r="G5" s="168">
        <f>'[90]Exhibit 1'!F5/$AL5</f>
        <v>23.372868195929406</v>
      </c>
      <c r="H5" s="168">
        <f>'[90]Exhibit 1'!G5/$AL5</f>
        <v>10.933126535531235</v>
      </c>
      <c r="I5" s="168">
        <f>'[90]Exhibit 1'!H5/$AL5</f>
        <v>6.3235821913660413</v>
      </c>
      <c r="J5" s="168">
        <f>'[90]Exhibit 1'!I5/$AL5</f>
        <v>4.852689715212601</v>
      </c>
      <c r="K5" s="168">
        <f>'[90]Exhibit 1'!J5/$AL5</f>
        <v>2.2628594575711669</v>
      </c>
      <c r="L5" s="168">
        <f>'[90]Exhibit 1'!K5/$AL5</f>
        <v>2.0660539455989655</v>
      </c>
      <c r="M5" s="168">
        <f>'[90]Exhibit 1'!L5/$AL5</f>
        <v>1.4628597753751464</v>
      </c>
      <c r="N5" s="168">
        <f>'[90]Exhibit 1'!M5/$AL5</f>
        <v>0.66811942372879662</v>
      </c>
      <c r="O5" s="168">
        <f>'[90]Exhibit 1'!N5/$AL5</f>
        <v>1.2158798916163311</v>
      </c>
      <c r="P5" s="168">
        <f>'[90]Exhibit 1'!O5/$AL5</f>
        <v>0.86095193552633098</v>
      </c>
      <c r="Q5" s="168">
        <f>'[90]Exhibit 1'!P5/$AL5</f>
        <v>0.31613008342479582</v>
      </c>
      <c r="R5" s="168">
        <f>'[90]Exhibit 1'!Q5/$AL5</f>
        <v>0.16218846076271956</v>
      </c>
      <c r="S5" s="168">
        <f>'[90]Exhibit 1'!R5/$AL5</f>
        <v>1.9672071336233107E-2</v>
      </c>
      <c r="T5" s="168">
        <f>'[90]Exhibit 1'!S5/$AL5</f>
        <v>1.5006281007783945E-2</v>
      </c>
      <c r="U5" s="168">
        <f>'[90]Exhibit 1'!T5/$AL5</f>
        <v>1.9274936476740002E-4</v>
      </c>
      <c r="V5" s="168">
        <f>'[90]Exhibit 1'!U5/$AL5</f>
        <v>8.9317932602534327E-5</v>
      </c>
      <c r="W5" s="168">
        <f>'[90]Exhibit 1'!V5/$AL5</f>
        <v>5.7414917368462935E-5</v>
      </c>
      <c r="X5" s="168">
        <f>'[90]Exhibit 1'!W5/$AL5</f>
        <v>0</v>
      </c>
      <c r="Y5" s="168">
        <f>'[90]Exhibit 1'!X5/$AL5</f>
        <v>0</v>
      </c>
      <c r="Z5" s="168">
        <f>'[90]Exhibit 1'!Y5/$AL5</f>
        <v>0</v>
      </c>
      <c r="AA5" s="168">
        <f>'[90]Exhibit 1'!Z5/$AL5</f>
        <v>0</v>
      </c>
      <c r="AB5" s="168">
        <f>'[90]Exhibit 1'!AA5/$AL5</f>
        <v>0</v>
      </c>
      <c r="AC5" s="168">
        <f>'[90]Exhibit 1'!AB5/$AL5</f>
        <v>0</v>
      </c>
      <c r="AD5" s="168">
        <f>'[90]Exhibit 1'!AC5/$AL5</f>
        <v>0</v>
      </c>
      <c r="AE5" s="168">
        <f>'[90]Exhibit 1'!AD5/$AL5</f>
        <v>0</v>
      </c>
      <c r="AF5" s="168">
        <f>'[90]Exhibit 1'!AE5/$AL5</f>
        <v>0</v>
      </c>
      <c r="AG5" s="168">
        <f>'[90]Exhibit 1'!AF5/$AL5</f>
        <v>0</v>
      </c>
      <c r="AH5" s="168">
        <f>'[90]Exhibit 1'!AG5/$AL5</f>
        <v>0</v>
      </c>
      <c r="AI5" s="168">
        <f>'[90]Exhibit 1'!AH5/$AL5</f>
        <v>0</v>
      </c>
      <c r="AJ5" s="186">
        <f t="shared" si="0"/>
        <v>146.32644134614756</v>
      </c>
      <c r="AK5" s="69"/>
      <c r="AL5" s="76">
        <v>3996174</v>
      </c>
    </row>
    <row r="6" spans="1:38" x14ac:dyDescent="0.25">
      <c r="C6" s="73" t="s">
        <v>124</v>
      </c>
      <c r="D6" s="168"/>
      <c r="E6" s="168"/>
      <c r="F6" s="168">
        <f>'[90]Exhibit 1'!E6/$AL6</f>
        <v>31.352078197676459</v>
      </c>
      <c r="G6" s="168">
        <f>'[90]Exhibit 1'!F6/$AL6</f>
        <v>50.149522683452361</v>
      </c>
      <c r="H6" s="168">
        <f>'[90]Exhibit 1'!G6/$AL6</f>
        <v>18.353023323143066</v>
      </c>
      <c r="I6" s="168">
        <f>'[90]Exhibit 1'!H6/$AL6</f>
        <v>9.9295896654858797</v>
      </c>
      <c r="J6" s="168">
        <f>'[90]Exhibit 1'!I6/$AL6</f>
        <v>6.5442379659439895</v>
      </c>
      <c r="K6" s="168">
        <f>'[90]Exhibit 1'!J6/$AL6</f>
        <v>3.498390090007891</v>
      </c>
      <c r="L6" s="168">
        <f>'[90]Exhibit 1'!K6/$AL6</f>
        <v>2.2385854513479124</v>
      </c>
      <c r="M6" s="168">
        <f>'[90]Exhibit 1'!L6/$AL6</f>
        <v>1.8114468490219651</v>
      </c>
      <c r="N6" s="168">
        <f>'[90]Exhibit 1'!M6/$AL6</f>
        <v>1.1002803033417321</v>
      </c>
      <c r="O6" s="168">
        <f>'[90]Exhibit 1'!N6/$AL6</f>
        <v>1.6104407123026157</v>
      </c>
      <c r="P6" s="168">
        <f>'[90]Exhibit 1'!O6/$AL6</f>
        <v>0.82666272708769284</v>
      </c>
      <c r="Q6" s="168">
        <f>'[90]Exhibit 1'!P6/$AL6</f>
        <v>0.52507128089540656</v>
      </c>
      <c r="R6" s="168">
        <f>'[90]Exhibit 1'!Q6/$AL6</f>
        <v>0.32592014945500958</v>
      </c>
      <c r="S6" s="168">
        <f>'[90]Exhibit 1'!R6/$AL6</f>
        <v>0.13771123579620939</v>
      </c>
      <c r="T6" s="168">
        <f>'[90]Exhibit 1'!S6/$AL6</f>
        <v>3.3539284328480169E-2</v>
      </c>
      <c r="U6" s="168">
        <f>'[90]Exhibit 1'!T6/$AL6</f>
        <v>4.74561014762016E-3</v>
      </c>
      <c r="V6" s="168">
        <f>'[90]Exhibit 1'!U6/$AL6</f>
        <v>1.8770460326643318E-3</v>
      </c>
      <c r="W6" s="168">
        <f>'[90]Exhibit 1'!V6/$AL6</f>
        <v>4.7858991314043021E-5</v>
      </c>
      <c r="X6" s="168">
        <f>'[90]Exhibit 1'!W6/$AL6</f>
        <v>1.4315335431545574E-5</v>
      </c>
      <c r="Y6" s="168">
        <f>'[90]Exhibit 1'!X6/$AL6</f>
        <v>0</v>
      </c>
      <c r="Z6" s="168">
        <f>'[90]Exhibit 1'!Y6/$AL6</f>
        <v>0</v>
      </c>
      <c r="AA6" s="168">
        <f>'[90]Exhibit 1'!Z6/$AL6</f>
        <v>0</v>
      </c>
      <c r="AB6" s="168">
        <f>'[90]Exhibit 1'!AA6/$AL6</f>
        <v>0</v>
      </c>
      <c r="AC6" s="168">
        <f>'[90]Exhibit 1'!AB6/$AL6</f>
        <v>0</v>
      </c>
      <c r="AD6" s="168">
        <f>'[90]Exhibit 1'!AC6/$AL6</f>
        <v>0</v>
      </c>
      <c r="AE6" s="168">
        <f>'[90]Exhibit 1'!AD6/$AL6</f>
        <v>0</v>
      </c>
      <c r="AF6" s="168">
        <f>'[90]Exhibit 1'!AE6/$AL6</f>
        <v>0</v>
      </c>
      <c r="AG6" s="168">
        <f>'[90]Exhibit 1'!AF6/$AL6</f>
        <v>0</v>
      </c>
      <c r="AH6" s="168">
        <f>'[90]Exhibit 1'!AG6/$AL6</f>
        <v>0</v>
      </c>
      <c r="AI6" s="168">
        <f>'[90]Exhibit 1'!AH6/$AL6</f>
        <v>0</v>
      </c>
      <c r="AJ6" s="186">
        <f t="shared" si="0"/>
        <v>128.44318474979366</v>
      </c>
      <c r="AK6" s="69"/>
      <c r="AL6" s="76">
        <v>3989428</v>
      </c>
    </row>
    <row r="7" spans="1:38" x14ac:dyDescent="0.25">
      <c r="C7" s="73" t="s">
        <v>123</v>
      </c>
      <c r="D7" s="168"/>
      <c r="E7" s="168"/>
      <c r="F7" s="168"/>
      <c r="G7" s="168">
        <f>'[90]Exhibit 1'!F7/$AL7</f>
        <v>16.484286566235838</v>
      </c>
      <c r="H7" s="168">
        <f>'[90]Exhibit 1'!G7/$AL7</f>
        <v>36.462113842929895</v>
      </c>
      <c r="I7" s="168">
        <f>'[90]Exhibit 1'!H7/$AL7</f>
        <v>15.983690962305657</v>
      </c>
      <c r="J7" s="168">
        <f>'[90]Exhibit 1'!I7/$AL7</f>
        <v>7.9951131071450012</v>
      </c>
      <c r="K7" s="168">
        <f>'[90]Exhibit 1'!J7/$AL7</f>
        <v>3.5663755874158425</v>
      </c>
      <c r="L7" s="168">
        <f>'[90]Exhibit 1'!K7/$AL7</f>
        <v>2.0483185996322835</v>
      </c>
      <c r="M7" s="168">
        <f>'[90]Exhibit 1'!L7/$AL7</f>
        <v>1.5348670198802596</v>
      </c>
      <c r="N7" s="168">
        <f>'[90]Exhibit 1'!M7/$AL7</f>
        <v>0.84095278491693715</v>
      </c>
      <c r="O7" s="168">
        <f>'[90]Exhibit 1'!N7/$AL7</f>
        <v>1.0598677822930815</v>
      </c>
      <c r="P7" s="168">
        <f>'[90]Exhibit 1'!O7/$AL7</f>
        <v>0.59251954452176869</v>
      </c>
      <c r="Q7" s="168">
        <f>'[90]Exhibit 1'!P7/$AL7</f>
        <v>0.44328367057435686</v>
      </c>
      <c r="R7" s="168">
        <f>'[90]Exhibit 1'!Q7/$AL7</f>
        <v>0.36366263622006023</v>
      </c>
      <c r="S7" s="168">
        <f>'[90]Exhibit 1'!R7/$AL7</f>
        <v>0.13309409982910397</v>
      </c>
      <c r="T7" s="168">
        <f>'[90]Exhibit 1'!S7/$AL7</f>
        <v>9.1955949369759662E-2</v>
      </c>
      <c r="U7" s="168">
        <f>'[90]Exhibit 1'!T7/$AL7</f>
        <v>7.6267658900271628E-3</v>
      </c>
      <c r="V7" s="168">
        <f>'[90]Exhibit 1'!U7/$AL7</f>
        <v>8.7784915681161212E-3</v>
      </c>
      <c r="W7" s="168">
        <f>'[90]Exhibit 1'!V7/$AL7</f>
        <v>1.2665247012962023E-3</v>
      </c>
      <c r="X7" s="168">
        <f>'[90]Exhibit 1'!W7/$AL7</f>
        <v>1.7984150354339836E-4</v>
      </c>
      <c r="Y7" s="168">
        <f>'[90]Exhibit 1'!X7/$AL7</f>
        <v>5.8616608843034144E-5</v>
      </c>
      <c r="Z7" s="168">
        <f>'[90]Exhibit 1'!Y7/$AL7</f>
        <v>0</v>
      </c>
      <c r="AA7" s="168">
        <f>'[90]Exhibit 1'!Z7/$AL7</f>
        <v>0</v>
      </c>
      <c r="AB7" s="168">
        <f>'[90]Exhibit 1'!AA7/$AL7</f>
        <v>0</v>
      </c>
      <c r="AC7" s="168">
        <f>'[90]Exhibit 1'!AB7/$AL7</f>
        <v>0</v>
      </c>
      <c r="AD7" s="168">
        <f>'[90]Exhibit 1'!AC7/$AL7</f>
        <v>0</v>
      </c>
      <c r="AE7" s="168">
        <f>'[90]Exhibit 1'!AD7/$AL7</f>
        <v>0</v>
      </c>
      <c r="AF7" s="168">
        <f>'[90]Exhibit 1'!AE7/$AL7</f>
        <v>0</v>
      </c>
      <c r="AG7" s="168">
        <f>'[90]Exhibit 1'!AF7/$AL7</f>
        <v>0</v>
      </c>
      <c r="AH7" s="168">
        <f>'[90]Exhibit 1'!AG7/$AL7</f>
        <v>0</v>
      </c>
      <c r="AI7" s="168">
        <f>'[90]Exhibit 1'!AH7/$AL7</f>
        <v>0</v>
      </c>
      <c r="AJ7" s="186">
        <f t="shared" si="0"/>
        <v>87.618012393541676</v>
      </c>
      <c r="AK7" s="69"/>
      <c r="AL7" s="76">
        <v>3980783</v>
      </c>
    </row>
    <row r="8" spans="1:38" x14ac:dyDescent="0.25">
      <c r="C8" s="73" t="s">
        <v>122</v>
      </c>
      <c r="D8" s="168"/>
      <c r="E8" s="168"/>
      <c r="F8" s="168"/>
      <c r="G8" s="168"/>
      <c r="H8" s="168">
        <f>'[90]Exhibit 1'!G8/$AL8</f>
        <v>18.169204315806549</v>
      </c>
      <c r="I8" s="168">
        <f>'[90]Exhibit 1'!H8/$AL8</f>
        <v>50.043215837325192</v>
      </c>
      <c r="J8" s="168">
        <f>'[90]Exhibit 1'!I8/$AL8</f>
        <v>21.378323040156779</v>
      </c>
      <c r="K8" s="168">
        <f>'[90]Exhibit 1'!J8/$AL8</f>
        <v>9.6659794099409808</v>
      </c>
      <c r="L8" s="168">
        <f>'[90]Exhibit 1'!K8/$AL8</f>
        <v>5.4498561515732362</v>
      </c>
      <c r="M8" s="168">
        <f>'[90]Exhibit 1'!L8/$AL8</f>
        <v>3.4060130992273674</v>
      </c>
      <c r="N8" s="168">
        <f>'[90]Exhibit 1'!M8/$AL8</f>
        <v>1.958892308998448</v>
      </c>
      <c r="O8" s="168">
        <f>'[90]Exhibit 1'!N8/$AL8</f>
        <v>1.5508625422537383</v>
      </c>
      <c r="P8" s="168">
        <f>'[90]Exhibit 1'!O8/$AL8</f>
        <v>1.3880654142698245</v>
      </c>
      <c r="Q8" s="168">
        <f>'[90]Exhibit 1'!P8/$AL8</f>
        <v>0.74681578507180291</v>
      </c>
      <c r="R8" s="168">
        <f>'[90]Exhibit 1'!Q8/$AL8</f>
        <v>0.74488802159267731</v>
      </c>
      <c r="S8" s="168">
        <f>'[90]Exhibit 1'!R8/$AL8</f>
        <v>0.36981412650676992</v>
      </c>
      <c r="T8" s="168">
        <f>'[90]Exhibit 1'!S8/$AL8</f>
        <v>0.45527611671406026</v>
      </c>
      <c r="U8" s="168">
        <f>'[90]Exhibit 1'!T8/$AL8</f>
        <v>7.9938698284178586E-2</v>
      </c>
      <c r="V8" s="168">
        <f>'[90]Exhibit 1'!U8/$AL8</f>
        <v>3.1757275425392618E-2</v>
      </c>
      <c r="W8" s="168">
        <f>'[90]Exhibit 1'!V8/$AL8</f>
        <v>8.0067504910757373E-3</v>
      </c>
      <c r="X8" s="168">
        <f>'[90]Exhibit 1'!W8/$AL8</f>
        <v>4.8196171554851659E-4</v>
      </c>
      <c r="Y8" s="168">
        <f>'[90]Exhibit 1'!X8/$AL8</f>
        <v>1.2957223475214256E-4</v>
      </c>
      <c r="Z8" s="168">
        <f>'[90]Exhibit 1'!Y8/$AL8</f>
        <v>3.1394988627054826E-5</v>
      </c>
      <c r="AA8" s="168">
        <f>'[90]Exhibit 1'!Z8/$AL8</f>
        <v>0</v>
      </c>
      <c r="AB8" s="168">
        <f>'[90]Exhibit 1'!AA8/$AL8</f>
        <v>0</v>
      </c>
      <c r="AC8" s="168">
        <f>'[90]Exhibit 1'!AB8/$AL8</f>
        <v>0</v>
      </c>
      <c r="AD8" s="168">
        <f>'[90]Exhibit 1'!AC8/$AL8</f>
        <v>0</v>
      </c>
      <c r="AE8" s="168">
        <f>'[90]Exhibit 1'!AD8/$AL8</f>
        <v>0</v>
      </c>
      <c r="AF8" s="168">
        <f>'[90]Exhibit 1'!AE8/$AL8</f>
        <v>0</v>
      </c>
      <c r="AG8" s="168">
        <f>'[90]Exhibit 1'!AF8/$AL8</f>
        <v>0</v>
      </c>
      <c r="AH8" s="168">
        <f>'[90]Exhibit 1'!AG8/$AL8</f>
        <v>0</v>
      </c>
      <c r="AI8" s="168">
        <f>'[90]Exhibit 1'!AH8/$AL8</f>
        <v>0</v>
      </c>
      <c r="AJ8" s="186">
        <f t="shared" si="0"/>
        <v>115.44755182257698</v>
      </c>
      <c r="AK8" s="69"/>
      <c r="AL8" s="76">
        <v>3957638</v>
      </c>
    </row>
    <row r="9" spans="1:38" x14ac:dyDescent="0.25">
      <c r="C9" s="73" t="s">
        <v>121</v>
      </c>
      <c r="D9" s="168"/>
      <c r="E9" s="168"/>
      <c r="F9" s="168"/>
      <c r="G9" s="168"/>
      <c r="H9" s="168"/>
      <c r="I9" s="168">
        <f>'[90]Exhibit 1'!H9/$AL9</f>
        <v>24.440899123548601</v>
      </c>
      <c r="J9" s="168">
        <f>'[90]Exhibit 1'!I9/$AL9</f>
        <v>61.312136226649301</v>
      </c>
      <c r="K9" s="168">
        <f>'[90]Exhibit 1'!J9/$AL9</f>
        <v>26.389963788631583</v>
      </c>
      <c r="L9" s="168">
        <f>'[90]Exhibit 1'!K9/$AL9</f>
        <v>13.333734151805521</v>
      </c>
      <c r="M9" s="168">
        <f>'[90]Exhibit 1'!L9/$AL9</f>
        <v>7.3397261874402338</v>
      </c>
      <c r="N9" s="168">
        <f>'[90]Exhibit 1'!M9/$AL9</f>
        <v>3.5763555604486017</v>
      </c>
      <c r="O9" s="168">
        <f>'[90]Exhibit 1'!N9/$AL9</f>
        <v>3.1012344918750712</v>
      </c>
      <c r="P9" s="168">
        <f>'[90]Exhibit 1'!O9/$AL9</f>
        <v>2.5513395002668435</v>
      </c>
      <c r="Q9" s="168">
        <f>'[90]Exhibit 1'!P9/$AL9</f>
        <v>1.4099018387655895</v>
      </c>
      <c r="R9" s="168">
        <f>'[90]Exhibit 1'!Q9/$AL9</f>
        <v>1.1861490168239717</v>
      </c>
      <c r="S9" s="168">
        <f>'[90]Exhibit 1'!R9/$AL9</f>
        <v>0.77100941032829995</v>
      </c>
      <c r="T9" s="168">
        <f>'[90]Exhibit 1'!S9/$AL9</f>
        <v>0.54874573705339336</v>
      </c>
      <c r="U9" s="168">
        <f>'[90]Exhibit 1'!T9/$AL9</f>
        <v>0.41911091199915379</v>
      </c>
      <c r="V9" s="168">
        <f>'[90]Exhibit 1'!U9/$AL9</f>
        <v>0.10657560515217444</v>
      </c>
      <c r="W9" s="168">
        <f>'[90]Exhibit 1'!V9/$AL9</f>
        <v>1.891042224815085E-2</v>
      </c>
      <c r="X9" s="168">
        <f>'[90]Exhibit 1'!W9/$AL9</f>
        <v>1.8399794153041216E-2</v>
      </c>
      <c r="Y9" s="168">
        <f>'[90]Exhibit 1'!X9/$AL9</f>
        <v>1.4422915322809273E-3</v>
      </c>
      <c r="Z9" s="168">
        <f>'[90]Exhibit 1'!Y9/$AL9</f>
        <v>2.1449171743131675E-4</v>
      </c>
      <c r="AA9" s="168">
        <f>'[90]Exhibit 1'!Z9/$AL9</f>
        <v>3.9483663821608794E-5</v>
      </c>
      <c r="AB9" s="168">
        <f>'[90]Exhibit 1'!AA9/$AL9</f>
        <v>0</v>
      </c>
      <c r="AC9" s="168">
        <f>'[90]Exhibit 1'!AB9/$AL9</f>
        <v>0</v>
      </c>
      <c r="AD9" s="168">
        <f>'[90]Exhibit 1'!AC9/$AL9</f>
        <v>0</v>
      </c>
      <c r="AE9" s="168">
        <f>'[90]Exhibit 1'!AD9/$AL9</f>
        <v>0</v>
      </c>
      <c r="AF9" s="168">
        <f>'[90]Exhibit 1'!AE9/$AL9</f>
        <v>0</v>
      </c>
      <c r="AG9" s="168">
        <f>'[90]Exhibit 1'!AF9/$AL9</f>
        <v>0</v>
      </c>
      <c r="AH9" s="168">
        <f>'[90]Exhibit 1'!AG9/$AL9</f>
        <v>0</v>
      </c>
      <c r="AI9" s="168">
        <f>'[90]Exhibit 1'!AH9/$AL9</f>
        <v>0</v>
      </c>
      <c r="AJ9" s="186">
        <f t="shared" si="0"/>
        <v>146.52588803410305</v>
      </c>
      <c r="AK9" s="69"/>
      <c r="AL9" s="76">
        <v>3933019</v>
      </c>
    </row>
    <row r="10" spans="1:38" x14ac:dyDescent="0.25">
      <c r="C10" s="73" t="s">
        <v>120</v>
      </c>
      <c r="D10" s="168"/>
      <c r="E10" s="168"/>
      <c r="F10" s="168"/>
      <c r="G10" s="168"/>
      <c r="H10" s="168"/>
      <c r="I10" s="168"/>
      <c r="J10" s="168">
        <f>'[90]Exhibit 1'!I10/$AL10</f>
        <v>24.79009070082645</v>
      </c>
      <c r="K10" s="168">
        <f>'[90]Exhibit 1'!J10/$AL10</f>
        <v>60.999632836841549</v>
      </c>
      <c r="L10" s="168">
        <f>'[90]Exhibit 1'!K10/$AL10</f>
        <v>29.298254398043014</v>
      </c>
      <c r="M10" s="168">
        <f>'[90]Exhibit 1'!L10/$AL10</f>
        <v>15.131289960189752</v>
      </c>
      <c r="N10" s="168">
        <f>'[90]Exhibit 1'!M10/$AL10</f>
        <v>7.5695789397330469</v>
      </c>
      <c r="O10" s="168">
        <f>'[90]Exhibit 1'!N10/$AL10</f>
        <v>5.0330935602336329</v>
      </c>
      <c r="P10" s="168">
        <f>'[90]Exhibit 1'!O10/$AL10</f>
        <v>3.5618790452307159</v>
      </c>
      <c r="Q10" s="168">
        <f>'[90]Exhibit 1'!P10/$AL10</f>
        <v>2.3189577055846096</v>
      </c>
      <c r="R10" s="168">
        <f>'[90]Exhibit 1'!Q10/$AL10</f>
        <v>2.0266815831211931</v>
      </c>
      <c r="S10" s="168">
        <f>'[90]Exhibit 1'!R10/$AL10</f>
        <v>1.3502410888302676</v>
      </c>
      <c r="T10" s="168">
        <f>'[90]Exhibit 1'!S10/$AL10</f>
        <v>0.72253925148942411</v>
      </c>
      <c r="U10" s="168">
        <f>'[90]Exhibit 1'!T10/$AL10</f>
        <v>0.45993875701395459</v>
      </c>
      <c r="V10" s="168">
        <f>'[90]Exhibit 1'!U10/$AL10</f>
        <v>0.47861908779887158</v>
      </c>
      <c r="W10" s="168">
        <f>'[90]Exhibit 1'!V10/$AL10</f>
        <v>0.14326942556570435</v>
      </c>
      <c r="X10" s="168">
        <f>'[90]Exhibit 1'!W10/$AL10</f>
        <v>3.6688070356385272E-2</v>
      </c>
      <c r="Y10" s="168">
        <f>'[90]Exhibit 1'!X10/$AL10</f>
        <v>1.6551197639476836E-2</v>
      </c>
      <c r="Z10" s="168">
        <f>'[90]Exhibit 1'!Y10/$AL10</f>
        <v>3.0073320367406653E-3</v>
      </c>
      <c r="AA10" s="168">
        <f>'[90]Exhibit 1'!Z10/$AL10</f>
        <v>2.1787729257507609E-4</v>
      </c>
      <c r="AB10" s="168">
        <f>'[90]Exhibit 1'!AA10/$AL10</f>
        <v>6.5136352405275081E-5</v>
      </c>
      <c r="AC10" s="168">
        <f>'[90]Exhibit 1'!AB10/$AL10</f>
        <v>0</v>
      </c>
      <c r="AD10" s="168">
        <f>'[90]Exhibit 1'!AC10/$AL10</f>
        <v>0</v>
      </c>
      <c r="AE10" s="168">
        <f>'[90]Exhibit 1'!AD10/$AL10</f>
        <v>0</v>
      </c>
      <c r="AF10" s="168">
        <f>'[90]Exhibit 1'!AE10/$AL10</f>
        <v>0</v>
      </c>
      <c r="AG10" s="168">
        <f>'[90]Exhibit 1'!AF10/$AL10</f>
        <v>0</v>
      </c>
      <c r="AH10" s="168">
        <f>'[90]Exhibit 1'!AG10/$AL10</f>
        <v>0</v>
      </c>
      <c r="AI10" s="168">
        <f>'[90]Exhibit 1'!AH10/$AL10</f>
        <v>0</v>
      </c>
      <c r="AJ10" s="186">
        <f t="shared" si="0"/>
        <v>153.94059595417977</v>
      </c>
      <c r="AK10" s="69"/>
      <c r="AL10" s="76">
        <v>3901508</v>
      </c>
    </row>
    <row r="11" spans="1:38" x14ac:dyDescent="0.25">
      <c r="C11" s="73" t="s">
        <v>119</v>
      </c>
      <c r="D11" s="168"/>
      <c r="E11" s="168"/>
      <c r="F11" s="168"/>
      <c r="G11" s="168"/>
      <c r="H11" s="168"/>
      <c r="I11" s="168"/>
      <c r="J11" s="168"/>
      <c r="K11" s="168">
        <f>'[90]Exhibit 1'!J11/$AL11</f>
        <v>24.078762715502048</v>
      </c>
      <c r="L11" s="168">
        <f>'[90]Exhibit 1'!K11/$AL11</f>
        <v>59.071096097131495</v>
      </c>
      <c r="M11" s="168">
        <f>'[90]Exhibit 1'!L11/$AL11</f>
        <v>32.483439639023985</v>
      </c>
      <c r="N11" s="168">
        <f>'[90]Exhibit 1'!M11/$AL11</f>
        <v>13.038748402289597</v>
      </c>
      <c r="O11" s="168">
        <f>'[90]Exhibit 1'!N11/$AL11</f>
        <v>8.0475905558624632</v>
      </c>
      <c r="P11" s="168">
        <f>'[90]Exhibit 1'!O11/$AL11</f>
        <v>4.7903177961888428</v>
      </c>
      <c r="Q11" s="168">
        <f>'[90]Exhibit 1'!P11/$AL11</f>
        <v>3.305455227047271</v>
      </c>
      <c r="R11" s="168">
        <f>'[90]Exhibit 1'!Q11/$AL11</f>
        <v>2.7730246152646201</v>
      </c>
      <c r="S11" s="168">
        <f>'[90]Exhibit 1'!R11/$AL11</f>
        <v>1.6647679604085488</v>
      </c>
      <c r="T11" s="168">
        <f>'[90]Exhibit 1'!S11/$AL11</f>
        <v>1.5316307402968068</v>
      </c>
      <c r="U11" s="168">
        <f>'[90]Exhibit 1'!T11/$AL11</f>
        <v>1.3419656880633954</v>
      </c>
      <c r="V11" s="168">
        <f>'[90]Exhibit 1'!U11/$AL11</f>
        <v>0.82956730812689328</v>
      </c>
      <c r="W11" s="168">
        <f>'[90]Exhibit 1'!V11/$AL11</f>
        <v>0.48156816970893451</v>
      </c>
      <c r="X11" s="168">
        <f>'[90]Exhibit 1'!W11/$AL11</f>
        <v>0.12493875561829745</v>
      </c>
      <c r="Y11" s="168">
        <f>'[90]Exhibit 1'!X11/$AL11</f>
        <v>5.0431527084435816E-2</v>
      </c>
      <c r="Z11" s="168">
        <f>'[90]Exhibit 1'!Y11/$AL11</f>
        <v>2.1477889547558374E-2</v>
      </c>
      <c r="AA11" s="168">
        <f>'[90]Exhibit 1'!Z11/$AL11</f>
        <v>6.1445675780169512E-3</v>
      </c>
      <c r="AB11" s="168">
        <f>'[90]Exhibit 1'!AA11/$AL11</f>
        <v>3.3078706914118402E-4</v>
      </c>
      <c r="AC11" s="168">
        <f>'[90]Exhibit 1'!AB11/$AL11</f>
        <v>1.4279637608675946E-5</v>
      </c>
      <c r="AD11" s="168">
        <f>'[90]Exhibit 1'!AC11/$AL11</f>
        <v>0</v>
      </c>
      <c r="AE11" s="168">
        <f>'[90]Exhibit 1'!AD11/$AL11</f>
        <v>0</v>
      </c>
      <c r="AF11" s="168">
        <f>'[90]Exhibit 1'!AE11/$AL11</f>
        <v>0</v>
      </c>
      <c r="AG11" s="168">
        <f>'[90]Exhibit 1'!AF11/$AL11</f>
        <v>0</v>
      </c>
      <c r="AH11" s="168">
        <f>'[90]Exhibit 1'!AG11/$AL11</f>
        <v>0</v>
      </c>
      <c r="AI11" s="168">
        <f>'[90]Exhibit 1'!AH11/$AL11</f>
        <v>0</v>
      </c>
      <c r="AJ11" s="186">
        <f t="shared" si="0"/>
        <v>153.64127272144995</v>
      </c>
      <c r="AK11" s="69"/>
      <c r="AL11" s="76">
        <v>3871947</v>
      </c>
    </row>
    <row r="12" spans="1:38" x14ac:dyDescent="0.25">
      <c r="C12" s="73" t="s">
        <v>118</v>
      </c>
      <c r="D12" s="168"/>
      <c r="E12" s="168"/>
      <c r="F12" s="168"/>
      <c r="G12" s="168"/>
      <c r="H12" s="168"/>
      <c r="I12" s="168"/>
      <c r="J12" s="168"/>
      <c r="K12" s="168"/>
      <c r="L12" s="168">
        <f>'[90]Exhibit 1'!K12/$AL12</f>
        <v>22.834338250069294</v>
      </c>
      <c r="M12" s="168">
        <f>'[90]Exhibit 1'!L12/$AL12</f>
        <v>62.76069563918734</v>
      </c>
      <c r="N12" s="168">
        <f>'[90]Exhibit 1'!M12/$AL12</f>
        <v>26.724433426752096</v>
      </c>
      <c r="O12" s="168">
        <f>'[90]Exhibit 1'!N12/$AL12</f>
        <v>16.09467920391555</v>
      </c>
      <c r="P12" s="168">
        <f>'[90]Exhibit 1'!O12/$AL12</f>
        <v>8.836791108338538</v>
      </c>
      <c r="Q12" s="168">
        <f>'[90]Exhibit 1'!P12/$AL12</f>
        <v>5.0218661894868504</v>
      </c>
      <c r="R12" s="168">
        <f>'[90]Exhibit 1'!Q12/$AL12</f>
        <v>4.2093345695827171</v>
      </c>
      <c r="S12" s="168">
        <f>'[90]Exhibit 1'!R12/$AL12</f>
        <v>2.4674122769831262</v>
      </c>
      <c r="T12" s="168">
        <f>'[90]Exhibit 1'!S12/$AL12</f>
        <v>1.9127438332079711</v>
      </c>
      <c r="U12" s="168">
        <f>'[90]Exhibit 1'!T12/$AL12</f>
        <v>2.1376722108614152</v>
      </c>
      <c r="V12" s="168">
        <f>'[90]Exhibit 1'!U12/$AL12</f>
        <v>1.8701953341438442</v>
      </c>
      <c r="W12" s="168">
        <f>'[90]Exhibit 1'!V12/$AL12</f>
        <v>0.81398739948667653</v>
      </c>
      <c r="X12" s="168">
        <f>'[90]Exhibit 1'!W12/$AL12</f>
        <v>0.43140914020774068</v>
      </c>
      <c r="Y12" s="168">
        <f>'[90]Exhibit 1'!X12/$AL12</f>
        <v>0.2115166975340092</v>
      </c>
      <c r="Z12" s="168">
        <f>'[90]Exhibit 1'!Y12/$AL12</f>
        <v>4.8684675252480859E-2</v>
      </c>
      <c r="AA12" s="168">
        <f>'[90]Exhibit 1'!Z12/$AL12</f>
        <v>2.8912043501043733E-2</v>
      </c>
      <c r="AB12" s="168">
        <f>'[90]Exhibit 1'!AA12/$AL12</f>
        <v>2.1539156410178627E-3</v>
      </c>
      <c r="AC12" s="168">
        <f>'[90]Exhibit 1'!AB12/$AL12</f>
        <v>3.9201395343892794E-4</v>
      </c>
      <c r="AD12" s="168">
        <f>'[90]Exhibit 1'!AC12/$AL12</f>
        <v>0</v>
      </c>
      <c r="AE12" s="168">
        <f>'[90]Exhibit 1'!AD12/$AL12</f>
        <v>0</v>
      </c>
      <c r="AF12" s="168">
        <f>'[90]Exhibit 1'!AE12/$AL12</f>
        <v>0</v>
      </c>
      <c r="AG12" s="168">
        <f>'[90]Exhibit 1'!AF12/$AL12</f>
        <v>0</v>
      </c>
      <c r="AH12" s="168">
        <f>'[90]Exhibit 1'!AG12/$AL12</f>
        <v>0</v>
      </c>
      <c r="AI12" s="168">
        <f>'[90]Exhibit 1'!AH12/$AL12</f>
        <v>0</v>
      </c>
      <c r="AJ12" s="186">
        <f t="shared" si="0"/>
        <v>156.40721792810518</v>
      </c>
      <c r="AK12" s="69"/>
      <c r="AL12" s="76">
        <v>3856827</v>
      </c>
    </row>
    <row r="13" spans="1:38" x14ac:dyDescent="0.25">
      <c r="C13" s="73" t="s">
        <v>117</v>
      </c>
      <c r="D13" s="168"/>
      <c r="E13" s="168"/>
      <c r="F13" s="168"/>
      <c r="G13" s="168"/>
      <c r="H13" s="168"/>
      <c r="I13" s="168"/>
      <c r="J13" s="168"/>
      <c r="K13" s="168"/>
      <c r="L13" s="168"/>
      <c r="M13" s="168">
        <f>'[90]Exhibit 1'!L13/$AL13</f>
        <v>24.306018698941269</v>
      </c>
      <c r="N13" s="168">
        <f>'[90]Exhibit 1'!M13/$AL13</f>
        <v>59.294705844681744</v>
      </c>
      <c r="O13" s="168">
        <f>'[90]Exhibit 1'!N13/$AL13</f>
        <v>33.045815467576361</v>
      </c>
      <c r="P13" s="168">
        <f>'[90]Exhibit 1'!O13/$AL13</f>
        <v>18.181444026442179</v>
      </c>
      <c r="Q13" s="168">
        <f>'[90]Exhibit 1'!P13/$AL13</f>
        <v>9.7469595268460818</v>
      </c>
      <c r="R13" s="168">
        <f>'[90]Exhibit 1'!Q13/$AL13</f>
        <v>6.9980825905484281</v>
      </c>
      <c r="S13" s="168">
        <f>'[90]Exhibit 1'!R13/$AL13</f>
        <v>3.7038351495215016</v>
      </c>
      <c r="T13" s="168">
        <f>'[90]Exhibit 1'!S13/$AL13</f>
        <v>2.5045625099087885</v>
      </c>
      <c r="U13" s="168">
        <f>'[90]Exhibit 1'!T13/$AL13</f>
        <v>2.4746345430580949</v>
      </c>
      <c r="V13" s="168">
        <f>'[90]Exhibit 1'!U13/$AL13</f>
        <v>1.7752423341447801</v>
      </c>
      <c r="W13" s="168">
        <f>'[90]Exhibit 1'!V13/$AL13</f>
        <v>1.2531130425818222</v>
      </c>
      <c r="X13" s="168">
        <f>'[90]Exhibit 1'!W13/$AL13</f>
        <v>0.75424076618070979</v>
      </c>
      <c r="Y13" s="168">
        <f>'[90]Exhibit 1'!X13/$AL13</f>
        <v>0.41633824288578281</v>
      </c>
      <c r="Z13" s="168">
        <f>'[90]Exhibit 1'!Y13/$AL13</f>
        <v>0.18896810626230218</v>
      </c>
      <c r="AA13" s="168">
        <f>'[90]Exhibit 1'!Z13/$AL13</f>
        <v>7.0810785551821562E-2</v>
      </c>
      <c r="AB13" s="168">
        <f>'[90]Exhibit 1'!AA13/$AL13</f>
        <v>1.7734230740894915E-2</v>
      </c>
      <c r="AC13" s="168">
        <f>'[90]Exhibit 1'!AB13/$AL13</f>
        <v>4.6269596622173764E-3</v>
      </c>
      <c r="AD13" s="168">
        <f>'[90]Exhibit 1'!AC13/$AL13</f>
        <v>2.771180596503203E-4</v>
      </c>
      <c r="AE13" s="168">
        <f>'[90]Exhibit 1'!AD13/$AL13</f>
        <v>5.6114005540330624E-5</v>
      </c>
      <c r="AF13" s="168">
        <f>'[90]Exhibit 1'!AE13/$AL13</f>
        <v>0</v>
      </c>
      <c r="AG13" s="168">
        <f>'[90]Exhibit 1'!AF13/$AL13</f>
        <v>0</v>
      </c>
      <c r="AH13" s="168">
        <f>'[90]Exhibit 1'!AG13/$AL13</f>
        <v>0</v>
      </c>
      <c r="AI13" s="168">
        <f>'[90]Exhibit 1'!AH13/$AL13</f>
        <v>0</v>
      </c>
      <c r="AJ13" s="186">
        <f t="shared" si="0"/>
        <v>164.73746605759996</v>
      </c>
      <c r="AK13" s="69"/>
      <c r="AL13" s="76">
        <v>3841287</v>
      </c>
    </row>
    <row r="14" spans="1:38" x14ac:dyDescent="0.25">
      <c r="C14" s="73" t="s">
        <v>116</v>
      </c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>
        <f>'[90]Exhibit 1'!M14/$AL14</f>
        <v>19.665808735001196</v>
      </c>
      <c r="O14" s="168">
        <f>'[90]Exhibit 1'!N14/$AL14</f>
        <v>62.339871042465788</v>
      </c>
      <c r="P14" s="168">
        <f>'[90]Exhibit 1'!O14/$AL14</f>
        <v>33.390233024718796</v>
      </c>
      <c r="Q14" s="168">
        <f>'[90]Exhibit 1'!P14/$AL14</f>
        <v>16.286807510619848</v>
      </c>
      <c r="R14" s="168">
        <f>'[90]Exhibit 1'!Q14/$AL14</f>
        <v>10.247081267854472</v>
      </c>
      <c r="S14" s="168">
        <f>'[90]Exhibit 1'!R14/$AL14</f>
        <v>6.7287388898245073</v>
      </c>
      <c r="T14" s="168">
        <f>'[90]Exhibit 1'!S14/$AL14</f>
        <v>4.4158634477449104</v>
      </c>
      <c r="U14" s="168">
        <f>'[90]Exhibit 1'!T14/$AL14</f>
        <v>3.9825484182415565</v>
      </c>
      <c r="V14" s="168">
        <f>'[90]Exhibit 1'!U14/$AL14</f>
        <v>2.5537475902020201</v>
      </c>
      <c r="W14" s="168">
        <f>'[90]Exhibit 1'!V14/$AL14</f>
        <v>2.020423083641826</v>
      </c>
      <c r="X14" s="168">
        <f>'[90]Exhibit 1'!W14/$AL14</f>
        <v>1.6636692292725992</v>
      </c>
      <c r="Y14" s="168">
        <f>'[90]Exhibit 1'!X14/$AL14</f>
        <v>0.8991213821649322</v>
      </c>
      <c r="Z14" s="168">
        <f>'[90]Exhibit 1'!Y14/$AL14</f>
        <v>0.52800841899469975</v>
      </c>
      <c r="AA14" s="168">
        <f>'[90]Exhibit 1'!Z14/$AL14</f>
        <v>0.21718545533283193</v>
      </c>
      <c r="AB14" s="168">
        <f>'[90]Exhibit 1'!AA14/$AL14</f>
        <v>5.7811265354453432E-2</v>
      </c>
      <c r="AC14" s="168">
        <f>'[90]Exhibit 1'!AB14/$AL14</f>
        <v>2.8407532795742228E-2</v>
      </c>
      <c r="AD14" s="168">
        <f>'[90]Exhibit 1'!AC14/$AL14</f>
        <v>3.3848835713232214E-3</v>
      </c>
      <c r="AE14" s="168">
        <f>'[90]Exhibit 1'!AD14/$AL14</f>
        <v>2.5352173080765239E-4</v>
      </c>
      <c r="AF14" s="168">
        <f>'[90]Exhibit 1'!AE14/$AL14</f>
        <v>0</v>
      </c>
      <c r="AG14" s="168">
        <f>'[90]Exhibit 1'!AF14/$AL14</f>
        <v>0</v>
      </c>
      <c r="AH14" s="168">
        <f>'[90]Exhibit 1'!AG14/$AL14</f>
        <v>0</v>
      </c>
      <c r="AI14" s="168">
        <f>'[90]Exhibit 1'!AH14/$AL14</f>
        <v>0</v>
      </c>
      <c r="AJ14" s="186">
        <f t="shared" si="0"/>
        <v>165.02896469953225</v>
      </c>
      <c r="AK14" s="69"/>
      <c r="AL14" s="76">
        <v>3823972</v>
      </c>
    </row>
    <row r="15" spans="1:38" x14ac:dyDescent="0.25">
      <c r="C15" s="73" t="s">
        <v>115</v>
      </c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>
        <f>'[90]Exhibit 1'!N15/$AL15</f>
        <v>26.102182921029211</v>
      </c>
      <c r="P15" s="168">
        <f>'[90]Exhibit 1'!O15/$AL15</f>
        <v>71.775533885920794</v>
      </c>
      <c r="Q15" s="168">
        <f>'[90]Exhibit 1'!P15/$AL15</f>
        <v>32.039423770085669</v>
      </c>
      <c r="R15" s="168">
        <f>'[90]Exhibit 1'!Q15/$AL15</f>
        <v>20.576578761763891</v>
      </c>
      <c r="S15" s="168">
        <f>'[90]Exhibit 1'!R15/$AL15</f>
        <v>10.874854451351498</v>
      </c>
      <c r="T15" s="168">
        <f>'[90]Exhibit 1'!S15/$AL15</f>
        <v>7.4213599862079862</v>
      </c>
      <c r="U15" s="168">
        <f>'[90]Exhibit 1'!T15/$AL15</f>
        <v>5.8278081528799728</v>
      </c>
      <c r="V15" s="168">
        <f>'[90]Exhibit 1'!U15/$AL15</f>
        <v>3.4941540619207001</v>
      </c>
      <c r="W15" s="168">
        <f>'[90]Exhibit 1'!V15/$AL15</f>
        <v>3.4545884344861033</v>
      </c>
      <c r="X15" s="168">
        <f>'[90]Exhibit 1'!W15/$AL15</f>
        <v>1.8959255613208312</v>
      </c>
      <c r="Y15" s="168">
        <f>'[90]Exhibit 1'!X15/$AL15</f>
        <v>1.8214304505269061</v>
      </c>
      <c r="Z15" s="168">
        <f>'[90]Exhibit 1'!Y15/$AL15</f>
        <v>1.4899975461098516</v>
      </c>
      <c r="AA15" s="168">
        <f>'[90]Exhibit 1'!Z15/$AL15</f>
        <v>0.73047833330106826</v>
      </c>
      <c r="AB15" s="168">
        <f>'[90]Exhibit 1'!AA15/$AL15</f>
        <v>0.1681305621292023</v>
      </c>
      <c r="AC15" s="168">
        <f>'[90]Exhibit 1'!AB15/$AL15</f>
        <v>7.6298563087736762E-2</v>
      </c>
      <c r="AD15" s="168">
        <f>'[90]Exhibit 1'!AC15/$AL15</f>
        <v>3.433770865260502E-2</v>
      </c>
      <c r="AE15" s="168">
        <f>'[90]Exhibit 1'!AD15/$AL15</f>
        <v>3.7296069433057199E-3</v>
      </c>
      <c r="AF15" s="168">
        <f>'[90]Exhibit 1'!AE15/$AL15</f>
        <v>4.9209653781737725E-4</v>
      </c>
      <c r="AG15" s="168">
        <f>'[90]Exhibit 1'!AF15/$AL15</f>
        <v>0</v>
      </c>
      <c r="AH15" s="168">
        <f>'[90]Exhibit 1'!AG15/$AL15</f>
        <v>0</v>
      </c>
      <c r="AI15" s="168">
        <f>'[90]Exhibit 1'!AH15/$AL15</f>
        <v>0</v>
      </c>
      <c r="AJ15" s="186">
        <f t="shared" si="0"/>
        <v>187.78730485425518</v>
      </c>
      <c r="AK15" s="69"/>
      <c r="AL15" s="76">
        <v>3822502</v>
      </c>
    </row>
    <row r="16" spans="1:38" x14ac:dyDescent="0.25">
      <c r="C16" s="73" t="s">
        <v>114</v>
      </c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>
        <f>'[90]Exhibit 1'!O16/$AL16</f>
        <v>19.879029586962474</v>
      </c>
      <c r="Q16" s="168">
        <f>'[90]Exhibit 1'!P16/$AL16</f>
        <v>50.432254040595687</v>
      </c>
      <c r="R16" s="168">
        <f>'[90]Exhibit 1'!Q16/$AL16</f>
        <v>34.486402572056029</v>
      </c>
      <c r="S16" s="168">
        <f>'[90]Exhibit 1'!R16/$AL16</f>
        <v>15.246458049536161</v>
      </c>
      <c r="T16" s="168">
        <f>'[90]Exhibit 1'!S16/$AL16</f>
        <v>7.651460532146336</v>
      </c>
      <c r="U16" s="168">
        <f>'[90]Exhibit 1'!T16/$AL16</f>
        <v>6.0123503463587786</v>
      </c>
      <c r="V16" s="168">
        <f>'[90]Exhibit 1'!U16/$AL16</f>
        <v>3.5483033426150947</v>
      </c>
      <c r="W16" s="168">
        <f>'[90]Exhibit 1'!V16/$AL16</f>
        <v>4.4611382035966267</v>
      </c>
      <c r="X16" s="168">
        <f>'[90]Exhibit 1'!W16/$AL16</f>
        <v>2.4750075145811627</v>
      </c>
      <c r="Y16" s="168">
        <f>'[90]Exhibit 1'!X16/$AL16</f>
        <v>2.3717880826496098</v>
      </c>
      <c r="Z16" s="168">
        <f>'[90]Exhibit 1'!Y16/$AL16</f>
        <v>1.7527339699632409</v>
      </c>
      <c r="AA16" s="168">
        <f>'[90]Exhibit 1'!Z16/$AL16</f>
        <v>1.1212423730980563</v>
      </c>
      <c r="AB16" s="168">
        <f>'[90]Exhibit 1'!AA16/$AL16</f>
        <v>0.46960632272289193</v>
      </c>
      <c r="AC16" s="168">
        <f>'[90]Exhibit 1'!AB16/$AL16</f>
        <v>0.2251337682736283</v>
      </c>
      <c r="AD16" s="168">
        <f>'[90]Exhibit 1'!AC16/$AL16</f>
        <v>3.8516731560265298E-2</v>
      </c>
      <c r="AE16" s="168">
        <f>'[90]Exhibit 1'!AD16/$AL16</f>
        <v>2.3410852215633306E-2</v>
      </c>
      <c r="AF16" s="168">
        <f>'[90]Exhibit 1'!AE16/$AL16</f>
        <v>3.1142945459082627E-3</v>
      </c>
      <c r="AG16" s="168">
        <f>'[90]Exhibit 1'!AF16/$AL16</f>
        <v>3.8945144841177133E-4</v>
      </c>
      <c r="AH16" s="168">
        <f>'[90]Exhibit 1'!AG16/$AL16</f>
        <v>8.333560114338705E-5</v>
      </c>
      <c r="AI16" s="168">
        <f>'[90]Exhibit 1'!AH16/$AL16</f>
        <v>0</v>
      </c>
      <c r="AJ16" s="186">
        <f t="shared" si="0"/>
        <v>150.19842337052705</v>
      </c>
      <c r="AK16" s="69"/>
      <c r="AL16" s="76">
        <v>3895094</v>
      </c>
    </row>
    <row r="17" spans="3:38" x14ac:dyDescent="0.25">
      <c r="C17" s="73" t="s">
        <v>113</v>
      </c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>
        <f>'[90]Exhibit 1'!P17/$AL17</f>
        <v>18.350484532378555</v>
      </c>
      <c r="R17" s="168">
        <f>'[90]Exhibit 1'!Q17/$AL17</f>
        <v>56.401890661715214</v>
      </c>
      <c r="S17" s="168">
        <f>'[90]Exhibit 1'!R17/$AL17</f>
        <v>25.357439188254435</v>
      </c>
      <c r="T17" s="168">
        <f>'[90]Exhibit 1'!S17/$AL17</f>
        <v>12.649528171471522</v>
      </c>
      <c r="U17" s="168">
        <f>'[90]Exhibit 1'!T17/$AL17</f>
        <v>7.7901133022370344</v>
      </c>
      <c r="V17" s="168">
        <f>'[90]Exhibit 1'!U17/$AL17</f>
        <v>5.1897454196968011</v>
      </c>
      <c r="W17" s="168">
        <f>'[90]Exhibit 1'!V17/$AL17</f>
        <v>4.8204771686881331</v>
      </c>
      <c r="X17" s="168">
        <f>'[90]Exhibit 1'!W17/$AL17</f>
        <v>2.8492189893909172</v>
      </c>
      <c r="Y17" s="168">
        <f>'[90]Exhibit 1'!X17/$AL17</f>
        <v>2.5240138591209615</v>
      </c>
      <c r="Z17" s="168">
        <f>'[90]Exhibit 1'!Y17/$AL17</f>
        <v>1.8935581723800439</v>
      </c>
      <c r="AA17" s="168">
        <f>'[90]Exhibit 1'!Z17/$AL17</f>
        <v>1.3237907829205744</v>
      </c>
      <c r="AB17" s="168">
        <f>'[90]Exhibit 1'!AA17/$AL17</f>
        <v>0.90424595345466263</v>
      </c>
      <c r="AC17" s="168">
        <f>'[90]Exhibit 1'!AB17/$AL17</f>
        <v>0.56204822094478246</v>
      </c>
      <c r="AD17" s="168">
        <f>'[90]Exhibit 1'!AC17/$AL17</f>
        <v>0.2128918087267862</v>
      </c>
      <c r="AE17" s="168">
        <f>'[90]Exhibit 1'!AD17/$AL17</f>
        <v>4.0561736271995573E-2</v>
      </c>
      <c r="AF17" s="168">
        <f>'[90]Exhibit 1'!AE17/$AL17</f>
        <v>1.0900933198706593E-2</v>
      </c>
      <c r="AG17" s="168">
        <f>'[90]Exhibit 1'!AF17/$AL17</f>
        <v>2.206869370764523E-3</v>
      </c>
      <c r="AH17" s="168">
        <f>'[90]Exhibit 1'!AG17/$AL17</f>
        <v>1.7842172859083795E-4</v>
      </c>
      <c r="AI17" s="168">
        <f>'[90]Exhibit 1'!AH17/$AL17</f>
        <v>0</v>
      </c>
      <c r="AJ17" s="186">
        <f t="shared" si="0"/>
        <v>140.88329419195048</v>
      </c>
      <c r="AK17" s="69"/>
      <c r="AL17" s="76">
        <v>3874416</v>
      </c>
    </row>
    <row r="18" spans="3:38" x14ac:dyDescent="0.25">
      <c r="C18" s="73" t="s">
        <v>112</v>
      </c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>
        <f>'[90]Exhibit 1'!Q18/$AL18</f>
        <v>28.447854625546103</v>
      </c>
      <c r="S18" s="168">
        <f>'[90]Exhibit 1'!R18/$AL18</f>
        <v>66.577217087525071</v>
      </c>
      <c r="T18" s="168">
        <f>'[90]Exhibit 1'!S18/$AL18</f>
        <v>28.75407859396763</v>
      </c>
      <c r="U18" s="168">
        <f>'[90]Exhibit 1'!T18/$AL18</f>
        <v>15.402806122053159</v>
      </c>
      <c r="V18" s="168">
        <f>'[90]Exhibit 1'!U18/$AL18</f>
        <v>8.0055205695048635</v>
      </c>
      <c r="W18" s="168">
        <f>'[90]Exhibit 1'!V18/$AL18</f>
        <v>7.7108445803889287</v>
      </c>
      <c r="X18" s="168">
        <f>'[90]Exhibit 1'!W18/$AL18</f>
        <v>4.9471741465728183</v>
      </c>
      <c r="Y18" s="168">
        <f>'[90]Exhibit 1'!X18/$AL18</f>
        <v>3.4770612743209224</v>
      </c>
      <c r="Z18" s="168">
        <f>'[90]Exhibit 1'!Y18/$AL18</f>
        <v>3.1361426275776854</v>
      </c>
      <c r="AA18" s="168">
        <f>'[90]Exhibit 1'!Z18/$AL18</f>
        <v>2.5799947529544047</v>
      </c>
      <c r="AB18" s="168">
        <f>'[90]Exhibit 1'!AA18/$AL18</f>
        <v>1.601873787477327</v>
      </c>
      <c r="AC18" s="168">
        <f>'[90]Exhibit 1'!AB18/$AL18</f>
        <v>1.1628951821829054</v>
      </c>
      <c r="AD18" s="168">
        <f>'[90]Exhibit 1'!AC18/$AL18</f>
        <v>0.78583380700699101</v>
      </c>
      <c r="AE18" s="168">
        <f>'[90]Exhibit 1'!AD18/$AL18</f>
        <v>0.14127114011137495</v>
      </c>
      <c r="AF18" s="168">
        <f>'[90]Exhibit 1'!AE18/$AL18</f>
        <v>5.9289166260229668E-2</v>
      </c>
      <c r="AG18" s="168">
        <f>'[90]Exhibit 1'!AF18/$AL18</f>
        <v>2.1936436529367678E-2</v>
      </c>
      <c r="AH18" s="168">
        <f>'[90]Exhibit 1'!AG18/$AL18</f>
        <v>2.7593563693030505E-3</v>
      </c>
      <c r="AI18" s="168">
        <f>'[90]Exhibit 1'!AH18/$AL18</f>
        <v>1.5303839885718364E-4</v>
      </c>
      <c r="AJ18" s="186">
        <f t="shared" si="0"/>
        <v>172.81470629474794</v>
      </c>
      <c r="AK18" s="69"/>
      <c r="AL18" s="76">
        <v>3866938</v>
      </c>
    </row>
    <row r="19" spans="3:38" x14ac:dyDescent="0.25">
      <c r="C19" s="73" t="s">
        <v>111</v>
      </c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>
        <f>'[90]Exhibit 1'!R19/$AL19</f>
        <v>27.131470335876315</v>
      </c>
      <c r="T19" s="168">
        <f>'[90]Exhibit 1'!S19/$AL19</f>
        <v>65.426367175289215</v>
      </c>
      <c r="U19" s="168">
        <f>'[90]Exhibit 1'!T19/$AL19</f>
        <v>28.576233370187037</v>
      </c>
      <c r="V19" s="168">
        <f>'[90]Exhibit 1'!U19/$AL19</f>
        <v>13.835670054980131</v>
      </c>
      <c r="W19" s="168">
        <f>'[90]Exhibit 1'!V19/$AL19</f>
        <v>9.2884279681022512</v>
      </c>
      <c r="X19" s="168">
        <f>'[90]Exhibit 1'!W19/$AL19</f>
        <v>6.7264811731442942</v>
      </c>
      <c r="Y19" s="168">
        <f>'[90]Exhibit 1'!X19/$AL19</f>
        <v>4.4574058437076642</v>
      </c>
      <c r="Z19" s="168">
        <f>'[90]Exhibit 1'!Y19/$AL19</f>
        <v>3.9879065231573603</v>
      </c>
      <c r="AA19" s="168">
        <f>'[90]Exhibit 1'!Z19/$AL19</f>
        <v>3.4053527168793849</v>
      </c>
      <c r="AB19" s="168">
        <f>'[90]Exhibit 1'!AA19/$AL19</f>
        <v>2.0104834076752565</v>
      </c>
      <c r="AC19" s="168">
        <f>'[90]Exhibit 1'!AB19/$AL19</f>
        <v>1.5732967930026136</v>
      </c>
      <c r="AD19" s="168">
        <f>'[90]Exhibit 1'!AC19/$AL19</f>
        <v>1.3585130838417876</v>
      </c>
      <c r="AE19" s="168">
        <f>'[90]Exhibit 1'!AD19/$AL19</f>
        <v>0.58727300721301823</v>
      </c>
      <c r="AF19" s="168">
        <f>'[90]Exhibit 1'!AE19/$AL19</f>
        <v>8.4942382095989005E-2</v>
      </c>
      <c r="AG19" s="168">
        <f>'[90]Exhibit 1'!AF19/$AL19</f>
        <v>3.1691688596303808E-2</v>
      </c>
      <c r="AH19" s="168">
        <f>'[90]Exhibit 1'!AG19/$AL19</f>
        <v>1.3488375285175927E-2</v>
      </c>
      <c r="AI19" s="168">
        <f>'[90]Exhibit 1'!AH19/$AL19</f>
        <v>2.1525489528808695E-3</v>
      </c>
      <c r="AJ19" s="186">
        <f t="shared" si="0"/>
        <v>168.49715644798667</v>
      </c>
      <c r="AK19" s="69"/>
      <c r="AL19" s="76">
        <v>3861213</v>
      </c>
    </row>
    <row r="20" spans="3:38" x14ac:dyDescent="0.25">
      <c r="C20" s="73" t="s">
        <v>110</v>
      </c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>
        <f>'[90]Exhibit 1'!S20/$AL20</f>
        <v>23.48572232265921</v>
      </c>
      <c r="U20" s="168">
        <f>'[90]Exhibit 1'!T20/$AL20</f>
        <v>64.963551416265787</v>
      </c>
      <c r="V20" s="168">
        <f>'[90]Exhibit 1'!U20/$AL20</f>
        <v>25.756850982440557</v>
      </c>
      <c r="W20" s="168">
        <f>'[90]Exhibit 1'!V20/$AL20</f>
        <v>12.034547798970328</v>
      </c>
      <c r="X20" s="168">
        <f>'[90]Exhibit 1'!W20/$AL20</f>
        <v>9.6496501769289633</v>
      </c>
      <c r="Y20" s="168">
        <f>'[90]Exhibit 1'!X20/$AL20</f>
        <v>5.7026669200180997</v>
      </c>
      <c r="Z20" s="168">
        <f>'[90]Exhibit 1'!Y20/$AL20</f>
        <v>4.8649796015605613</v>
      </c>
      <c r="AA20" s="168">
        <f>'[90]Exhibit 1'!Z20/$AL20</f>
        <v>3.6873065041464144</v>
      </c>
      <c r="AB20" s="168">
        <f>'[90]Exhibit 1'!AA20/$AL20</f>
        <v>2.3396569459996539</v>
      </c>
      <c r="AC20" s="168">
        <f>'[90]Exhibit 1'!AB20/$AL20</f>
        <v>2.1919932059069462</v>
      </c>
      <c r="AD20" s="168">
        <f>'[90]Exhibit 1'!AC20/$AL20</f>
        <v>1.7320961989986883</v>
      </c>
      <c r="AE20" s="168">
        <f>'[90]Exhibit 1'!AD20/$AL20</f>
        <v>1.1613747860066601</v>
      </c>
      <c r="AF20" s="168">
        <f>'[90]Exhibit 1'!AE20/$AL20</f>
        <v>0.38647439325980931</v>
      </c>
      <c r="AG20" s="168">
        <f>'[90]Exhibit 1'!AF20/$AL20</f>
        <v>0.16256667677987199</v>
      </c>
      <c r="AH20" s="168">
        <f>'[90]Exhibit 1'!AG20/$AL20</f>
        <v>3.5088005738462082E-2</v>
      </c>
      <c r="AI20" s="168">
        <f>'[90]Exhibit 1'!AH20/$AL20</f>
        <v>5.5354681579995457E-3</v>
      </c>
      <c r="AJ20" s="186">
        <f t="shared" si="0"/>
        <v>158.160061403838</v>
      </c>
      <c r="AK20" s="69"/>
      <c r="AL20" s="76">
        <v>3836568</v>
      </c>
    </row>
    <row r="21" spans="3:38" x14ac:dyDescent="0.25">
      <c r="C21" s="73" t="s">
        <v>109</v>
      </c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>
        <f>'[90]Exhibit 1'!T21/$AL21</f>
        <v>25.826524646810512</v>
      </c>
      <c r="V21" s="168">
        <f>'[90]Exhibit 1'!U21/$AL21</f>
        <v>63.08067418743547</v>
      </c>
      <c r="W21" s="168">
        <f>'[90]Exhibit 1'!V21/$AL21</f>
        <v>26.384972353856007</v>
      </c>
      <c r="X21" s="168">
        <f>'[90]Exhibit 1'!W21/$AL21</f>
        <v>13.542862260674099</v>
      </c>
      <c r="Y21" s="168">
        <f>'[90]Exhibit 1'!X21/$AL21</f>
        <v>9.8316074048904163</v>
      </c>
      <c r="Z21" s="168">
        <f>'[90]Exhibit 1'!Y21/$AL21</f>
        <v>7.2099067083131851</v>
      </c>
      <c r="AA21" s="168">
        <f>'[90]Exhibit 1'!Z21/$AL21</f>
        <v>5.7784471633754588</v>
      </c>
      <c r="AB21" s="168">
        <f>'[90]Exhibit 1'!AA21/$AL21</f>
        <v>3.2458099272057188</v>
      </c>
      <c r="AC21" s="168">
        <f>'[90]Exhibit 1'!AB21/$AL21</f>
        <v>2.885944245069723</v>
      </c>
      <c r="AD21" s="168">
        <f>'[90]Exhibit 1'!AC21/$AL21</f>
        <v>2.0135217820876408</v>
      </c>
      <c r="AE21" s="168">
        <f>'[90]Exhibit 1'!AD21/$AL21</f>
        <v>1.6471380111609184</v>
      </c>
      <c r="AF21" s="168">
        <f>'[90]Exhibit 1'!AE21/$AL21</f>
        <v>0.7447392030529163</v>
      </c>
      <c r="AG21" s="168">
        <f>'[90]Exhibit 1'!AF21/$AL21</f>
        <v>0.4589449115882745</v>
      </c>
      <c r="AH21" s="168">
        <f>'[90]Exhibit 1'!AG21/$AL21</f>
        <v>0.1515037939281467</v>
      </c>
      <c r="AI21" s="168">
        <f>'[90]Exhibit 1'!AH21/$AL21</f>
        <v>2.3017237999398827E-2</v>
      </c>
      <c r="AJ21" s="186">
        <f t="shared" si="0"/>
        <v>162.82561383744786</v>
      </c>
      <c r="AK21" s="69"/>
      <c r="AL21" s="76">
        <v>3825850</v>
      </c>
    </row>
    <row r="22" spans="3:38" x14ac:dyDescent="0.25">
      <c r="C22" s="73" t="s">
        <v>108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>
        <f>'[90]Exhibit 1'!U22/$AL22</f>
        <v>23.068602809271237</v>
      </c>
      <c r="W22" s="168">
        <f>'[90]Exhibit 1'!V22/$AL22</f>
        <v>63.618555856873385</v>
      </c>
      <c r="X22" s="168">
        <f>'[90]Exhibit 1'!W22/$AL22</f>
        <v>24.220085470578912</v>
      </c>
      <c r="Y22" s="168">
        <f>'[90]Exhibit 1'!X22/$AL22</f>
        <v>14.433181775478735</v>
      </c>
      <c r="Z22" s="168">
        <f>'[90]Exhibit 1'!Y22/$AL22</f>
        <v>9.718176600533031</v>
      </c>
      <c r="AA22" s="168">
        <f>'[90]Exhibit 1'!Z22/$AL22</f>
        <v>8.2588443391027511</v>
      </c>
      <c r="AB22" s="168">
        <f>'[90]Exhibit 1'!AA22/$AL22</f>
        <v>4.6867057009427224</v>
      </c>
      <c r="AC22" s="168">
        <f>'[90]Exhibit 1'!AB22/$AL22</f>
        <v>3.7647462964498613</v>
      </c>
      <c r="AD22" s="168">
        <f>'[90]Exhibit 1'!AC22/$AL22</f>
        <v>3.0262845123217246</v>
      </c>
      <c r="AE22" s="168">
        <f>'[90]Exhibit 1'!AD22/$AL22</f>
        <v>1.9154016513640129</v>
      </c>
      <c r="AF22" s="168">
        <f>'[90]Exhibit 1'!AE22/$AL22</f>
        <v>1.1154419566333251</v>
      </c>
      <c r="AG22" s="168">
        <f>'[90]Exhibit 1'!AF22/$AL22</f>
        <v>0.97413107623125395</v>
      </c>
      <c r="AH22" s="168">
        <f>'[90]Exhibit 1'!AG22/$AL22</f>
        <v>0.5158262829509157</v>
      </c>
      <c r="AI22" s="168">
        <f>'[90]Exhibit 1'!AH22/$AL22</f>
        <v>7.2586501894156094E-2</v>
      </c>
      <c r="AJ22" s="186">
        <f t="shared" si="0"/>
        <v>159.38857083062604</v>
      </c>
      <c r="AK22" s="69"/>
      <c r="AL22" s="76">
        <v>3810668</v>
      </c>
    </row>
    <row r="23" spans="3:38" x14ac:dyDescent="0.25">
      <c r="C23" s="73" t="s">
        <v>107</v>
      </c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>
        <f>'[90]Exhibit 1'!V23/$AL23</f>
        <v>27.714409981331613</v>
      </c>
      <c r="X23" s="168">
        <f>'[90]Exhibit 1'!W23/$AL23</f>
        <v>65.403492768206277</v>
      </c>
      <c r="Y23" s="168">
        <f>'[90]Exhibit 1'!X23/$AL23</f>
        <v>29.150054530434421</v>
      </c>
      <c r="Z23" s="168">
        <f>'[90]Exhibit 1'!Y23/$AL23</f>
        <v>16.326883825446782</v>
      </c>
      <c r="AA23" s="168">
        <f>'[90]Exhibit 1'!Z23/$AL23</f>
        <v>12.174549816463097</v>
      </c>
      <c r="AB23" s="168">
        <f>'[90]Exhibit 1'!AA23/$AL23</f>
        <v>6.5784858199013048</v>
      </c>
      <c r="AC23" s="168">
        <f>'[90]Exhibit 1'!AB23/$AL23</f>
        <v>5.270558840174238</v>
      </c>
      <c r="AD23" s="168">
        <f>'[90]Exhibit 1'!AC23/$AL23</f>
        <v>4.0344805704219997</v>
      </c>
      <c r="AE23" s="168">
        <f>'[90]Exhibit 1'!AD23/$AL23</f>
        <v>2.7916820480922246</v>
      </c>
      <c r="AF23" s="168">
        <f>'[90]Exhibit 1'!AE23/$AL23</f>
        <v>2.0290460636937175</v>
      </c>
      <c r="AG23" s="168">
        <f>'[90]Exhibit 1'!AF23/$AL23</f>
        <v>1.2927062021752658</v>
      </c>
      <c r="AH23" s="168">
        <f>'[90]Exhibit 1'!AG23/$AL23</f>
        <v>0.73092103423221955</v>
      </c>
      <c r="AI23" s="168">
        <f>'[90]Exhibit 1'!AH23/$AL23</f>
        <v>0.24180432351265849</v>
      </c>
      <c r="AJ23" s="186">
        <f t="shared" si="0"/>
        <v>173.7390758240858</v>
      </c>
      <c r="AK23" s="69"/>
      <c r="AL23" s="76">
        <v>3797329</v>
      </c>
    </row>
    <row r="24" spans="3:38" x14ac:dyDescent="0.25">
      <c r="C24" s="73" t="s">
        <v>106</v>
      </c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>
        <f>'[90]Exhibit 1'!W24/$AL24</f>
        <v>25.551107210716072</v>
      </c>
      <c r="Y24" s="168">
        <f>'[90]Exhibit 1'!X24/$AL24</f>
        <v>63.764813697728883</v>
      </c>
      <c r="Z24" s="168">
        <f>'[90]Exhibit 1'!Y24/$AL24</f>
        <v>28.769146711755575</v>
      </c>
      <c r="AA24" s="168">
        <f>'[90]Exhibit 1'!Z24/$AL24</f>
        <v>16.912871615042501</v>
      </c>
      <c r="AB24" s="168">
        <f>'[90]Exhibit 1'!AA24/$AL24</f>
        <v>10.468754214584594</v>
      </c>
      <c r="AC24" s="168">
        <f>'[90]Exhibit 1'!AB24/$AL24</f>
        <v>7.9313131187662833</v>
      </c>
      <c r="AD24" s="168">
        <f>'[90]Exhibit 1'!AC24/$AL24</f>
        <v>5.6932220453169817</v>
      </c>
      <c r="AE24" s="168">
        <f>'[90]Exhibit 1'!AD24/$AL24</f>
        <v>2.987449519724203</v>
      </c>
      <c r="AF24" s="168">
        <f>'[90]Exhibit 1'!AE24/$AL24</f>
        <v>1.9750364220111056</v>
      </c>
      <c r="AG24" s="168">
        <f>'[90]Exhibit 1'!AF24/$AL24</f>
        <v>1.3205518250480275</v>
      </c>
      <c r="AH24" s="168">
        <f>'[90]Exhibit 1'!AG24/$AL24</f>
        <v>0.99770904760651591</v>
      </c>
      <c r="AI24" s="168">
        <f>'[90]Exhibit 1'!AH24/$AL24</f>
        <v>0.58332283481144243</v>
      </c>
      <c r="AJ24" s="186">
        <f t="shared" si="0"/>
        <v>166.95529826311221</v>
      </c>
      <c r="AK24" s="69"/>
      <c r="AL24" s="76">
        <v>3799900</v>
      </c>
    </row>
    <row r="25" spans="3:38" x14ac:dyDescent="0.25">
      <c r="C25" s="73" t="s">
        <v>105</v>
      </c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>
        <f>'[90]Exhibit 1'!X25/$AL25</f>
        <v>25.60682907718483</v>
      </c>
      <c r="Z25" s="168">
        <f>'[90]Exhibit 1'!Y25/$AL25</f>
        <v>60.909110596650919</v>
      </c>
      <c r="AA25" s="168">
        <f>'[90]Exhibit 1'!Z25/$AL25</f>
        <v>31.434506244633724</v>
      </c>
      <c r="AB25" s="168">
        <f>'[90]Exhibit 1'!AA25/$AL25</f>
        <v>15.8036692609156</v>
      </c>
      <c r="AC25" s="168">
        <f>'[90]Exhibit 1'!AB25/$AL25</f>
        <v>12.875305736845711</v>
      </c>
      <c r="AD25" s="168">
        <f>'[90]Exhibit 1'!AC25/$AL25</f>
        <v>8.4279768703612987</v>
      </c>
      <c r="AE25" s="168">
        <f>'[90]Exhibit 1'!AD25/$AL25</f>
        <v>4.5306466790979911</v>
      </c>
      <c r="AF25" s="168">
        <f>'[90]Exhibit 1'!AE25/$AL25</f>
        <v>2.7442394057194628</v>
      </c>
      <c r="AG25" s="168">
        <f>'[90]Exhibit 1'!AF25/$AL25</f>
        <v>1.3804636805149519</v>
      </c>
      <c r="AH25" s="168">
        <f>'[90]Exhibit 1'!AG25/$AL25</f>
        <v>1.0621747918016466</v>
      </c>
      <c r="AI25" s="168">
        <f>'[90]Exhibit 1'!AH25/$AL25</f>
        <v>0.83918212154253768</v>
      </c>
      <c r="AJ25" s="186">
        <f t="shared" si="0"/>
        <v>165.61410446526872</v>
      </c>
      <c r="AK25" s="69"/>
      <c r="AL25" s="76">
        <v>3796860</v>
      </c>
    </row>
    <row r="26" spans="3:38" x14ac:dyDescent="0.25">
      <c r="C26" s="73" t="s">
        <v>104</v>
      </c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>
        <f>'[90]Exhibit 1'!Y26/$AL26</f>
        <v>24.634822348359993</v>
      </c>
      <c r="AA26" s="168">
        <f>'[90]Exhibit 1'!Z26/$AL26</f>
        <v>64.166532543624115</v>
      </c>
      <c r="AB26" s="168">
        <f>'[90]Exhibit 1'!AA26/$AL26</f>
        <v>28.925825581024633</v>
      </c>
      <c r="AC26" s="168">
        <f>'[90]Exhibit 1'!AB26/$AL26</f>
        <v>18.076960900013461</v>
      </c>
      <c r="AD26" s="168">
        <f>'[90]Exhibit 1'!AC26/$AL26</f>
        <v>14.402391231202841</v>
      </c>
      <c r="AE26" s="168">
        <f>'[90]Exhibit 1'!AD26/$AL26</f>
        <v>6.8300999362109289</v>
      </c>
      <c r="AF26" s="168">
        <f>'[90]Exhibit 1'!AE26/$AL26</f>
        <v>4.2237126082352452</v>
      </c>
      <c r="AG26" s="168">
        <f>'[90]Exhibit 1'!AF26/$AL26</f>
        <v>2.2187642046614768</v>
      </c>
      <c r="AH26" s="168">
        <f>'[90]Exhibit 1'!AG26/$AL26</f>
        <v>1.4768852858559263</v>
      </c>
      <c r="AI26" s="168">
        <f>'[90]Exhibit 1'!AH26/$AL26</f>
        <v>1.0663450785849207</v>
      </c>
      <c r="AJ26" s="186">
        <f t="shared" si="0"/>
        <v>166.02233971777355</v>
      </c>
      <c r="AK26" s="69"/>
      <c r="AL26" s="76">
        <v>3795321</v>
      </c>
    </row>
    <row r="27" spans="3:38" x14ac:dyDescent="0.25">
      <c r="C27" s="73" t="s">
        <v>103</v>
      </c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>
        <f>'[90]Exhibit 1'!Z27/$AL27</f>
        <v>27.865570383279294</v>
      </c>
      <c r="AB27" s="168">
        <f>'[90]Exhibit 1'!AA27/$AL27</f>
        <v>66.538968255095782</v>
      </c>
      <c r="AC27" s="168">
        <f>'[90]Exhibit 1'!AB27/$AL27</f>
        <v>36.724778786462885</v>
      </c>
      <c r="AD27" s="168">
        <f>'[90]Exhibit 1'!AC27/$AL27</f>
        <v>23.001399933385738</v>
      </c>
      <c r="AE27" s="168">
        <f>'[90]Exhibit 1'!AD27/$AL27</f>
        <v>13.351798058820497</v>
      </c>
      <c r="AF27" s="168">
        <f>'[90]Exhibit 1'!AE27/$AL27</f>
        <v>6.8267575298843353</v>
      </c>
      <c r="AG27" s="168">
        <f>'[90]Exhibit 1'!AF27/$AL27</f>
        <v>3.7668126260856387</v>
      </c>
      <c r="AH27" s="168">
        <f>'[90]Exhibit 1'!AG27/$AL27</f>
        <v>2.5647595940844852</v>
      </c>
      <c r="AI27" s="168">
        <f>'[90]Exhibit 1'!AH27/$AL27</f>
        <v>2.2559021549134064</v>
      </c>
      <c r="AJ27" s="186">
        <f t="shared" si="0"/>
        <v>182.89674732201203</v>
      </c>
      <c r="AK27" s="69"/>
      <c r="AL27" s="76">
        <v>3800988</v>
      </c>
    </row>
    <row r="28" spans="3:38" x14ac:dyDescent="0.25">
      <c r="C28" s="73" t="s">
        <v>98</v>
      </c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>
        <f>'[90]Exhibit 1'!AA28/$AL28</f>
        <v>24.857269420455886</v>
      </c>
      <c r="AC28" s="168">
        <f>'[90]Exhibit 1'!AB28/$AL28</f>
        <v>64.621981214280851</v>
      </c>
      <c r="AD28" s="168">
        <f>'[90]Exhibit 1'!AC28/$AL28</f>
        <v>35.289268446309435</v>
      </c>
      <c r="AE28" s="168">
        <f>'[90]Exhibit 1'!AD28/$AL28</f>
        <v>18.958061992170048</v>
      </c>
      <c r="AF28" s="168">
        <f>'[90]Exhibit 1'!AE28/$AL28</f>
        <v>9.8237697925895642</v>
      </c>
      <c r="AG28" s="168">
        <f>'[90]Exhibit 1'!AF28/$AL28</f>
        <v>6.4009552368620044</v>
      </c>
      <c r="AH28" s="168">
        <f>'[90]Exhibit 1'!AG28/$AL28</f>
        <v>3.9960269266842565</v>
      </c>
      <c r="AI28" s="168">
        <f>'[90]Exhibit 1'!AH28/$AL28</f>
        <v>2.4910463825685665</v>
      </c>
      <c r="AJ28" s="186">
        <f t="shared" si="0"/>
        <v>166.43837941192061</v>
      </c>
      <c r="AK28" s="69"/>
      <c r="AL28" s="76">
        <v>3697596</v>
      </c>
    </row>
    <row r="29" spans="3:38" x14ac:dyDescent="0.25">
      <c r="C29" s="73" t="s">
        <v>97</v>
      </c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>
        <f>'[90]Exhibit 1'!AB29/$AL29</f>
        <v>21.20621430324795</v>
      </c>
      <c r="AD29" s="168">
        <f>'[90]Exhibit 1'!AC29/$AL29</f>
        <v>58.458776370197882</v>
      </c>
      <c r="AE29" s="168">
        <f>'[90]Exhibit 1'!AD29/$AL29</f>
        <v>28.195851312186637</v>
      </c>
      <c r="AF29" s="168">
        <f>'[90]Exhibit 1'!AE29/$AL29</f>
        <v>14.017048024227069</v>
      </c>
      <c r="AG29" s="168">
        <f>'[90]Exhibit 1'!AF29/$AL29</f>
        <v>8.7410984855368561</v>
      </c>
      <c r="AH29" s="168">
        <f>'[90]Exhibit 1'!AG29/$AL29</f>
        <v>4.330491778066798</v>
      </c>
      <c r="AI29" s="168">
        <f>'[90]Exhibit 1'!AH29/$AL29</f>
        <v>3.7401089974055988</v>
      </c>
      <c r="AJ29" s="186">
        <f t="shared" si="0"/>
        <v>138.68958927086879</v>
      </c>
      <c r="AK29" s="69"/>
      <c r="AL29" s="76">
        <v>3686785</v>
      </c>
    </row>
    <row r="30" spans="3:38" x14ac:dyDescent="0.25">
      <c r="C30" s="73" t="s">
        <v>96</v>
      </c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>
        <f>'[90]Exhibit 1'!AC30/$AL30</f>
        <v>28.548702979518858</v>
      </c>
      <c r="AE30" s="168">
        <f>'[90]Exhibit 1'!AD30/$AL30</f>
        <v>63.552317895990782</v>
      </c>
      <c r="AF30" s="168">
        <f>'[90]Exhibit 1'!AE30/$AL30</f>
        <v>30.007013724794572</v>
      </c>
      <c r="AG30" s="168">
        <f>'[90]Exhibit 1'!AF30/$AL30</f>
        <v>15.209898711764668</v>
      </c>
      <c r="AH30" s="168">
        <f>'[90]Exhibit 1'!AG30/$AL30</f>
        <v>8.473102727925653</v>
      </c>
      <c r="AI30" s="168">
        <f>'[90]Exhibit 1'!AH30/$AL30</f>
        <v>6.1840114849749277</v>
      </c>
      <c r="AJ30" s="186">
        <f t="shared" si="0"/>
        <v>151.97504752496948</v>
      </c>
      <c r="AK30" s="69"/>
      <c r="AL30" s="76">
        <v>3686904</v>
      </c>
    </row>
    <row r="31" spans="3:38" x14ac:dyDescent="0.25">
      <c r="C31" s="73" t="s">
        <v>95</v>
      </c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>
        <f>'[90]Exhibit 1'!AD31/$AL31</f>
        <v>25.069297842403405</v>
      </c>
      <c r="AF31" s="168">
        <f>'[90]Exhibit 1'!AE31/$AL31</f>
        <v>62.243723833582713</v>
      </c>
      <c r="AG31" s="168">
        <f>'[90]Exhibit 1'!AF31/$AL31</f>
        <v>26.066674473644017</v>
      </c>
      <c r="AH31" s="168">
        <f>'[90]Exhibit 1'!AG31/$AL31</f>
        <v>14.658231065444259</v>
      </c>
      <c r="AI31" s="168">
        <f>'[90]Exhibit 1'!AH31/$AL31</f>
        <v>9.0439052701151983</v>
      </c>
      <c r="AJ31" s="186">
        <f t="shared" si="0"/>
        <v>137.08183248518961</v>
      </c>
      <c r="AK31" s="69"/>
      <c r="AL31" s="76">
        <v>3699255</v>
      </c>
    </row>
    <row r="32" spans="3:38" x14ac:dyDescent="0.25">
      <c r="C32" s="73" t="s">
        <v>94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>
        <f>'[90]Exhibit 1'!AE32/$AL32</f>
        <v>28.596042650602737</v>
      </c>
      <c r="AG32" s="168">
        <f>'[90]Exhibit 1'!AF32/$AL32</f>
        <v>62.061824344611445</v>
      </c>
      <c r="AH32" s="168">
        <f>'[90]Exhibit 1'!AG32/$AL32</f>
        <v>26.502453561020197</v>
      </c>
      <c r="AI32" s="168">
        <f>'[90]Exhibit 1'!AH32/$AL32</f>
        <v>17.377339633055641</v>
      </c>
      <c r="AJ32" s="186">
        <f t="shared" si="0"/>
        <v>134.53766018929002</v>
      </c>
      <c r="AK32" s="69"/>
      <c r="AL32" s="76">
        <v>3686935</v>
      </c>
    </row>
    <row r="33" spans="1:38" x14ac:dyDescent="0.25">
      <c r="C33" s="73" t="s">
        <v>93</v>
      </c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>
        <f>'[90]Exhibit 1'!AF33/$AL33</f>
        <v>26.89106782220891</v>
      </c>
      <c r="AH33" s="168">
        <f>'[90]Exhibit 1'!AG33/$AL33</f>
        <v>59.137581412567521</v>
      </c>
      <c r="AI33" s="168">
        <f>'[90]Exhibit 1'!AH33/$AL33</f>
        <v>29.004549766139185</v>
      </c>
      <c r="AJ33" s="186">
        <f t="shared" si="0"/>
        <v>115.0331990009156</v>
      </c>
      <c r="AK33" s="69"/>
      <c r="AL33" s="76">
        <v>3692581</v>
      </c>
    </row>
    <row r="34" spans="1:38" x14ac:dyDescent="0.25">
      <c r="C34" s="73" t="s">
        <v>102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>
        <f>'[90]Exhibit 1'!AG34/$AL34</f>
        <v>23.548434663827322</v>
      </c>
      <c r="AI34" s="168">
        <f>'[90]Exhibit 1'!AH34/$AL34</f>
        <v>60.012210565159663</v>
      </c>
      <c r="AJ34" s="186">
        <f t="shared" si="0"/>
        <v>83.560645228986985</v>
      </c>
      <c r="AK34" s="69"/>
      <c r="AL34" s="76">
        <v>3688179</v>
      </c>
    </row>
    <row r="35" spans="1:38" x14ac:dyDescent="0.25">
      <c r="C35" s="73" t="s">
        <v>101</v>
      </c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>
        <f>'[90]Exhibit 1'!AH35/$AL35</f>
        <v>26.861806593279926</v>
      </c>
      <c r="AJ35" s="186">
        <f t="shared" si="0"/>
        <v>26.861806593279926</v>
      </c>
      <c r="AK35" s="69"/>
      <c r="AL35" s="76">
        <v>3678321</v>
      </c>
    </row>
    <row r="36" spans="1:38" x14ac:dyDescent="0.25">
      <c r="C36" s="68" t="s">
        <v>1</v>
      </c>
      <c r="D36" s="186">
        <f t="shared" ref="D36:AJ36" si="1">SUM(D4:D35)</f>
        <v>28.226643870249855</v>
      </c>
      <c r="E36" s="186">
        <f t="shared" si="1"/>
        <v>86.997359592500516</v>
      </c>
      <c r="F36" s="186">
        <f t="shared" si="1"/>
        <v>125.90190261317676</v>
      </c>
      <c r="G36" s="186">
        <f t="shared" si="1"/>
        <v>102.59070930143487</v>
      </c>
      <c r="H36" s="186">
        <f t="shared" si="1"/>
        <v>90.486891113934803</v>
      </c>
      <c r="I36" s="186">
        <f t="shared" si="1"/>
        <v>110.61445750265591</v>
      </c>
      <c r="J36" s="186">
        <f t="shared" si="1"/>
        <v>129.52986533616433</v>
      </c>
      <c r="K36" s="186">
        <f t="shared" si="1"/>
        <v>132.43093410687968</v>
      </c>
      <c r="L36" s="186">
        <f t="shared" si="1"/>
        <v>137.74667512123386</v>
      </c>
      <c r="M36" s="186">
        <f t="shared" si="1"/>
        <v>151.36512054178695</v>
      </c>
      <c r="N36" s="186">
        <f t="shared" si="1"/>
        <v>135.26561647571538</v>
      </c>
      <c r="O36" s="186">
        <f t="shared" si="1"/>
        <v>159.93329059904585</v>
      </c>
      <c r="P36" s="186">
        <f t="shared" si="1"/>
        <v>167.03065507464851</v>
      </c>
      <c r="Q36" s="186">
        <f t="shared" si="1"/>
        <v>141.02968629399101</v>
      </c>
      <c r="R36" s="186">
        <f t="shared" si="1"/>
        <v>168.9848031261063</v>
      </c>
      <c r="S36" s="186">
        <f t="shared" si="1"/>
        <v>162.54324363582742</v>
      </c>
      <c r="T36" s="186">
        <f t="shared" si="1"/>
        <v>157.62188436710196</v>
      </c>
      <c r="U36" s="186">
        <f t="shared" si="1"/>
        <v>165.30785632106114</v>
      </c>
      <c r="V36" s="186">
        <f t="shared" si="1"/>
        <v>153.63600114234993</v>
      </c>
      <c r="W36" s="186">
        <f t="shared" si="1"/>
        <v>164.2286181563766</v>
      </c>
      <c r="X36" s="186">
        <f t="shared" si="1"/>
        <v>160.29102714645765</v>
      </c>
      <c r="Y36" s="186">
        <f t="shared" si="1"/>
        <v>164.73644244374597</v>
      </c>
      <c r="Z36" s="186">
        <f t="shared" si="1"/>
        <v>165.48375754060805</v>
      </c>
      <c r="AA36" s="186">
        <f t="shared" si="1"/>
        <v>179.76279778174097</v>
      </c>
      <c r="AB36" s="186">
        <f t="shared" si="1"/>
        <v>168.67758049474313</v>
      </c>
      <c r="AC36" s="186">
        <f t="shared" si="1"/>
        <v>179.18290996075856</v>
      </c>
      <c r="AD36" s="186">
        <f t="shared" si="1"/>
        <v>187.06187608154249</v>
      </c>
      <c r="AE36" s="186">
        <f t="shared" si="1"/>
        <v>171.78767571171997</v>
      </c>
      <c r="AF36" s="186">
        <f t="shared" si="1"/>
        <v>164.89178448092522</v>
      </c>
      <c r="AG36" s="186">
        <f t="shared" si="1"/>
        <v>157.00268472365752</v>
      </c>
      <c r="AH36" s="186">
        <f t="shared" si="1"/>
        <v>148.19769946071855</v>
      </c>
      <c r="AI36" s="186">
        <f t="shared" si="1"/>
        <v>159.80498000146696</v>
      </c>
      <c r="AJ36" s="186">
        <f t="shared" si="1"/>
        <v>4678.3534301203263</v>
      </c>
      <c r="AL36" s="67"/>
    </row>
    <row r="38" spans="1:38" x14ac:dyDescent="0.25">
      <c r="A38" s="74" t="s">
        <v>337</v>
      </c>
    </row>
    <row r="39" spans="1:38" x14ac:dyDescent="0.25">
      <c r="D39" s="74" t="s">
        <v>326</v>
      </c>
    </row>
    <row r="40" spans="1:38" x14ac:dyDescent="0.25">
      <c r="C40" s="74" t="s">
        <v>127</v>
      </c>
      <c r="D40" s="182">
        <v>0</v>
      </c>
      <c r="E40" s="182">
        <v>1</v>
      </c>
      <c r="F40" s="182">
        <v>2</v>
      </c>
      <c r="G40" s="182">
        <v>3</v>
      </c>
      <c r="H40" s="182">
        <v>4</v>
      </c>
      <c r="I40" s="182">
        <v>5</v>
      </c>
      <c r="J40" s="182">
        <v>6</v>
      </c>
      <c r="K40" s="182">
        <v>7</v>
      </c>
      <c r="L40" s="182">
        <v>8</v>
      </c>
      <c r="M40" s="182">
        <v>9</v>
      </c>
      <c r="N40" s="182">
        <v>10</v>
      </c>
      <c r="O40" s="182">
        <v>11</v>
      </c>
      <c r="P40" s="182">
        <v>12</v>
      </c>
      <c r="Q40" s="182">
        <v>13</v>
      </c>
      <c r="R40" s="182">
        <v>14</v>
      </c>
      <c r="S40" s="182">
        <v>15</v>
      </c>
      <c r="T40" s="182">
        <v>16</v>
      </c>
      <c r="U40" s="182">
        <v>17</v>
      </c>
      <c r="V40" s="182">
        <v>18</v>
      </c>
      <c r="W40" s="182">
        <v>19</v>
      </c>
      <c r="X40" s="182">
        <v>20</v>
      </c>
      <c r="Y40" s="182">
        <v>21</v>
      </c>
      <c r="Z40" s="182">
        <v>22</v>
      </c>
      <c r="AA40" s="182">
        <v>23</v>
      </c>
      <c r="AB40" s="182">
        <v>24</v>
      </c>
      <c r="AC40" s="182">
        <v>25</v>
      </c>
      <c r="AD40" s="182">
        <v>26</v>
      </c>
      <c r="AE40" s="182">
        <v>27</v>
      </c>
      <c r="AF40" s="182">
        <v>28</v>
      </c>
      <c r="AG40" s="182">
        <v>29</v>
      </c>
      <c r="AH40" s="182">
        <v>30</v>
      </c>
      <c r="AI40" s="182">
        <v>31</v>
      </c>
    </row>
    <row r="41" spans="1:38" x14ac:dyDescent="0.25">
      <c r="C41" s="73" t="s">
        <v>126</v>
      </c>
      <c r="D41" s="185">
        <f>'(c)'!D4</f>
        <v>28.226643870249855</v>
      </c>
      <c r="E41" s="168">
        <f>D41+'(c)'!E4</f>
        <v>88.845384123352233</v>
      </c>
      <c r="F41" s="168">
        <f>E41+'(c)'!F4</f>
        <v>117.97971397830537</v>
      </c>
      <c r="G41" s="168">
        <f>F41+'(c)'!G4</f>
        <v>130.56374583412264</v>
      </c>
      <c r="H41" s="168">
        <f>G41+'(c)'!H4</f>
        <v>137.13316893064669</v>
      </c>
      <c r="I41" s="168">
        <f>H41+'(c)'!I4</f>
        <v>141.02664865327122</v>
      </c>
      <c r="J41" s="168">
        <f>I41+'(c)'!J4</f>
        <v>143.68392323350145</v>
      </c>
      <c r="K41" s="168">
        <f>J41+'(c)'!K4</f>
        <v>145.65289345447007</v>
      </c>
      <c r="L41" s="168">
        <f>K41+'(c)'!L4</f>
        <v>147.05933153050222</v>
      </c>
      <c r="M41" s="168">
        <f>L41+'(c)'!M4</f>
        <v>148.18809520400185</v>
      </c>
      <c r="N41" s="168">
        <f>M41+'(c)'!N4</f>
        <v>149.01583594982503</v>
      </c>
      <c r="O41" s="168">
        <f>N41+'(c)'!O4</f>
        <v>149.74760837744702</v>
      </c>
      <c r="P41" s="168">
        <f>O41+'(c)'!P4</f>
        <v>150.14349585662075</v>
      </c>
      <c r="Q41" s="168">
        <f>P41+'(c)'!Q4</f>
        <v>150.22977098923522</v>
      </c>
      <c r="R41" s="168">
        <f>Q41+'(c)'!R4</f>
        <v>150.2648345830344</v>
      </c>
      <c r="S41" s="168">
        <f>R41+'(c)'!S4</f>
        <v>150.27434279695379</v>
      </c>
      <c r="T41" s="168">
        <f>S41+'(c)'!T4</f>
        <v>150.27584723119247</v>
      </c>
      <c r="U41" s="168">
        <f>T41+'(c)'!U4</f>
        <v>150.27594184253718</v>
      </c>
      <c r="V41" s="168">
        <f>U41+'(c)'!V4</f>
        <v>150.27597216649491</v>
      </c>
      <c r="W41" s="168">
        <f>V41+'(c)'!W4</f>
        <v>150.27597788424396</v>
      </c>
      <c r="X41" s="168">
        <f>W41+'(c)'!X4</f>
        <v>150.27597788424396</v>
      </c>
      <c r="Y41" s="168">
        <f>X41+'(c)'!Y4</f>
        <v>150.27597788424396</v>
      </c>
      <c r="Z41" s="168">
        <f>Y41+'(c)'!Z4</f>
        <v>150.27597788424396</v>
      </c>
      <c r="AA41" s="168">
        <f>Z41+'(c)'!AA4</f>
        <v>150.27597788424396</v>
      </c>
      <c r="AB41" s="168">
        <f>AA41+'(c)'!AB4</f>
        <v>150.27597788424396</v>
      </c>
      <c r="AC41" s="168">
        <f>AB41+'(c)'!AC4</f>
        <v>150.27597788424396</v>
      </c>
      <c r="AD41" s="168">
        <f>AC41+'(c)'!AD4</f>
        <v>150.27597788424396</v>
      </c>
      <c r="AE41" s="168">
        <f>AD41+'(c)'!AE4</f>
        <v>150.27597788424396</v>
      </c>
      <c r="AF41" s="168">
        <f>AE41+'(c)'!AF4</f>
        <v>150.27597788424396</v>
      </c>
      <c r="AG41" s="168">
        <f>AF41+'(c)'!AG4</f>
        <v>150.27597788424396</v>
      </c>
      <c r="AH41" s="168">
        <f>AG41+'(c)'!AH4</f>
        <v>150.27597788424396</v>
      </c>
      <c r="AI41" s="168">
        <f>AH41+'(c)'!AI4</f>
        <v>150.27597788424396</v>
      </c>
    </row>
    <row r="42" spans="1:38" x14ac:dyDescent="0.25">
      <c r="C42" s="73" t="s">
        <v>125</v>
      </c>
      <c r="D42" s="185">
        <f>'(c)'!E5</f>
        <v>26.378619339398135</v>
      </c>
      <c r="E42" s="168">
        <f>D42+'(c)'!F5</f>
        <v>91.794113899945302</v>
      </c>
      <c r="F42" s="168">
        <f>E42+'(c)'!G5</f>
        <v>115.16698209587472</v>
      </c>
      <c r="G42" s="168">
        <f>F42+'(c)'!H5</f>
        <v>126.10010863140594</v>
      </c>
      <c r="H42" s="168">
        <f>G42+'(c)'!I5</f>
        <v>132.42369082277199</v>
      </c>
      <c r="I42" s="168">
        <f>H42+'(c)'!J5</f>
        <v>137.27638053798458</v>
      </c>
      <c r="J42" s="168">
        <f>I42+'(c)'!K5</f>
        <v>139.53923999555573</v>
      </c>
      <c r="K42" s="168">
        <f>J42+'(c)'!L5</f>
        <v>141.60529394115468</v>
      </c>
      <c r="L42" s="168">
        <f>K42+'(c)'!M5</f>
        <v>143.06815371652982</v>
      </c>
      <c r="M42" s="168">
        <f>L42+'(c)'!N5</f>
        <v>143.73627314025862</v>
      </c>
      <c r="N42" s="168">
        <f>M42+'(c)'!O5</f>
        <v>144.95215303187496</v>
      </c>
      <c r="O42" s="168">
        <f>N42+'(c)'!P5</f>
        <v>145.8131049674013</v>
      </c>
      <c r="P42" s="168">
        <f>O42+'(c)'!Q5</f>
        <v>146.12923505082611</v>
      </c>
      <c r="Q42" s="168">
        <f>P42+'(c)'!R5</f>
        <v>146.29142351158882</v>
      </c>
      <c r="R42" s="168">
        <f>Q42+'(c)'!S5</f>
        <v>146.31109558292505</v>
      </c>
      <c r="S42" s="168">
        <f>R42+'(c)'!T5</f>
        <v>146.32610186393282</v>
      </c>
      <c r="T42" s="168">
        <f>S42+'(c)'!U5</f>
        <v>146.32629461329759</v>
      </c>
      <c r="U42" s="168">
        <f>T42+'(c)'!V5</f>
        <v>146.3263839312302</v>
      </c>
      <c r="V42" s="168">
        <f>U42+'(c)'!W5</f>
        <v>146.32644134614756</v>
      </c>
      <c r="W42" s="168">
        <f>V42+'(c)'!X5</f>
        <v>146.32644134614756</v>
      </c>
      <c r="X42" s="168">
        <f>W42+'(c)'!Y5</f>
        <v>146.32644134614756</v>
      </c>
      <c r="Y42" s="168">
        <f>X42+'(c)'!Z5</f>
        <v>146.32644134614756</v>
      </c>
      <c r="Z42" s="168">
        <f>Y42+'(c)'!AA5</f>
        <v>146.32644134614756</v>
      </c>
      <c r="AA42" s="168">
        <f>Z42+'(c)'!AB5</f>
        <v>146.32644134614756</v>
      </c>
      <c r="AB42" s="168">
        <f>AA42+'(c)'!AC5</f>
        <v>146.32644134614756</v>
      </c>
      <c r="AC42" s="168">
        <f>AB42+'(c)'!AD5</f>
        <v>146.32644134614756</v>
      </c>
      <c r="AD42" s="168">
        <f>AC42+'(c)'!AE5</f>
        <v>146.32644134614756</v>
      </c>
      <c r="AE42" s="168">
        <f>AD42+'(c)'!AF5</f>
        <v>146.32644134614756</v>
      </c>
      <c r="AF42" s="168">
        <f>AE42+'(c)'!AG5</f>
        <v>146.32644134614756</v>
      </c>
      <c r="AG42" s="168">
        <f>AF42+'(c)'!AH5</f>
        <v>146.32644134614756</v>
      </c>
      <c r="AH42" s="168">
        <f>AG42+'(c)'!AI5</f>
        <v>146.32644134614756</v>
      </c>
      <c r="AI42" s="168"/>
    </row>
    <row r="43" spans="1:38" x14ac:dyDescent="0.25">
      <c r="C43" s="73" t="s">
        <v>124</v>
      </c>
      <c r="D43" s="185">
        <f>'(c)'!F6</f>
        <v>31.352078197676459</v>
      </c>
      <c r="E43" s="168">
        <f>D43+'(c)'!G6</f>
        <v>81.501600881128823</v>
      </c>
      <c r="F43" s="168">
        <f>E43+'(c)'!H6</f>
        <v>99.854624204271886</v>
      </c>
      <c r="G43" s="168">
        <f>F43+'(c)'!I6</f>
        <v>109.78421386975776</v>
      </c>
      <c r="H43" s="168">
        <f>G43+'(c)'!J6</f>
        <v>116.32845183570176</v>
      </c>
      <c r="I43" s="168">
        <f>H43+'(c)'!K6</f>
        <v>119.82684192570964</v>
      </c>
      <c r="J43" s="168">
        <f>I43+'(c)'!L6</f>
        <v>122.06542737705756</v>
      </c>
      <c r="K43" s="168">
        <f>J43+'(c)'!M6</f>
        <v>123.87687422607952</v>
      </c>
      <c r="L43" s="168">
        <f>K43+'(c)'!N6</f>
        <v>124.97715452942126</v>
      </c>
      <c r="M43" s="168">
        <f>L43+'(c)'!O6</f>
        <v>126.58759524172388</v>
      </c>
      <c r="N43" s="168">
        <f>M43+'(c)'!P6</f>
        <v>127.41425796881157</v>
      </c>
      <c r="O43" s="168">
        <f>N43+'(c)'!Q6</f>
        <v>127.93932924970697</v>
      </c>
      <c r="P43" s="168">
        <f>O43+'(c)'!R6</f>
        <v>128.26524939916197</v>
      </c>
      <c r="Q43" s="168">
        <f>P43+'(c)'!S6</f>
        <v>128.40296063495819</v>
      </c>
      <c r="R43" s="168">
        <f>Q43+'(c)'!T6</f>
        <v>128.43649991928666</v>
      </c>
      <c r="S43" s="168">
        <f>R43+'(c)'!U6</f>
        <v>128.44124552943427</v>
      </c>
      <c r="T43" s="168">
        <f>S43+'(c)'!V6</f>
        <v>128.44312257546693</v>
      </c>
      <c r="U43" s="168">
        <f>T43+'(c)'!W6</f>
        <v>128.44317043445824</v>
      </c>
      <c r="V43" s="168">
        <f>U43+'(c)'!X6</f>
        <v>128.44318474979366</v>
      </c>
      <c r="W43" s="168">
        <f>V43+'(c)'!Y6</f>
        <v>128.44318474979366</v>
      </c>
      <c r="X43" s="168">
        <f>W43+'(c)'!Z6</f>
        <v>128.44318474979366</v>
      </c>
      <c r="Y43" s="168">
        <f>X43+'(c)'!AA6</f>
        <v>128.44318474979366</v>
      </c>
      <c r="Z43" s="168">
        <f>Y43+'(c)'!AB6</f>
        <v>128.44318474979366</v>
      </c>
      <c r="AA43" s="168">
        <f>Z43+'(c)'!AC6</f>
        <v>128.44318474979366</v>
      </c>
      <c r="AB43" s="168">
        <f>AA43+'(c)'!AD6</f>
        <v>128.44318474979366</v>
      </c>
      <c r="AC43" s="168">
        <f>AB43+'(c)'!AE6</f>
        <v>128.44318474979366</v>
      </c>
      <c r="AD43" s="168">
        <f>AC43+'(c)'!AF6</f>
        <v>128.44318474979366</v>
      </c>
      <c r="AE43" s="168">
        <f>AD43+'(c)'!AG6</f>
        <v>128.44318474979366</v>
      </c>
      <c r="AF43" s="168">
        <f>AE43+'(c)'!AH6</f>
        <v>128.44318474979366</v>
      </c>
      <c r="AG43" s="168">
        <f>AF43+'(c)'!AI6</f>
        <v>128.44318474979366</v>
      </c>
      <c r="AH43" s="168"/>
      <c r="AI43" s="168"/>
    </row>
    <row r="44" spans="1:38" x14ac:dyDescent="0.25">
      <c r="C44" s="73" t="s">
        <v>123</v>
      </c>
      <c r="D44" s="185">
        <f>'(c)'!G7</f>
        <v>16.484286566235838</v>
      </c>
      <c r="E44" s="168">
        <f>D44+'(c)'!H7</f>
        <v>52.946400409165733</v>
      </c>
      <c r="F44" s="168">
        <f>E44+'(c)'!I7</f>
        <v>68.930091371471391</v>
      </c>
      <c r="G44" s="168">
        <f>F44+'(c)'!J7</f>
        <v>76.925204478616394</v>
      </c>
      <c r="H44" s="168">
        <f>G44+'(c)'!K7</f>
        <v>80.491580066032242</v>
      </c>
      <c r="I44" s="168">
        <f>H44+'(c)'!L7</f>
        <v>82.539898665664523</v>
      </c>
      <c r="J44" s="168">
        <f>I44+'(c)'!M7</f>
        <v>84.07476568554479</v>
      </c>
      <c r="K44" s="168">
        <f>J44+'(c)'!N7</f>
        <v>84.915718470461726</v>
      </c>
      <c r="L44" s="168">
        <f>K44+'(c)'!O7</f>
        <v>85.975586252754809</v>
      </c>
      <c r="M44" s="168">
        <f>L44+'(c)'!P7</f>
        <v>86.568105797276573</v>
      </c>
      <c r="N44" s="168">
        <f>M44+'(c)'!Q7</f>
        <v>87.011389467850933</v>
      </c>
      <c r="O44" s="168">
        <f>N44+'(c)'!R7</f>
        <v>87.375052104070988</v>
      </c>
      <c r="P44" s="168">
        <f>O44+'(c)'!S7</f>
        <v>87.508146203900097</v>
      </c>
      <c r="Q44" s="168">
        <f>P44+'(c)'!T7</f>
        <v>87.600102153269859</v>
      </c>
      <c r="R44" s="168">
        <f>Q44+'(c)'!U7</f>
        <v>87.607728919159882</v>
      </c>
      <c r="S44" s="168">
        <f>R44+'(c)'!V7</f>
        <v>87.616507410728005</v>
      </c>
      <c r="T44" s="168">
        <f>S44+'(c)'!W7</f>
        <v>87.617773935429298</v>
      </c>
      <c r="U44" s="168">
        <f>T44+'(c)'!X7</f>
        <v>87.617953776932836</v>
      </c>
      <c r="V44" s="168">
        <f>U44+'(c)'!Y7</f>
        <v>87.618012393541676</v>
      </c>
      <c r="W44" s="168">
        <f>V44+'(c)'!Z7</f>
        <v>87.618012393541676</v>
      </c>
      <c r="X44" s="168">
        <f>W44+'(c)'!AA7</f>
        <v>87.618012393541676</v>
      </c>
      <c r="Y44" s="168">
        <f>X44+'(c)'!AB7</f>
        <v>87.618012393541676</v>
      </c>
      <c r="Z44" s="168">
        <f>Y44+'(c)'!AC7</f>
        <v>87.618012393541676</v>
      </c>
      <c r="AA44" s="168">
        <f>Z44+'(c)'!AD7</f>
        <v>87.618012393541676</v>
      </c>
      <c r="AB44" s="168">
        <f>AA44+'(c)'!AE7</f>
        <v>87.618012393541676</v>
      </c>
      <c r="AC44" s="168">
        <f>AB44+'(c)'!AF7</f>
        <v>87.618012393541676</v>
      </c>
      <c r="AD44" s="168">
        <f>AC44+'(c)'!AG7</f>
        <v>87.618012393541676</v>
      </c>
      <c r="AE44" s="168">
        <f>AD44+'(c)'!AH7</f>
        <v>87.618012393541676</v>
      </c>
      <c r="AF44" s="168">
        <f>AE44+'(c)'!AI7</f>
        <v>87.618012393541676</v>
      </c>
      <c r="AG44" s="168"/>
      <c r="AH44" s="168"/>
      <c r="AI44" s="168"/>
    </row>
    <row r="45" spans="1:38" x14ac:dyDescent="0.25">
      <c r="C45" s="73" t="s">
        <v>122</v>
      </c>
      <c r="D45" s="185">
        <f>'(c)'!H8</f>
        <v>18.169204315806549</v>
      </c>
      <c r="E45" s="168">
        <f>D45+'(c)'!I8</f>
        <v>68.212420153131745</v>
      </c>
      <c r="F45" s="168">
        <f>E45+'(c)'!J8</f>
        <v>89.590743193288517</v>
      </c>
      <c r="G45" s="168">
        <f>F45+'(c)'!K8</f>
        <v>99.256722603229491</v>
      </c>
      <c r="H45" s="168">
        <f>G45+'(c)'!L8</f>
        <v>104.70657875480273</v>
      </c>
      <c r="I45" s="168">
        <f>H45+'(c)'!M8</f>
        <v>108.1125918540301</v>
      </c>
      <c r="J45" s="168">
        <f>I45+'(c)'!N8</f>
        <v>110.07148416302854</v>
      </c>
      <c r="K45" s="168">
        <f>J45+'(c)'!O8</f>
        <v>111.62234670528228</v>
      </c>
      <c r="L45" s="168">
        <f>K45+'(c)'!P8</f>
        <v>113.0104121195521</v>
      </c>
      <c r="M45" s="168">
        <f>L45+'(c)'!Q8</f>
        <v>113.7572279046239</v>
      </c>
      <c r="N45" s="168">
        <f>M45+'(c)'!R8</f>
        <v>114.50211592621658</v>
      </c>
      <c r="O45" s="168">
        <f>N45+'(c)'!S8</f>
        <v>114.87193005272334</v>
      </c>
      <c r="P45" s="168">
        <f>O45+'(c)'!T8</f>
        <v>115.3272061694374</v>
      </c>
      <c r="Q45" s="168">
        <f>P45+'(c)'!U8</f>
        <v>115.40714486772158</v>
      </c>
      <c r="R45" s="168">
        <f>Q45+'(c)'!V8</f>
        <v>115.43890214314698</v>
      </c>
      <c r="S45" s="168">
        <f>R45+'(c)'!W8</f>
        <v>115.44690889363805</v>
      </c>
      <c r="T45" s="168">
        <f>S45+'(c)'!X8</f>
        <v>115.4473908553536</v>
      </c>
      <c r="U45" s="168">
        <f>T45+'(c)'!Y8</f>
        <v>115.44752042758836</v>
      </c>
      <c r="V45" s="168">
        <f>U45+'(c)'!Z8</f>
        <v>115.44755182257698</v>
      </c>
      <c r="W45" s="168">
        <f>V45+'(c)'!AA8</f>
        <v>115.44755182257698</v>
      </c>
      <c r="X45" s="168">
        <f>W45+'(c)'!AB8</f>
        <v>115.44755182257698</v>
      </c>
      <c r="Y45" s="168">
        <f>X45+'(c)'!AC8</f>
        <v>115.44755182257698</v>
      </c>
      <c r="Z45" s="168">
        <f>Y45+'(c)'!AD8</f>
        <v>115.44755182257698</v>
      </c>
      <c r="AA45" s="168">
        <f>Z45+'(c)'!AE8</f>
        <v>115.44755182257698</v>
      </c>
      <c r="AB45" s="168">
        <f>AA45+'(c)'!AF8</f>
        <v>115.44755182257698</v>
      </c>
      <c r="AC45" s="168">
        <f>AB45+'(c)'!AG8</f>
        <v>115.44755182257698</v>
      </c>
      <c r="AD45" s="168">
        <f>AC45+'(c)'!AH8</f>
        <v>115.44755182257698</v>
      </c>
      <c r="AE45" s="168">
        <f>AD45+'(c)'!AI8</f>
        <v>115.44755182257698</v>
      </c>
      <c r="AF45" s="168"/>
      <c r="AG45" s="168"/>
      <c r="AH45" s="168"/>
      <c r="AI45" s="168"/>
    </row>
    <row r="46" spans="1:38" x14ac:dyDescent="0.25">
      <c r="C46" s="73" t="s">
        <v>121</v>
      </c>
      <c r="D46" s="185">
        <f>'(c)'!I9</f>
        <v>24.440899123548601</v>
      </c>
      <c r="E46" s="168">
        <f>D46+'(c)'!J9</f>
        <v>85.753035350197905</v>
      </c>
      <c r="F46" s="168">
        <f>E46+'(c)'!K9</f>
        <v>112.14299913882948</v>
      </c>
      <c r="G46" s="168">
        <f>F46+'(c)'!L9</f>
        <v>125.476733290635</v>
      </c>
      <c r="H46" s="168">
        <f>G46+'(c)'!M9</f>
        <v>132.81645947807522</v>
      </c>
      <c r="I46" s="168">
        <f>H46+'(c)'!N9</f>
        <v>136.39281503852382</v>
      </c>
      <c r="J46" s="168">
        <f>I46+'(c)'!O9</f>
        <v>139.49404953039888</v>
      </c>
      <c r="K46" s="168">
        <f>J46+'(c)'!P9</f>
        <v>142.04538903066572</v>
      </c>
      <c r="L46" s="168">
        <f>K46+'(c)'!Q9</f>
        <v>143.45529086943131</v>
      </c>
      <c r="M46" s="168">
        <f>L46+'(c)'!R9</f>
        <v>144.64143988625528</v>
      </c>
      <c r="N46" s="168">
        <f>M46+'(c)'!S9</f>
        <v>145.41244929658359</v>
      </c>
      <c r="O46" s="168">
        <f>N46+'(c)'!T9</f>
        <v>145.96119503363698</v>
      </c>
      <c r="P46" s="168">
        <f>O46+'(c)'!U9</f>
        <v>146.38030594563614</v>
      </c>
      <c r="Q46" s="168">
        <f>P46+'(c)'!V9</f>
        <v>146.48688155078833</v>
      </c>
      <c r="R46" s="168">
        <f>Q46+'(c)'!W9</f>
        <v>146.50579197303648</v>
      </c>
      <c r="S46" s="168">
        <f>R46+'(c)'!X9</f>
        <v>146.52419176718954</v>
      </c>
      <c r="T46" s="168">
        <f>S46+'(c)'!Y9</f>
        <v>146.52563405872181</v>
      </c>
      <c r="U46" s="168">
        <f>T46+'(c)'!Z9</f>
        <v>146.52584855043924</v>
      </c>
      <c r="V46" s="168">
        <f>U46+'(c)'!AA9</f>
        <v>146.52588803410305</v>
      </c>
      <c r="W46" s="168">
        <f>V46+'(c)'!AB9</f>
        <v>146.52588803410305</v>
      </c>
      <c r="X46" s="168">
        <f>W46+'(c)'!AC9</f>
        <v>146.52588803410305</v>
      </c>
      <c r="Y46" s="168">
        <f>X46+'(c)'!AD9</f>
        <v>146.52588803410305</v>
      </c>
      <c r="Z46" s="168">
        <f>Y46+'(c)'!AE9</f>
        <v>146.52588803410305</v>
      </c>
      <c r="AA46" s="168">
        <f>Z46+'(c)'!AF9</f>
        <v>146.52588803410305</v>
      </c>
      <c r="AB46" s="168">
        <f>AA46+'(c)'!AG9</f>
        <v>146.52588803410305</v>
      </c>
      <c r="AC46" s="168">
        <f>AB46+'(c)'!AH9</f>
        <v>146.52588803410305</v>
      </c>
      <c r="AD46" s="168">
        <f>AC46+'(c)'!AI9</f>
        <v>146.52588803410305</v>
      </c>
      <c r="AE46" s="168"/>
      <c r="AF46" s="168"/>
      <c r="AG46" s="168"/>
      <c r="AH46" s="168"/>
      <c r="AI46" s="168"/>
    </row>
    <row r="47" spans="1:38" x14ac:dyDescent="0.25">
      <c r="C47" s="73" t="s">
        <v>120</v>
      </c>
      <c r="D47" s="185">
        <f>'(c)'!J10</f>
        <v>24.79009070082645</v>
      </c>
      <c r="E47" s="168">
        <f>D47+'(c)'!K10</f>
        <v>85.789723537667996</v>
      </c>
      <c r="F47" s="168">
        <f>E47+'(c)'!L10</f>
        <v>115.08797793571101</v>
      </c>
      <c r="G47" s="168">
        <f>F47+'(c)'!M10</f>
        <v>130.21926789590077</v>
      </c>
      <c r="H47" s="168">
        <f>G47+'(c)'!N10</f>
        <v>137.78884683563382</v>
      </c>
      <c r="I47" s="168">
        <f>H47+'(c)'!O10</f>
        <v>142.82194039586744</v>
      </c>
      <c r="J47" s="168">
        <f>I47+'(c)'!P10</f>
        <v>146.38381944109815</v>
      </c>
      <c r="K47" s="168">
        <f>J47+'(c)'!Q10</f>
        <v>148.70277714668276</v>
      </c>
      <c r="L47" s="168">
        <f>K47+'(c)'!R10</f>
        <v>150.72945872980395</v>
      </c>
      <c r="M47" s="168">
        <f>L47+'(c)'!S10</f>
        <v>152.07969981863423</v>
      </c>
      <c r="N47" s="168">
        <f>M47+'(c)'!T10</f>
        <v>152.80223907012365</v>
      </c>
      <c r="O47" s="168">
        <f>N47+'(c)'!U10</f>
        <v>153.26217782713761</v>
      </c>
      <c r="P47" s="168">
        <f>O47+'(c)'!V10</f>
        <v>153.74079691493648</v>
      </c>
      <c r="Q47" s="168">
        <f>P47+'(c)'!W10</f>
        <v>153.88406634050219</v>
      </c>
      <c r="R47" s="168">
        <f>Q47+'(c)'!X10</f>
        <v>153.92075441085856</v>
      </c>
      <c r="S47" s="168">
        <f>R47+'(c)'!Y10</f>
        <v>153.93730560849804</v>
      </c>
      <c r="T47" s="168">
        <f>S47+'(c)'!Z10</f>
        <v>153.94031294053477</v>
      </c>
      <c r="U47" s="168">
        <f>T47+'(c)'!AA10</f>
        <v>153.94053081782735</v>
      </c>
      <c r="V47" s="168">
        <f>U47+'(c)'!AB10</f>
        <v>153.94059595417977</v>
      </c>
      <c r="W47" s="168">
        <f>V47+'(c)'!AC10</f>
        <v>153.94059595417977</v>
      </c>
      <c r="X47" s="168">
        <f>W47+'(c)'!AD10</f>
        <v>153.94059595417977</v>
      </c>
      <c r="Y47" s="168">
        <f>X47+'(c)'!AE10</f>
        <v>153.94059595417977</v>
      </c>
      <c r="Z47" s="168">
        <f>Y47+'(c)'!AF10</f>
        <v>153.94059595417977</v>
      </c>
      <c r="AA47" s="168">
        <f>Z47+'(c)'!AG10</f>
        <v>153.94059595417977</v>
      </c>
      <c r="AB47" s="168">
        <f>AA47+'(c)'!AH10</f>
        <v>153.94059595417977</v>
      </c>
      <c r="AC47" s="168">
        <f>AB47+'(c)'!AI10</f>
        <v>153.94059595417977</v>
      </c>
      <c r="AD47" s="168"/>
      <c r="AE47" s="168"/>
      <c r="AF47" s="168"/>
      <c r="AG47" s="168"/>
      <c r="AH47" s="168"/>
      <c r="AI47" s="168"/>
    </row>
    <row r="48" spans="1:38" x14ac:dyDescent="0.25">
      <c r="C48" s="73" t="s">
        <v>119</v>
      </c>
      <c r="D48" s="185">
        <f>'(c)'!K11</f>
        <v>24.078762715502048</v>
      </c>
      <c r="E48" s="168">
        <f>D48+'(c)'!L11</f>
        <v>83.149858812633539</v>
      </c>
      <c r="F48" s="168">
        <f>E48+'(c)'!M11</f>
        <v>115.63329845165752</v>
      </c>
      <c r="G48" s="168">
        <f>F48+'(c)'!N11</f>
        <v>128.67204685394711</v>
      </c>
      <c r="H48" s="168">
        <f>G48+'(c)'!O11</f>
        <v>136.71963740980956</v>
      </c>
      <c r="I48" s="168">
        <f>H48+'(c)'!P11</f>
        <v>141.50995520599841</v>
      </c>
      <c r="J48" s="168">
        <f>I48+'(c)'!Q11</f>
        <v>144.81541043304568</v>
      </c>
      <c r="K48" s="168">
        <f>J48+'(c)'!R11</f>
        <v>147.58843504831032</v>
      </c>
      <c r="L48" s="168">
        <f>K48+'(c)'!S11</f>
        <v>149.25320300871886</v>
      </c>
      <c r="M48" s="168">
        <f>L48+'(c)'!T11</f>
        <v>150.78483374901566</v>
      </c>
      <c r="N48" s="168">
        <f>M48+'(c)'!U11</f>
        <v>152.12679943707906</v>
      </c>
      <c r="O48" s="168">
        <f>N48+'(c)'!V11</f>
        <v>152.95636674520594</v>
      </c>
      <c r="P48" s="168">
        <f>O48+'(c)'!W11</f>
        <v>153.43793491491488</v>
      </c>
      <c r="Q48" s="168">
        <f>P48+'(c)'!X11</f>
        <v>153.56287367053318</v>
      </c>
      <c r="R48" s="168">
        <f>Q48+'(c)'!Y11</f>
        <v>153.61330519761762</v>
      </c>
      <c r="S48" s="168">
        <f>R48+'(c)'!Z11</f>
        <v>153.63478308716518</v>
      </c>
      <c r="T48" s="168">
        <f>S48+'(c)'!AA11</f>
        <v>153.64092765474319</v>
      </c>
      <c r="U48" s="168">
        <f>T48+'(c)'!AB11</f>
        <v>153.64125844181234</v>
      </c>
      <c r="V48" s="168">
        <f>U48+'(c)'!AC11</f>
        <v>153.64127272144995</v>
      </c>
      <c r="W48" s="168">
        <f>V48+'(c)'!AD11</f>
        <v>153.64127272144995</v>
      </c>
      <c r="X48" s="168">
        <f>W48+'(c)'!AE11</f>
        <v>153.64127272144995</v>
      </c>
      <c r="Y48" s="168">
        <f>X48+'(c)'!AF11</f>
        <v>153.64127272144995</v>
      </c>
      <c r="Z48" s="168">
        <f>Y48+'(c)'!AG11</f>
        <v>153.64127272144995</v>
      </c>
      <c r="AA48" s="168">
        <f>Z48+'(c)'!AH11</f>
        <v>153.64127272144995</v>
      </c>
      <c r="AB48" s="168">
        <f>AA48+'(c)'!AI11</f>
        <v>153.64127272144995</v>
      </c>
      <c r="AC48" s="168"/>
      <c r="AD48" s="168"/>
      <c r="AE48" s="168"/>
      <c r="AF48" s="168"/>
      <c r="AG48" s="168"/>
      <c r="AH48" s="168"/>
      <c r="AI48" s="168"/>
    </row>
    <row r="49" spans="3:35" x14ac:dyDescent="0.25">
      <c r="C49" s="73" t="s">
        <v>118</v>
      </c>
      <c r="D49" s="185">
        <f>'(c)'!L12</f>
        <v>22.834338250069294</v>
      </c>
      <c r="E49" s="168">
        <f>D49+'(c)'!M12</f>
        <v>85.595033889256626</v>
      </c>
      <c r="F49" s="168">
        <f>E49+'(c)'!N12</f>
        <v>112.31946731600873</v>
      </c>
      <c r="G49" s="168">
        <f>F49+'(c)'!O12</f>
        <v>128.41414651992429</v>
      </c>
      <c r="H49" s="168">
        <f>G49+'(c)'!P12</f>
        <v>137.25093762826282</v>
      </c>
      <c r="I49" s="168">
        <f>H49+'(c)'!Q12</f>
        <v>142.27280381774966</v>
      </c>
      <c r="J49" s="168">
        <f>I49+'(c)'!R12</f>
        <v>146.48213838733238</v>
      </c>
      <c r="K49" s="168">
        <f>J49+'(c)'!S12</f>
        <v>148.94955066431552</v>
      </c>
      <c r="L49" s="168">
        <f>K49+'(c)'!T12</f>
        <v>150.86229449752349</v>
      </c>
      <c r="M49" s="168">
        <f>L49+'(c)'!U12</f>
        <v>152.9999667083849</v>
      </c>
      <c r="N49" s="168">
        <f>M49+'(c)'!V12</f>
        <v>154.87016204252876</v>
      </c>
      <c r="O49" s="168">
        <f>N49+'(c)'!W12</f>
        <v>155.68414944201544</v>
      </c>
      <c r="P49" s="168">
        <f>O49+'(c)'!X12</f>
        <v>156.11555858222317</v>
      </c>
      <c r="Q49" s="168">
        <f>P49+'(c)'!Y12</f>
        <v>156.3270752797572</v>
      </c>
      <c r="R49" s="168">
        <f>Q49+'(c)'!Z12</f>
        <v>156.37575995500967</v>
      </c>
      <c r="S49" s="168">
        <f>R49+'(c)'!AA12</f>
        <v>156.40467199851071</v>
      </c>
      <c r="T49" s="168">
        <f>S49+'(c)'!AB12</f>
        <v>156.40682591415174</v>
      </c>
      <c r="U49" s="168">
        <f>T49+'(c)'!AC12</f>
        <v>156.40721792810518</v>
      </c>
      <c r="V49" s="168">
        <f>U49+'(c)'!AD12</f>
        <v>156.40721792810518</v>
      </c>
      <c r="W49" s="168">
        <f>V49+'(c)'!AE12</f>
        <v>156.40721792810518</v>
      </c>
      <c r="X49" s="168">
        <f>W49+'(c)'!AF12</f>
        <v>156.40721792810518</v>
      </c>
      <c r="Y49" s="168">
        <f>X49+'(c)'!AG12</f>
        <v>156.40721792810518</v>
      </c>
      <c r="Z49" s="168">
        <f>Y49+'(c)'!AH12</f>
        <v>156.40721792810518</v>
      </c>
      <c r="AA49" s="168">
        <f>Z49+'(c)'!AI12</f>
        <v>156.40721792810518</v>
      </c>
      <c r="AB49" s="168"/>
      <c r="AC49" s="168"/>
      <c r="AD49" s="168"/>
      <c r="AE49" s="168"/>
      <c r="AF49" s="168"/>
      <c r="AG49" s="168"/>
      <c r="AH49" s="168"/>
      <c r="AI49" s="168"/>
    </row>
    <row r="50" spans="3:35" x14ac:dyDescent="0.25">
      <c r="C50" s="73" t="s">
        <v>117</v>
      </c>
      <c r="D50" s="185">
        <f>'(c)'!M13</f>
        <v>24.306018698941269</v>
      </c>
      <c r="E50" s="168">
        <f>D50+'(c)'!N13</f>
        <v>83.600724543623016</v>
      </c>
      <c r="F50" s="168">
        <f>E50+'(c)'!O13</f>
        <v>116.64654001119938</v>
      </c>
      <c r="G50" s="168">
        <f>F50+'(c)'!P13</f>
        <v>134.82798403764156</v>
      </c>
      <c r="H50" s="168">
        <f>G50+'(c)'!Q13</f>
        <v>144.57494356448763</v>
      </c>
      <c r="I50" s="168">
        <f>H50+'(c)'!R13</f>
        <v>151.57302615503605</v>
      </c>
      <c r="J50" s="168">
        <f>I50+'(c)'!S13</f>
        <v>155.27686130455754</v>
      </c>
      <c r="K50" s="168">
        <f>J50+'(c)'!T13</f>
        <v>157.78142381446634</v>
      </c>
      <c r="L50" s="168">
        <f>K50+'(c)'!U13</f>
        <v>160.25605835752444</v>
      </c>
      <c r="M50" s="168">
        <f>L50+'(c)'!V13</f>
        <v>162.03130069166923</v>
      </c>
      <c r="N50" s="168">
        <f>M50+'(c)'!W13</f>
        <v>163.28441373425105</v>
      </c>
      <c r="O50" s="168">
        <f>N50+'(c)'!X13</f>
        <v>164.03865450043176</v>
      </c>
      <c r="P50" s="168">
        <f>O50+'(c)'!Y13</f>
        <v>164.45499274331755</v>
      </c>
      <c r="Q50" s="168">
        <f>P50+'(c)'!Z13</f>
        <v>164.64396084957986</v>
      </c>
      <c r="R50" s="168">
        <f>Q50+'(c)'!AA13</f>
        <v>164.71477163513168</v>
      </c>
      <c r="S50" s="168">
        <f>R50+'(c)'!AB13</f>
        <v>164.73250586587258</v>
      </c>
      <c r="T50" s="168">
        <f>S50+'(c)'!AC13</f>
        <v>164.73713282553479</v>
      </c>
      <c r="U50" s="168">
        <f>T50+'(c)'!AD13</f>
        <v>164.73740994359443</v>
      </c>
      <c r="V50" s="168">
        <f>U50+'(c)'!AE13</f>
        <v>164.73746605759996</v>
      </c>
      <c r="W50" s="168">
        <f>V50+'(c)'!AF13</f>
        <v>164.73746605759996</v>
      </c>
      <c r="X50" s="168">
        <f>W50+'(c)'!AG13</f>
        <v>164.73746605759996</v>
      </c>
      <c r="Y50" s="168">
        <f>X50+'(c)'!AH13</f>
        <v>164.73746605759996</v>
      </c>
      <c r="Z50" s="168">
        <f>Y50+'(c)'!AI13</f>
        <v>164.73746605759996</v>
      </c>
      <c r="AA50" s="168"/>
      <c r="AB50" s="168"/>
      <c r="AC50" s="168"/>
      <c r="AD50" s="168"/>
      <c r="AE50" s="168"/>
      <c r="AF50" s="168"/>
      <c r="AG50" s="168"/>
      <c r="AH50" s="168"/>
      <c r="AI50" s="168"/>
    </row>
    <row r="51" spans="3:35" x14ac:dyDescent="0.25">
      <c r="C51" s="73" t="s">
        <v>116</v>
      </c>
      <c r="D51" s="185">
        <f>'(c)'!N14</f>
        <v>19.665808735001196</v>
      </c>
      <c r="E51" s="168">
        <f>D51+'(c)'!O14</f>
        <v>82.00567977746698</v>
      </c>
      <c r="F51" s="168">
        <f>E51+'(c)'!P14</f>
        <v>115.39591280218578</v>
      </c>
      <c r="G51" s="168">
        <f>F51+'(c)'!Q14</f>
        <v>131.68272031280563</v>
      </c>
      <c r="H51" s="168">
        <f>G51+'(c)'!R14</f>
        <v>141.9298015806601</v>
      </c>
      <c r="I51" s="168">
        <f>H51+'(c)'!S14</f>
        <v>148.65854047048461</v>
      </c>
      <c r="J51" s="168">
        <f>I51+'(c)'!T14</f>
        <v>153.07440391822951</v>
      </c>
      <c r="K51" s="168">
        <f>J51+'(c)'!U14</f>
        <v>157.05695233647106</v>
      </c>
      <c r="L51" s="168">
        <f>K51+'(c)'!V14</f>
        <v>159.61069992667308</v>
      </c>
      <c r="M51" s="168">
        <f>L51+'(c)'!W14</f>
        <v>161.63112301031489</v>
      </c>
      <c r="N51" s="168">
        <f>M51+'(c)'!X14</f>
        <v>163.29479223958748</v>
      </c>
      <c r="O51" s="168">
        <f>N51+'(c)'!Y14</f>
        <v>164.19391362175242</v>
      </c>
      <c r="P51" s="168">
        <f>O51+'(c)'!Z14</f>
        <v>164.7219220407471</v>
      </c>
      <c r="Q51" s="168">
        <f>P51+'(c)'!AA14</f>
        <v>164.93910749607994</v>
      </c>
      <c r="R51" s="168">
        <f>Q51+'(c)'!AB14</f>
        <v>164.99691876143439</v>
      </c>
      <c r="S51" s="168">
        <f>R51+'(c)'!AC14</f>
        <v>165.02532629423013</v>
      </c>
      <c r="T51" s="168">
        <f>S51+'(c)'!AD14</f>
        <v>165.02871117780145</v>
      </c>
      <c r="U51" s="168">
        <f>T51+'(c)'!AE14</f>
        <v>165.02896469953225</v>
      </c>
      <c r="V51" s="168">
        <f>U51+'(c)'!AF14</f>
        <v>165.02896469953225</v>
      </c>
      <c r="W51" s="168">
        <f>V51+'(c)'!AG14</f>
        <v>165.02896469953225</v>
      </c>
      <c r="X51" s="168">
        <f>W51+'(c)'!AH14</f>
        <v>165.02896469953225</v>
      </c>
      <c r="Y51" s="168">
        <f>X51+'(c)'!AI14</f>
        <v>165.02896469953225</v>
      </c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</row>
    <row r="52" spans="3:35" x14ac:dyDescent="0.25">
      <c r="C52" s="73" t="s">
        <v>115</v>
      </c>
      <c r="D52" s="185">
        <f>'(c)'!O15</f>
        <v>26.102182921029211</v>
      </c>
      <c r="E52" s="168">
        <f>D52+'(c)'!P15</f>
        <v>97.877716806950005</v>
      </c>
      <c r="F52" s="168">
        <f>E52+'(c)'!Q15</f>
        <v>129.91714057703567</v>
      </c>
      <c r="G52" s="168">
        <f>F52+'(c)'!R15</f>
        <v>150.49371933879956</v>
      </c>
      <c r="H52" s="168">
        <f>G52+'(c)'!S15</f>
        <v>161.36857379015106</v>
      </c>
      <c r="I52" s="168">
        <f>H52+'(c)'!T15</f>
        <v>168.78993377635905</v>
      </c>
      <c r="J52" s="168">
        <f>I52+'(c)'!U15</f>
        <v>174.61774192923903</v>
      </c>
      <c r="K52" s="168">
        <f>J52+'(c)'!V15</f>
        <v>178.11189599115974</v>
      </c>
      <c r="L52" s="168">
        <f>K52+'(c)'!W15</f>
        <v>181.56648442564585</v>
      </c>
      <c r="M52" s="168">
        <f>L52+'(c)'!X15</f>
        <v>183.46240998696669</v>
      </c>
      <c r="N52" s="168">
        <f>M52+'(c)'!Y15</f>
        <v>185.28384043749361</v>
      </c>
      <c r="O52" s="168">
        <f>N52+'(c)'!Z15</f>
        <v>186.77383798360347</v>
      </c>
      <c r="P52" s="168">
        <f>O52+'(c)'!AA15</f>
        <v>187.50431631690455</v>
      </c>
      <c r="Q52" s="168">
        <f>P52+'(c)'!AB15</f>
        <v>187.67244687903374</v>
      </c>
      <c r="R52" s="168">
        <f>Q52+'(c)'!AC15</f>
        <v>187.74874544212147</v>
      </c>
      <c r="S52" s="168">
        <f>R52+'(c)'!AD15</f>
        <v>187.78308315077408</v>
      </c>
      <c r="T52" s="168">
        <f>S52+'(c)'!AE15</f>
        <v>187.78681275771737</v>
      </c>
      <c r="U52" s="168">
        <f>T52+'(c)'!AF15</f>
        <v>187.78730485425518</v>
      </c>
      <c r="V52" s="168">
        <f>U52+'(c)'!AG15</f>
        <v>187.78730485425518</v>
      </c>
      <c r="W52" s="168">
        <f>V52+'(c)'!AH15</f>
        <v>187.78730485425518</v>
      </c>
      <c r="X52" s="168">
        <f>W52+'(c)'!AI15</f>
        <v>187.78730485425518</v>
      </c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</row>
    <row r="53" spans="3:35" x14ac:dyDescent="0.25">
      <c r="C53" s="73" t="s">
        <v>114</v>
      </c>
      <c r="D53" s="185">
        <f>'(c)'!P16</f>
        <v>19.879029586962474</v>
      </c>
      <c r="E53" s="168">
        <f>D53+'(c)'!Q16</f>
        <v>70.311283627558169</v>
      </c>
      <c r="F53" s="168">
        <f>E53+'(c)'!R16</f>
        <v>104.79768619961419</v>
      </c>
      <c r="G53" s="168">
        <f>F53+'(c)'!S16</f>
        <v>120.04414424915035</v>
      </c>
      <c r="H53" s="168">
        <f>G53+'(c)'!T16</f>
        <v>127.69560478129668</v>
      </c>
      <c r="I53" s="168">
        <f>H53+'(c)'!U16</f>
        <v>133.70795512765545</v>
      </c>
      <c r="J53" s="168">
        <f>I53+'(c)'!V16</f>
        <v>137.25625847027055</v>
      </c>
      <c r="K53" s="168">
        <f>J53+'(c)'!W16</f>
        <v>141.71739667386717</v>
      </c>
      <c r="L53" s="168">
        <f>K53+'(c)'!X16</f>
        <v>144.19240418844834</v>
      </c>
      <c r="M53" s="168">
        <f>L53+'(c)'!Y16</f>
        <v>146.56419227109794</v>
      </c>
      <c r="N53" s="168">
        <f>M53+'(c)'!Z16</f>
        <v>148.31692624106117</v>
      </c>
      <c r="O53" s="168">
        <f>N53+'(c)'!AA16</f>
        <v>149.43816861415922</v>
      </c>
      <c r="P53" s="168">
        <f>O53+'(c)'!AB16</f>
        <v>149.90777493688211</v>
      </c>
      <c r="Q53" s="168">
        <f>P53+'(c)'!AC16</f>
        <v>150.13290870515573</v>
      </c>
      <c r="R53" s="168">
        <f>Q53+'(c)'!AD16</f>
        <v>150.17142543671599</v>
      </c>
      <c r="S53" s="168">
        <f>R53+'(c)'!AE16</f>
        <v>150.19483628893161</v>
      </c>
      <c r="T53" s="168">
        <f>S53+'(c)'!AF16</f>
        <v>150.19795058347751</v>
      </c>
      <c r="U53" s="168">
        <f>T53+'(c)'!AG16</f>
        <v>150.19834003492591</v>
      </c>
      <c r="V53" s="168">
        <f>U53+'(c)'!AH16</f>
        <v>150.19842337052705</v>
      </c>
      <c r="W53" s="168">
        <f>V53+'(c)'!AI16</f>
        <v>150.19842337052705</v>
      </c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</row>
    <row r="54" spans="3:35" x14ac:dyDescent="0.25">
      <c r="C54" s="73" t="s">
        <v>113</v>
      </c>
      <c r="D54" s="185">
        <f>'(c)'!Q17</f>
        <v>18.350484532378555</v>
      </c>
      <c r="E54" s="168">
        <f>D54+'(c)'!R17</f>
        <v>74.752375194093773</v>
      </c>
      <c r="F54" s="168">
        <f>E54+'(c)'!S17</f>
        <v>100.1098143823482</v>
      </c>
      <c r="G54" s="168">
        <f>F54+'(c)'!T17</f>
        <v>112.75934255381972</v>
      </c>
      <c r="H54" s="168">
        <f>G54+'(c)'!U17</f>
        <v>120.54945585605675</v>
      </c>
      <c r="I54" s="168">
        <f>H54+'(c)'!V17</f>
        <v>125.73920127575356</v>
      </c>
      <c r="J54" s="168">
        <f>I54+'(c)'!W17</f>
        <v>130.55967844444169</v>
      </c>
      <c r="K54" s="168">
        <f>J54+'(c)'!X17</f>
        <v>133.40889743383261</v>
      </c>
      <c r="L54" s="168">
        <f>K54+'(c)'!Y17</f>
        <v>135.93291129295358</v>
      </c>
      <c r="M54" s="168">
        <f>L54+'(c)'!Z17</f>
        <v>137.82646946533362</v>
      </c>
      <c r="N54" s="168">
        <f>M54+'(c)'!AA17</f>
        <v>139.1502602482542</v>
      </c>
      <c r="O54" s="168">
        <f>N54+'(c)'!AB17</f>
        <v>140.05450620170888</v>
      </c>
      <c r="P54" s="168">
        <f>O54+'(c)'!AC17</f>
        <v>140.61655442265365</v>
      </c>
      <c r="Q54" s="168">
        <f>P54+'(c)'!AD17</f>
        <v>140.82944623138044</v>
      </c>
      <c r="R54" s="168">
        <f>Q54+'(c)'!AE17</f>
        <v>140.87000796765244</v>
      </c>
      <c r="S54" s="168">
        <f>R54+'(c)'!AF17</f>
        <v>140.88090890085115</v>
      </c>
      <c r="T54" s="168">
        <f>S54+'(c)'!AG17</f>
        <v>140.88311577022191</v>
      </c>
      <c r="U54" s="168">
        <f>T54+'(c)'!AH17</f>
        <v>140.88329419195048</v>
      </c>
      <c r="V54" s="168">
        <f>U54+'(c)'!AI17</f>
        <v>140.88329419195048</v>
      </c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</row>
    <row r="55" spans="3:35" x14ac:dyDescent="0.25">
      <c r="C55" s="73" t="s">
        <v>112</v>
      </c>
      <c r="D55" s="185">
        <f>'(c)'!R18</f>
        <v>28.447854625546103</v>
      </c>
      <c r="E55" s="168">
        <f>D55+'(c)'!S18</f>
        <v>95.025071713071171</v>
      </c>
      <c r="F55" s="168">
        <f>E55+'(c)'!T18</f>
        <v>123.7791503070388</v>
      </c>
      <c r="G55" s="168">
        <f>F55+'(c)'!U18</f>
        <v>139.18195642909197</v>
      </c>
      <c r="H55" s="168">
        <f>G55+'(c)'!V18</f>
        <v>147.18747699859682</v>
      </c>
      <c r="I55" s="168">
        <f>H55+'(c)'!W18</f>
        <v>154.89832157898576</v>
      </c>
      <c r="J55" s="168">
        <f>I55+'(c)'!X18</f>
        <v>159.84549572555858</v>
      </c>
      <c r="K55" s="168">
        <f>J55+'(c)'!Y18</f>
        <v>163.32255699987951</v>
      </c>
      <c r="L55" s="168">
        <f>K55+'(c)'!Z18</f>
        <v>166.45869962745721</v>
      </c>
      <c r="M55" s="168">
        <f>L55+'(c)'!AA18</f>
        <v>169.03869438041161</v>
      </c>
      <c r="N55" s="168">
        <f>M55+'(c)'!AB18</f>
        <v>170.64056816788894</v>
      </c>
      <c r="O55" s="168">
        <f>N55+'(c)'!AC18</f>
        <v>171.80346335007184</v>
      </c>
      <c r="P55" s="168">
        <f>O55+'(c)'!AD18</f>
        <v>172.58929715707882</v>
      </c>
      <c r="Q55" s="168">
        <f>P55+'(c)'!AE18</f>
        <v>172.73056829719019</v>
      </c>
      <c r="R55" s="168">
        <f>Q55+'(c)'!AF18</f>
        <v>172.78985746345043</v>
      </c>
      <c r="S55" s="168">
        <f>R55+'(c)'!AG18</f>
        <v>172.81179389997979</v>
      </c>
      <c r="T55" s="168">
        <f>S55+'(c)'!AH18</f>
        <v>172.81455325634909</v>
      </c>
      <c r="U55" s="168">
        <f>T55+'(c)'!AI18</f>
        <v>172.81470629474794</v>
      </c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</row>
    <row r="56" spans="3:35" x14ac:dyDescent="0.25">
      <c r="C56" s="73" t="s">
        <v>111</v>
      </c>
      <c r="D56" s="185">
        <f>'(c)'!S19</f>
        <v>27.131470335876315</v>
      </c>
      <c r="E56" s="168">
        <f>D56+'(c)'!T19</f>
        <v>92.55783751116553</v>
      </c>
      <c r="F56" s="168">
        <f>E56+'(c)'!U19</f>
        <v>121.13407088135257</v>
      </c>
      <c r="G56" s="168">
        <f>F56+'(c)'!V19</f>
        <v>134.9697409363327</v>
      </c>
      <c r="H56" s="168">
        <f>G56+'(c)'!W19</f>
        <v>144.25816890443494</v>
      </c>
      <c r="I56" s="168">
        <f>H56+'(c)'!X19</f>
        <v>150.98465007757923</v>
      </c>
      <c r="J56" s="168">
        <f>I56+'(c)'!Y19</f>
        <v>155.44205592128691</v>
      </c>
      <c r="K56" s="168">
        <f>J56+'(c)'!Z19</f>
        <v>159.42996244444427</v>
      </c>
      <c r="L56" s="168">
        <f>K56+'(c)'!AA19</f>
        <v>162.83531516132365</v>
      </c>
      <c r="M56" s="168">
        <f>L56+'(c)'!AB19</f>
        <v>164.8457985689989</v>
      </c>
      <c r="N56" s="168">
        <f>M56+'(c)'!AC19</f>
        <v>166.41909536200151</v>
      </c>
      <c r="O56" s="168">
        <f>N56+'(c)'!AD19</f>
        <v>167.7776084458433</v>
      </c>
      <c r="P56" s="168">
        <f>O56+'(c)'!AE19</f>
        <v>168.36488145305631</v>
      </c>
      <c r="Q56" s="168">
        <f>P56+'(c)'!AF19</f>
        <v>168.4498238351523</v>
      </c>
      <c r="R56" s="168">
        <f>Q56+'(c)'!AG19</f>
        <v>168.48151552374861</v>
      </c>
      <c r="S56" s="168">
        <f>R56+'(c)'!AH19</f>
        <v>168.49500389903378</v>
      </c>
      <c r="T56" s="168">
        <f>S56+'(c)'!AI19</f>
        <v>168.49715644798667</v>
      </c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</row>
    <row r="57" spans="3:35" x14ac:dyDescent="0.25">
      <c r="C57" s="73" t="s">
        <v>110</v>
      </c>
      <c r="D57" s="185">
        <f>'(c)'!T20</f>
        <v>23.48572232265921</v>
      </c>
      <c r="E57" s="168">
        <f>D57+'(c)'!U20</f>
        <v>88.449273738925001</v>
      </c>
      <c r="F57" s="168">
        <f>E57+'(c)'!V20</f>
        <v>114.20612472136555</v>
      </c>
      <c r="G57" s="168">
        <f>F57+'(c)'!W20</f>
        <v>126.24067252033588</v>
      </c>
      <c r="H57" s="168">
        <f>G57+'(c)'!X20</f>
        <v>135.89032269726485</v>
      </c>
      <c r="I57" s="168">
        <f>H57+'(c)'!Y20</f>
        <v>141.59298961728294</v>
      </c>
      <c r="J57" s="168">
        <f>I57+'(c)'!Z20</f>
        <v>146.45796921884349</v>
      </c>
      <c r="K57" s="168">
        <f>J57+'(c)'!AA20</f>
        <v>150.14527572298991</v>
      </c>
      <c r="L57" s="168">
        <f>K57+'(c)'!AB20</f>
        <v>152.48493266898956</v>
      </c>
      <c r="M57" s="168">
        <f>L57+'(c)'!AC20</f>
        <v>154.67692587489651</v>
      </c>
      <c r="N57" s="168">
        <f>M57+'(c)'!AD20</f>
        <v>156.40902207389519</v>
      </c>
      <c r="O57" s="168">
        <f>N57+'(c)'!AE20</f>
        <v>157.57039685990185</v>
      </c>
      <c r="P57" s="168">
        <f>O57+'(c)'!AF20</f>
        <v>157.95687125316167</v>
      </c>
      <c r="Q57" s="168">
        <f>P57+'(c)'!AG20</f>
        <v>158.11943792994154</v>
      </c>
      <c r="R57" s="168">
        <f>Q57+'(c)'!AH20</f>
        <v>158.15452593568</v>
      </c>
      <c r="S57" s="168">
        <f>R57+'(c)'!AI20</f>
        <v>158.160061403838</v>
      </c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</row>
    <row r="58" spans="3:35" x14ac:dyDescent="0.25">
      <c r="C58" s="73" t="s">
        <v>109</v>
      </c>
      <c r="D58" s="185">
        <f>'(c)'!U21</f>
        <v>25.826524646810512</v>
      </c>
      <c r="E58" s="168">
        <f>D58+'(c)'!V21</f>
        <v>88.907198834245975</v>
      </c>
      <c r="F58" s="168">
        <f>E58+'(c)'!W21</f>
        <v>115.29217118810197</v>
      </c>
      <c r="G58" s="168">
        <f>F58+'(c)'!X21</f>
        <v>128.83503344877607</v>
      </c>
      <c r="H58" s="168">
        <f>G58+'(c)'!Y21</f>
        <v>138.66664085366648</v>
      </c>
      <c r="I58" s="168">
        <f>H58+'(c)'!Z21</f>
        <v>145.87654756197966</v>
      </c>
      <c r="J58" s="168">
        <f>I58+'(c)'!AA21</f>
        <v>151.65499472535512</v>
      </c>
      <c r="K58" s="168">
        <f>J58+'(c)'!AB21</f>
        <v>154.90080465256085</v>
      </c>
      <c r="L58" s="168">
        <f>K58+'(c)'!AC21</f>
        <v>157.78674889763056</v>
      </c>
      <c r="M58" s="168">
        <f>L58+'(c)'!AD21</f>
        <v>159.80027067971821</v>
      </c>
      <c r="N58" s="168">
        <f>M58+'(c)'!AE21</f>
        <v>161.44740869087912</v>
      </c>
      <c r="O58" s="168">
        <f>N58+'(c)'!AF21</f>
        <v>162.19214789393203</v>
      </c>
      <c r="P58" s="168">
        <f>O58+'(c)'!AG21</f>
        <v>162.65109280552031</v>
      </c>
      <c r="Q58" s="168">
        <f>P58+'(c)'!AH21</f>
        <v>162.80259659944846</v>
      </c>
      <c r="R58" s="168">
        <f>Q58+'(c)'!AI21</f>
        <v>162.82561383744786</v>
      </c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</row>
    <row r="59" spans="3:35" x14ac:dyDescent="0.25">
      <c r="C59" s="73" t="s">
        <v>108</v>
      </c>
      <c r="D59" s="185">
        <f>'(c)'!V22</f>
        <v>23.068602809271237</v>
      </c>
      <c r="E59" s="168">
        <f>D59+'(c)'!W22</f>
        <v>86.687158666144626</v>
      </c>
      <c r="F59" s="168">
        <f>E59+'(c)'!X22</f>
        <v>110.90724413672353</v>
      </c>
      <c r="G59" s="168">
        <f>F59+'(c)'!Y22</f>
        <v>125.34042591220226</v>
      </c>
      <c r="H59" s="168">
        <f>G59+'(c)'!Z22</f>
        <v>135.05860251273529</v>
      </c>
      <c r="I59" s="168">
        <f>H59+'(c)'!AA22</f>
        <v>143.31744685183804</v>
      </c>
      <c r="J59" s="168">
        <f>I59+'(c)'!AB22</f>
        <v>148.00415255278077</v>
      </c>
      <c r="K59" s="168">
        <f>J59+'(c)'!AC22</f>
        <v>151.76889884923062</v>
      </c>
      <c r="L59" s="168">
        <f>K59+'(c)'!AD22</f>
        <v>154.79518336155235</v>
      </c>
      <c r="M59" s="168">
        <f>L59+'(c)'!AE22</f>
        <v>156.71058501291637</v>
      </c>
      <c r="N59" s="168">
        <f>M59+'(c)'!AF22</f>
        <v>157.8260269695497</v>
      </c>
      <c r="O59" s="168">
        <f>N59+'(c)'!AG22</f>
        <v>158.80015804578096</v>
      </c>
      <c r="P59" s="168">
        <f>O59+'(c)'!AH22</f>
        <v>159.31598432873187</v>
      </c>
      <c r="Q59" s="168">
        <f>P59+'(c)'!AI22</f>
        <v>159.38857083062604</v>
      </c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</row>
    <row r="60" spans="3:35" x14ac:dyDescent="0.25">
      <c r="C60" s="73" t="s">
        <v>107</v>
      </c>
      <c r="D60" s="185">
        <f>'(c)'!W23</f>
        <v>27.714409981331613</v>
      </c>
      <c r="E60" s="168">
        <f>D60+'(c)'!X23</f>
        <v>93.11790274953789</v>
      </c>
      <c r="F60" s="168">
        <f>E60+'(c)'!Y23</f>
        <v>122.26795727997231</v>
      </c>
      <c r="G60" s="168">
        <f>F60+'(c)'!Z23</f>
        <v>138.59484110541908</v>
      </c>
      <c r="H60" s="168">
        <f>G60+'(c)'!AA23</f>
        <v>150.76939092188218</v>
      </c>
      <c r="I60" s="168">
        <f>H60+'(c)'!AB23</f>
        <v>157.34787674178349</v>
      </c>
      <c r="J60" s="168">
        <f>I60+'(c)'!AC23</f>
        <v>162.61843558195773</v>
      </c>
      <c r="K60" s="168">
        <f>J60+'(c)'!AD23</f>
        <v>166.65291615237973</v>
      </c>
      <c r="L60" s="168">
        <f>K60+'(c)'!AE23</f>
        <v>169.44459820047194</v>
      </c>
      <c r="M60" s="168">
        <f>L60+'(c)'!AF23</f>
        <v>171.47364426416567</v>
      </c>
      <c r="N60" s="168">
        <f>M60+'(c)'!AG23</f>
        <v>172.76635046634092</v>
      </c>
      <c r="O60" s="168">
        <f>N60+'(c)'!AH23</f>
        <v>173.49727150057313</v>
      </c>
      <c r="P60" s="168">
        <f>O60+'(c)'!AI23</f>
        <v>173.7390758240858</v>
      </c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</row>
    <row r="61" spans="3:35" x14ac:dyDescent="0.25">
      <c r="C61" s="73" t="s">
        <v>106</v>
      </c>
      <c r="D61" s="185">
        <f>'(c)'!X24</f>
        <v>25.551107210716072</v>
      </c>
      <c r="E61" s="168">
        <f>D61+'(c)'!Y24</f>
        <v>89.315920908444951</v>
      </c>
      <c r="F61" s="168">
        <f>E61+'(c)'!Z24</f>
        <v>118.08506762020053</v>
      </c>
      <c r="G61" s="168">
        <f>F61+'(c)'!AA24</f>
        <v>134.99793923524302</v>
      </c>
      <c r="H61" s="168">
        <f>G61+'(c)'!AB24</f>
        <v>145.46669344982763</v>
      </c>
      <c r="I61" s="168">
        <f>H61+'(c)'!AC24</f>
        <v>153.39800656859393</v>
      </c>
      <c r="J61" s="168">
        <f>I61+'(c)'!AD24</f>
        <v>159.09122861391091</v>
      </c>
      <c r="K61" s="168">
        <f>J61+'(c)'!AE24</f>
        <v>162.07867813363512</v>
      </c>
      <c r="L61" s="168">
        <f>K61+'(c)'!AF24</f>
        <v>164.05371455564622</v>
      </c>
      <c r="M61" s="168">
        <f>L61+'(c)'!AG24</f>
        <v>165.37426638069425</v>
      </c>
      <c r="N61" s="168">
        <f>M61+'(c)'!AH24</f>
        <v>166.37197542830077</v>
      </c>
      <c r="O61" s="168">
        <f>N61+'(c)'!AI24</f>
        <v>166.95529826311221</v>
      </c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</row>
    <row r="62" spans="3:35" x14ac:dyDescent="0.25">
      <c r="C62" s="73" t="s">
        <v>105</v>
      </c>
      <c r="D62" s="185">
        <f>'(c)'!Y25</f>
        <v>25.60682907718483</v>
      </c>
      <c r="E62" s="168">
        <f>D62+'(c)'!Z25</f>
        <v>86.515939673835746</v>
      </c>
      <c r="F62" s="168">
        <f>E62+'(c)'!AA25</f>
        <v>117.95044591846947</v>
      </c>
      <c r="G62" s="168">
        <f>F62+'(c)'!AB25</f>
        <v>133.75411517938508</v>
      </c>
      <c r="H62" s="168">
        <f>G62+'(c)'!AC25</f>
        <v>146.6294209162308</v>
      </c>
      <c r="I62" s="168">
        <f>H62+'(c)'!AD25</f>
        <v>155.05739778659211</v>
      </c>
      <c r="J62" s="168">
        <f>I62+'(c)'!AE25</f>
        <v>159.5880444656901</v>
      </c>
      <c r="K62" s="168">
        <f>J62+'(c)'!AF25</f>
        <v>162.33228387140957</v>
      </c>
      <c r="L62" s="168">
        <f>K62+'(c)'!AG25</f>
        <v>163.71274755192454</v>
      </c>
      <c r="M62" s="168">
        <f>L62+'(c)'!AH25</f>
        <v>164.77492234372619</v>
      </c>
      <c r="N62" s="168">
        <f>M62+'(c)'!AI25</f>
        <v>165.61410446526872</v>
      </c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</row>
    <row r="63" spans="3:35" x14ac:dyDescent="0.25">
      <c r="C63" s="73" t="s">
        <v>104</v>
      </c>
      <c r="D63" s="185">
        <f>'(c)'!Z26</f>
        <v>24.634822348359993</v>
      </c>
      <c r="E63" s="168">
        <f>D63+'(c)'!AA26</f>
        <v>88.801354891984104</v>
      </c>
      <c r="F63" s="168">
        <f>E63+'(c)'!AB26</f>
        <v>117.72718047300873</v>
      </c>
      <c r="G63" s="168">
        <f>F63+'(c)'!AC26</f>
        <v>135.80414137302219</v>
      </c>
      <c r="H63" s="168">
        <f>G63+'(c)'!AD26</f>
        <v>150.20653260422503</v>
      </c>
      <c r="I63" s="168">
        <f>H63+'(c)'!AE26</f>
        <v>157.03663254043596</v>
      </c>
      <c r="J63" s="168">
        <f>I63+'(c)'!AF26</f>
        <v>161.26034514867121</v>
      </c>
      <c r="K63" s="168">
        <f>J63+'(c)'!AG26</f>
        <v>163.47910935333269</v>
      </c>
      <c r="L63" s="168">
        <f>K63+'(c)'!AH26</f>
        <v>164.95599463918862</v>
      </c>
      <c r="M63" s="168">
        <f>L63+'(c)'!AI26</f>
        <v>166.02233971777355</v>
      </c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</row>
    <row r="64" spans="3:35" x14ac:dyDescent="0.25">
      <c r="C64" s="73" t="s">
        <v>103</v>
      </c>
      <c r="D64" s="185">
        <f>'(c)'!AA27</f>
        <v>27.865570383279294</v>
      </c>
      <c r="E64" s="168">
        <f>D64+'(c)'!AB27</f>
        <v>94.404538638375072</v>
      </c>
      <c r="F64" s="168">
        <f>E64+'(c)'!AC27</f>
        <v>131.12931742483795</v>
      </c>
      <c r="G64" s="168">
        <f>F64+'(c)'!AD27</f>
        <v>154.13071735822368</v>
      </c>
      <c r="H64" s="168">
        <f>G64+'(c)'!AE27</f>
        <v>167.48251541704417</v>
      </c>
      <c r="I64" s="168">
        <f>H64+'(c)'!AF27</f>
        <v>174.3092729469285</v>
      </c>
      <c r="J64" s="168">
        <f>I64+'(c)'!AG27</f>
        <v>178.07608557301415</v>
      </c>
      <c r="K64" s="168">
        <f>J64+'(c)'!AH27</f>
        <v>180.64084516709863</v>
      </c>
      <c r="L64" s="168">
        <f>K64+'(c)'!AI27</f>
        <v>182.89674732201203</v>
      </c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</row>
    <row r="65" spans="1:35" x14ac:dyDescent="0.25">
      <c r="C65" s="73" t="s">
        <v>98</v>
      </c>
      <c r="D65" s="185">
        <f>'(c)'!AB28</f>
        <v>24.857269420455886</v>
      </c>
      <c r="E65" s="168">
        <f>D65+'(c)'!AC28</f>
        <v>89.479250634736729</v>
      </c>
      <c r="F65" s="168">
        <f>E65+'(c)'!AD28</f>
        <v>124.76851908104616</v>
      </c>
      <c r="G65" s="168">
        <f>F65+'(c)'!AE28</f>
        <v>143.72658107321621</v>
      </c>
      <c r="H65" s="168">
        <f>G65+'(c)'!AF28</f>
        <v>153.55035086580577</v>
      </c>
      <c r="I65" s="168">
        <f>H65+'(c)'!AG28</f>
        <v>159.95130610266779</v>
      </c>
      <c r="J65" s="168">
        <f>I65+'(c)'!AH28</f>
        <v>163.94733302935205</v>
      </c>
      <c r="K65" s="168">
        <f>J65+'(c)'!AI28</f>
        <v>166.43837941192061</v>
      </c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</row>
    <row r="66" spans="1:35" x14ac:dyDescent="0.25">
      <c r="C66" s="73" t="s">
        <v>97</v>
      </c>
      <c r="D66" s="185">
        <f>'(c)'!AC29</f>
        <v>21.20621430324795</v>
      </c>
      <c r="E66" s="168">
        <f>D66+'(c)'!AD29</f>
        <v>79.664990673445828</v>
      </c>
      <c r="F66" s="168">
        <f>E66+'(c)'!AE29</f>
        <v>107.86084198563246</v>
      </c>
      <c r="G66" s="168">
        <f>F66+'(c)'!AF29</f>
        <v>121.87789000985953</v>
      </c>
      <c r="H66" s="168">
        <f>G66+'(c)'!AG29</f>
        <v>130.61898849539639</v>
      </c>
      <c r="I66" s="168">
        <f>H66+'(c)'!AH29</f>
        <v>134.94948027346319</v>
      </c>
      <c r="J66" s="168">
        <f>I66+'(c)'!AI29</f>
        <v>138.68958927086879</v>
      </c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</row>
    <row r="67" spans="1:35" x14ac:dyDescent="0.25">
      <c r="C67" s="73" t="s">
        <v>96</v>
      </c>
      <c r="D67" s="185">
        <f>'(c)'!AD30</f>
        <v>28.548702979518858</v>
      </c>
      <c r="E67" s="168">
        <f>D67+'(c)'!AE30</f>
        <v>92.101020875509647</v>
      </c>
      <c r="F67" s="168">
        <f>E67+'(c)'!AF30</f>
        <v>122.10803460030422</v>
      </c>
      <c r="G67" s="168">
        <f>F67+'(c)'!AG30</f>
        <v>137.3179333120689</v>
      </c>
      <c r="H67" s="168">
        <f>G67+'(c)'!AH30</f>
        <v>145.79103603999457</v>
      </c>
      <c r="I67" s="168">
        <f>H67+'(c)'!AI30</f>
        <v>151.97504752496948</v>
      </c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</row>
    <row r="68" spans="1:35" x14ac:dyDescent="0.25">
      <c r="C68" s="73" t="s">
        <v>95</v>
      </c>
      <c r="D68" s="185">
        <f>'(c)'!AE31</f>
        <v>25.069297842403405</v>
      </c>
      <c r="E68" s="168">
        <f>D68+'(c)'!AF31</f>
        <v>87.313021675986121</v>
      </c>
      <c r="F68" s="168">
        <f>E68+'(c)'!AG31</f>
        <v>113.37969614963013</v>
      </c>
      <c r="G68" s="168">
        <f>F68+'(c)'!AH31</f>
        <v>128.0379272150744</v>
      </c>
      <c r="H68" s="168">
        <f>G68+'(c)'!AI31</f>
        <v>137.08183248518961</v>
      </c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</row>
    <row r="69" spans="1:35" x14ac:dyDescent="0.25">
      <c r="C69" s="73" t="s">
        <v>94</v>
      </c>
      <c r="D69" s="185">
        <f>'(c)'!AF32</f>
        <v>28.596042650602737</v>
      </c>
      <c r="E69" s="168">
        <f>D69+'(c)'!AG32</f>
        <v>90.657866995214178</v>
      </c>
      <c r="F69" s="168">
        <f>E69+'(c)'!AH32</f>
        <v>117.16032055623438</v>
      </c>
      <c r="G69" s="168">
        <f>F69+'(c)'!AI32</f>
        <v>134.53766018929002</v>
      </c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</row>
    <row r="70" spans="1:35" x14ac:dyDescent="0.25">
      <c r="C70" s="73" t="s">
        <v>93</v>
      </c>
      <c r="D70" s="185">
        <f>'(c)'!AG33</f>
        <v>26.89106782220891</v>
      </c>
      <c r="E70" s="168">
        <f>D70+'(c)'!AH33</f>
        <v>86.028649234776424</v>
      </c>
      <c r="F70" s="168">
        <f>E70+'(c)'!AI33</f>
        <v>115.0331990009156</v>
      </c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</row>
    <row r="71" spans="1:35" x14ac:dyDescent="0.25">
      <c r="C71" s="73" t="s">
        <v>102</v>
      </c>
      <c r="D71" s="185">
        <f>'(c)'!AH34</f>
        <v>23.548434663827322</v>
      </c>
      <c r="E71" s="168">
        <f>D71+'(c)'!AI34</f>
        <v>83.560645228986985</v>
      </c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</row>
    <row r="72" spans="1:35" x14ac:dyDescent="0.25">
      <c r="C72" s="73" t="s">
        <v>101</v>
      </c>
      <c r="D72" s="185">
        <f>'(c)'!AI35</f>
        <v>26.861806593279926</v>
      </c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</row>
    <row r="73" spans="1:35" x14ac:dyDescent="0.25">
      <c r="C73" s="73" t="s">
        <v>1</v>
      </c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</row>
    <row r="75" spans="1:35" x14ac:dyDescent="0.25">
      <c r="A75" s="74" t="s">
        <v>336</v>
      </c>
    </row>
    <row r="76" spans="1:35" x14ac:dyDescent="0.25">
      <c r="D76" s="74" t="s">
        <v>326</v>
      </c>
    </row>
    <row r="77" spans="1:35" x14ac:dyDescent="0.25">
      <c r="C77" s="74" t="s">
        <v>127</v>
      </c>
      <c r="D77" s="182">
        <v>0</v>
      </c>
      <c r="E77" s="182">
        <v>1</v>
      </c>
      <c r="F77" s="182">
        <v>2</v>
      </c>
      <c r="G77" s="182">
        <v>3</v>
      </c>
      <c r="H77" s="182">
        <v>4</v>
      </c>
      <c r="I77" s="182">
        <v>5</v>
      </c>
      <c r="J77" s="182">
        <v>6</v>
      </c>
      <c r="K77" s="182">
        <v>7</v>
      </c>
      <c r="L77" s="182">
        <v>8</v>
      </c>
      <c r="M77" s="182">
        <v>9</v>
      </c>
      <c r="N77" s="182">
        <v>10</v>
      </c>
      <c r="O77" s="182">
        <v>11</v>
      </c>
      <c r="P77" s="182">
        <v>12</v>
      </c>
      <c r="Q77" s="182">
        <v>13</v>
      </c>
      <c r="R77" s="182">
        <v>14</v>
      </c>
      <c r="S77" s="182">
        <v>15</v>
      </c>
      <c r="T77" s="182">
        <v>16</v>
      </c>
      <c r="U77" s="182">
        <v>17</v>
      </c>
      <c r="V77" s="182">
        <v>18</v>
      </c>
      <c r="W77" s="182">
        <v>19</v>
      </c>
      <c r="X77" s="182">
        <v>20</v>
      </c>
      <c r="Y77" s="182">
        <v>21</v>
      </c>
      <c r="Z77" s="182">
        <v>22</v>
      </c>
      <c r="AA77" s="182">
        <v>23</v>
      </c>
      <c r="AB77" s="182">
        <v>24</v>
      </c>
      <c r="AC77" s="182">
        <v>25</v>
      </c>
      <c r="AD77" s="182">
        <v>26</v>
      </c>
      <c r="AE77" s="182">
        <v>27</v>
      </c>
      <c r="AF77" s="182">
        <v>28</v>
      </c>
      <c r="AG77" s="182">
        <v>29</v>
      </c>
      <c r="AH77" s="182">
        <v>30</v>
      </c>
      <c r="AI77" s="182">
        <v>31</v>
      </c>
    </row>
    <row r="78" spans="1:35" x14ac:dyDescent="0.25">
      <c r="C78" s="73" t="s">
        <v>126</v>
      </c>
      <c r="D78" s="179" t="s">
        <v>249</v>
      </c>
      <c r="E78" s="178">
        <f>'(c)'!E41/'(c)'!D41</f>
        <v>3.1475716536386722</v>
      </c>
      <c r="F78" s="178">
        <f>'(c)'!F41/'(c)'!E41</f>
        <v>1.327921705133305</v>
      </c>
      <c r="G78" s="178">
        <f>'(c)'!G41/'(c)'!F41</f>
        <v>1.1066626747216159</v>
      </c>
      <c r="H78" s="178">
        <f>'(c)'!H41/'(c)'!G41</f>
        <v>1.0503158289045285</v>
      </c>
      <c r="I78" s="178">
        <f>'(c)'!I41/'(c)'!H41</f>
        <v>1.0283919620102531</v>
      </c>
      <c r="J78" s="178">
        <f>'(c)'!J41/'(c)'!I41</f>
        <v>1.0188423578494261</v>
      </c>
      <c r="K78" s="178">
        <f>'(c)'!K41/'(c)'!J41</f>
        <v>1.0137034831500866</v>
      </c>
      <c r="L78" s="178">
        <f>'(c)'!L41/'(c)'!K41</f>
        <v>1.009656094312138</v>
      </c>
      <c r="M78" s="178">
        <f>'(c)'!M41/'(c)'!L41</f>
        <v>1.0076755664652639</v>
      </c>
      <c r="N78" s="178">
        <f>'(c)'!N41/'(c)'!M41</f>
        <v>1.0055857438796529</v>
      </c>
      <c r="O78" s="178">
        <f>'(c)'!O41/'(c)'!N41</f>
        <v>1.0049107024294277</v>
      </c>
      <c r="P78" s="178">
        <f>'(c)'!P41/'(c)'!O41</f>
        <v>1.0026436981763065</v>
      </c>
      <c r="Q78" s="178">
        <f>'(c)'!Q41/'(c)'!P41</f>
        <v>1.0005746178488935</v>
      </c>
      <c r="R78" s="178">
        <f>'(c)'!R41/'(c)'!Q41</f>
        <v>1.0002333997686896</v>
      </c>
      <c r="S78" s="178">
        <f>'(c)'!S41/'(c)'!R41</f>
        <v>1.0000632763743145</v>
      </c>
      <c r="T78" s="178">
        <f>'(c)'!T41/'(c)'!S41</f>
        <v>1.0000100112514929</v>
      </c>
      <c r="U78" s="178">
        <f>'(c)'!U41/'(c)'!T41</f>
        <v>1.0000006295845039</v>
      </c>
      <c r="V78" s="178">
        <f>'(c)'!V41/'(c)'!U41</f>
        <v>1.0000002017885057</v>
      </c>
      <c r="W78" s="178">
        <f>'(c)'!W41/'(c)'!V41</f>
        <v>1.0000000380483252</v>
      </c>
      <c r="X78" s="178">
        <f>'(c)'!X41/'(c)'!W41</f>
        <v>1</v>
      </c>
      <c r="Y78" s="178">
        <f>'(c)'!Y41/'(c)'!X41</f>
        <v>1</v>
      </c>
      <c r="Z78" s="178">
        <f>'(c)'!Z41/'(c)'!Y41</f>
        <v>1</v>
      </c>
      <c r="AA78" s="178">
        <f>'(c)'!AA41/'(c)'!Z41</f>
        <v>1</v>
      </c>
      <c r="AB78" s="178">
        <f>'(c)'!AB41/'(c)'!AA41</f>
        <v>1</v>
      </c>
      <c r="AC78" s="178">
        <f>'(c)'!AC41/'(c)'!AB41</f>
        <v>1</v>
      </c>
      <c r="AD78" s="178">
        <f>'(c)'!AD41/'(c)'!AC41</f>
        <v>1</v>
      </c>
      <c r="AE78" s="178">
        <f>'(c)'!AE41/'(c)'!AD41</f>
        <v>1</v>
      </c>
      <c r="AF78" s="178">
        <f>'(c)'!AF41/'(c)'!AE41</f>
        <v>1</v>
      </c>
      <c r="AG78" s="178">
        <f>'(c)'!AG41/'(c)'!AF41</f>
        <v>1</v>
      </c>
      <c r="AH78" s="178">
        <f>'(c)'!AH41/'(c)'!AG41</f>
        <v>1</v>
      </c>
      <c r="AI78" s="178">
        <f>'(c)'!AI41/'(c)'!AH41</f>
        <v>1</v>
      </c>
    </row>
    <row r="79" spans="1:35" x14ac:dyDescent="0.25">
      <c r="B79" s="78">
        <f t="shared" ref="B79:B108" si="2">AL5</f>
        <v>3996174</v>
      </c>
      <c r="C79" s="73" t="s">
        <v>125</v>
      </c>
      <c r="D79" s="179" t="s">
        <v>249</v>
      </c>
      <c r="E79" s="178">
        <f>'(c)'!E42/'(c)'!D42</f>
        <v>3.4798680218583309</v>
      </c>
      <c r="F79" s="178">
        <f>'(c)'!F42/'(c)'!E42</f>
        <v>1.2546227334511406</v>
      </c>
      <c r="G79" s="178">
        <f>'(c)'!G42/'(c)'!F42</f>
        <v>1.094932821339623</v>
      </c>
      <c r="H79" s="178">
        <f>'(c)'!H42/'(c)'!G42</f>
        <v>1.050147317555848</v>
      </c>
      <c r="I79" s="178">
        <f>'(c)'!I42/'(c)'!H42</f>
        <v>1.0366451779516337</v>
      </c>
      <c r="J79" s="178">
        <f>'(c)'!J42/'(c)'!I42</f>
        <v>1.0164839679535769</v>
      </c>
      <c r="K79" s="178">
        <f>'(c)'!K42/'(c)'!J42</f>
        <v>1.0148062576925656</v>
      </c>
      <c r="L79" s="178">
        <f>'(c)'!L42/'(c)'!K42</f>
        <v>1.0103305443932276</v>
      </c>
      <c r="M79" s="178">
        <f>'(c)'!M42/'(c)'!L42</f>
        <v>1.0046699381125208</v>
      </c>
      <c r="N79" s="178">
        <f>'(c)'!N42/'(c)'!M42</f>
        <v>1.0084591026680501</v>
      </c>
      <c r="O79" s="178">
        <f>'(c)'!O42/'(c)'!N42</f>
        <v>1.0059395594857914</v>
      </c>
      <c r="P79" s="178">
        <f>'(c)'!P42/'(c)'!O42</f>
        <v>1.0021680498710694</v>
      </c>
      <c r="Q79" s="178">
        <f>'(c)'!Q42/'(c)'!P42</f>
        <v>1.001109897418585</v>
      </c>
      <c r="R79" s="178">
        <f>'(c)'!R42/'(c)'!Q42</f>
        <v>1.0001344718019964</v>
      </c>
      <c r="S79" s="178">
        <f>'(c)'!S42/'(c)'!R42</f>
        <v>1.0001025642036783</v>
      </c>
      <c r="T79" s="178">
        <f>'(c)'!T42/'(c)'!S42</f>
        <v>1.0000013172589328</v>
      </c>
      <c r="U79" s="178">
        <f>'(c)'!U42/'(c)'!T42</f>
        <v>1.0000006104024766</v>
      </c>
      <c r="V79" s="178">
        <f>'(c)'!V42/'(c)'!U42</f>
        <v>1.0000003923757004</v>
      </c>
      <c r="W79" s="178">
        <f>'(c)'!W42/'(c)'!V42</f>
        <v>1</v>
      </c>
      <c r="X79" s="178">
        <f>'(c)'!X42/'(c)'!W42</f>
        <v>1</v>
      </c>
      <c r="Y79" s="178">
        <f>'(c)'!Y42/'(c)'!X42</f>
        <v>1</v>
      </c>
      <c r="Z79" s="178">
        <f>'(c)'!Z42/'(c)'!Y42</f>
        <v>1</v>
      </c>
      <c r="AA79" s="178">
        <f>'(c)'!AA42/'(c)'!Z42</f>
        <v>1</v>
      </c>
      <c r="AB79" s="178">
        <f>'(c)'!AB42/'(c)'!AA42</f>
        <v>1</v>
      </c>
      <c r="AC79" s="178">
        <f>'(c)'!AC42/'(c)'!AB42</f>
        <v>1</v>
      </c>
      <c r="AD79" s="178">
        <f>'(c)'!AD42/'(c)'!AC42</f>
        <v>1</v>
      </c>
      <c r="AE79" s="178">
        <f>'(c)'!AE42/'(c)'!AD42</f>
        <v>1</v>
      </c>
      <c r="AF79" s="178">
        <f>'(c)'!AF42/'(c)'!AE42</f>
        <v>1</v>
      </c>
      <c r="AG79" s="178">
        <f>'(c)'!AG42/'(c)'!AF42</f>
        <v>1</v>
      </c>
      <c r="AH79" s="178">
        <f>'(c)'!AH42/'(c)'!AG42</f>
        <v>1</v>
      </c>
      <c r="AI79" s="178"/>
    </row>
    <row r="80" spans="1:35" x14ac:dyDescent="0.25">
      <c r="B80" s="78">
        <f t="shared" si="2"/>
        <v>3989428</v>
      </c>
      <c r="C80" s="73" t="s">
        <v>124</v>
      </c>
      <c r="D80" s="179" t="s">
        <v>249</v>
      </c>
      <c r="E80" s="178">
        <f>'(c)'!E43/'(c)'!D43</f>
        <v>2.5995597601937916</v>
      </c>
      <c r="F80" s="178">
        <f>'(c)'!F43/'(c)'!E43</f>
        <v>1.225186046957669</v>
      </c>
      <c r="G80" s="178">
        <f>'(c)'!G43/'(c)'!F43</f>
        <v>1.0994404590134252</v>
      </c>
      <c r="H80" s="178">
        <f>'(c)'!H43/'(c)'!G43</f>
        <v>1.0596100089008036</v>
      </c>
      <c r="I80" s="178">
        <f>'(c)'!I43/'(c)'!H43</f>
        <v>1.0300733830357245</v>
      </c>
      <c r="J80" s="178">
        <f>'(c)'!J43/'(c)'!I43</f>
        <v>1.0186818363512893</v>
      </c>
      <c r="K80" s="178">
        <f>'(c)'!K43/'(c)'!J43</f>
        <v>1.0148399664667247</v>
      </c>
      <c r="L80" s="178">
        <f>'(c)'!L43/'(c)'!K43</f>
        <v>1.0088820476801319</v>
      </c>
      <c r="M80" s="178">
        <f>'(c)'!M43/'(c)'!L43</f>
        <v>1.0128858807705012</v>
      </c>
      <c r="N80" s="178">
        <f>'(c)'!N43/'(c)'!M43</f>
        <v>1.0065303612530845</v>
      </c>
      <c r="O80" s="178">
        <f>'(c)'!O43/'(c)'!N43</f>
        <v>1.0041209774264348</v>
      </c>
      <c r="P80" s="178">
        <f>'(c)'!P43/'(c)'!O43</f>
        <v>1.00254745863814</v>
      </c>
      <c r="Q80" s="178">
        <f>'(c)'!Q43/'(c)'!P43</f>
        <v>1.0010736441588139</v>
      </c>
      <c r="R80" s="178">
        <f>'(c)'!R43/'(c)'!Q43</f>
        <v>1.0002612033567031</v>
      </c>
      <c r="S80" s="178">
        <f>'(c)'!S43/'(c)'!R43</f>
        <v>1.000036949077175</v>
      </c>
      <c r="T80" s="178">
        <f>'(c)'!T43/'(c)'!S43</f>
        <v>1.0000146140441486</v>
      </c>
      <c r="U80" s="178">
        <f>'(c)'!U43/'(c)'!T43</f>
        <v>1.0000003726084383</v>
      </c>
      <c r="V80" s="178">
        <f>'(c)'!V43/'(c)'!U43</f>
        <v>1.0000001114526789</v>
      </c>
      <c r="W80" s="178">
        <f>'(c)'!W43/'(c)'!V43</f>
        <v>1</v>
      </c>
      <c r="X80" s="178">
        <f>'(c)'!X43/'(c)'!W43</f>
        <v>1</v>
      </c>
      <c r="Y80" s="178">
        <f>'(c)'!Y43/'(c)'!X43</f>
        <v>1</v>
      </c>
      <c r="Z80" s="178">
        <f>'(c)'!Z43/'(c)'!Y43</f>
        <v>1</v>
      </c>
      <c r="AA80" s="178">
        <f>'(c)'!AA43/'(c)'!Z43</f>
        <v>1</v>
      </c>
      <c r="AB80" s="178">
        <f>'(c)'!AB43/'(c)'!AA43</f>
        <v>1</v>
      </c>
      <c r="AC80" s="178">
        <f>'(c)'!AC43/'(c)'!AB43</f>
        <v>1</v>
      </c>
      <c r="AD80" s="178">
        <f>'(c)'!AD43/'(c)'!AC43</f>
        <v>1</v>
      </c>
      <c r="AE80" s="178">
        <f>'(c)'!AE43/'(c)'!AD43</f>
        <v>1</v>
      </c>
      <c r="AF80" s="178">
        <f>'(c)'!AF43/'(c)'!AE43</f>
        <v>1</v>
      </c>
      <c r="AG80" s="178">
        <f>'(c)'!AG43/'(c)'!AF43</f>
        <v>1</v>
      </c>
      <c r="AH80" s="178"/>
      <c r="AI80" s="178"/>
    </row>
    <row r="81" spans="2:35" x14ac:dyDescent="0.25">
      <c r="B81" s="78">
        <f t="shared" si="2"/>
        <v>3980783</v>
      </c>
      <c r="C81" s="73" t="s">
        <v>123</v>
      </c>
      <c r="D81" s="179" t="s">
        <v>249</v>
      </c>
      <c r="E81" s="178">
        <f>'(c)'!E44/'(c)'!D44</f>
        <v>3.2119315686742493</v>
      </c>
      <c r="F81" s="178">
        <f>'(c)'!F44/'(c)'!E44</f>
        <v>1.3018843743632225</v>
      </c>
      <c r="G81" s="178">
        <f>'(c)'!G44/'(c)'!F44</f>
        <v>1.1159887205728267</v>
      </c>
      <c r="H81" s="178">
        <f>'(c)'!H44/'(c)'!G44</f>
        <v>1.0463616003569705</v>
      </c>
      <c r="I81" s="178">
        <f>'(c)'!I44/'(c)'!H44</f>
        <v>1.0254476132528634</v>
      </c>
      <c r="J81" s="178">
        <f>'(c)'!J44/'(c)'!I44</f>
        <v>1.0185954555880592</v>
      </c>
      <c r="K81" s="178">
        <f>'(c)'!K44/'(c)'!J44</f>
        <v>1.010002439829119</v>
      </c>
      <c r="L81" s="178">
        <f>'(c)'!L44/'(c)'!K44</f>
        <v>1.0124814086412255</v>
      </c>
      <c r="M81" s="178">
        <f>'(c)'!M44/'(c)'!L44</f>
        <v>1.0068917185720589</v>
      </c>
      <c r="N81" s="178">
        <f>'(c)'!N44/'(c)'!M44</f>
        <v>1.0051206349785733</v>
      </c>
      <c r="O81" s="178">
        <f>'(c)'!O44/'(c)'!N44</f>
        <v>1.0041794831509319</v>
      </c>
      <c r="P81" s="178">
        <f>'(c)'!P44/'(c)'!O44</f>
        <v>1.0015232505918346</v>
      </c>
      <c r="Q81" s="178">
        <f>'(c)'!Q44/'(c)'!P44</f>
        <v>1.001050827304186</v>
      </c>
      <c r="R81" s="178">
        <f>'(c)'!R44/'(c)'!Q44</f>
        <v>1.0000870634360297</v>
      </c>
      <c r="S81" s="178">
        <f>'(c)'!S44/'(c)'!R44</f>
        <v>1.0001002022501488</v>
      </c>
      <c r="T81" s="178">
        <f>'(c)'!T44/'(c)'!S44</f>
        <v>1.0000144553205637</v>
      </c>
      <c r="U81" s="178">
        <f>'(c)'!U44/'(c)'!T44</f>
        <v>1.0000020525687365</v>
      </c>
      <c r="V81" s="178">
        <f>'(c)'!V44/'(c)'!U44</f>
        <v>1.0000006690022571</v>
      </c>
      <c r="W81" s="178">
        <f>'(c)'!W44/'(c)'!V44</f>
        <v>1</v>
      </c>
      <c r="X81" s="178">
        <f>'(c)'!X44/'(c)'!W44</f>
        <v>1</v>
      </c>
      <c r="Y81" s="178">
        <f>'(c)'!Y44/'(c)'!X44</f>
        <v>1</v>
      </c>
      <c r="Z81" s="178">
        <f>'(c)'!Z44/'(c)'!Y44</f>
        <v>1</v>
      </c>
      <c r="AA81" s="178">
        <f>'(c)'!AA44/'(c)'!Z44</f>
        <v>1</v>
      </c>
      <c r="AB81" s="178">
        <f>'(c)'!AB44/'(c)'!AA44</f>
        <v>1</v>
      </c>
      <c r="AC81" s="178">
        <f>'(c)'!AC44/'(c)'!AB44</f>
        <v>1</v>
      </c>
      <c r="AD81" s="178">
        <f>'(c)'!AD44/'(c)'!AC44</f>
        <v>1</v>
      </c>
      <c r="AE81" s="178">
        <f>'(c)'!AE44/'(c)'!AD44</f>
        <v>1</v>
      </c>
      <c r="AF81" s="178">
        <f>'(c)'!AF44/'(c)'!AE44</f>
        <v>1</v>
      </c>
      <c r="AG81" s="178"/>
      <c r="AH81" s="178"/>
      <c r="AI81" s="178"/>
    </row>
    <row r="82" spans="2:35" x14ac:dyDescent="0.25">
      <c r="B82" s="78">
        <f t="shared" si="2"/>
        <v>3957638</v>
      </c>
      <c r="C82" s="73" t="s">
        <v>122</v>
      </c>
      <c r="D82" s="179" t="s">
        <v>249</v>
      </c>
      <c r="E82" s="178">
        <f>'(c)'!E45/'(c)'!D45</f>
        <v>3.7542876929282705</v>
      </c>
      <c r="F82" s="178">
        <f>'(c)'!F45/'(c)'!E45</f>
        <v>1.3134080713184497</v>
      </c>
      <c r="G82" s="178">
        <f>'(c)'!G45/'(c)'!F45</f>
        <v>1.1078903809190086</v>
      </c>
      <c r="H82" s="178">
        <f>'(c)'!H45/'(c)'!G45</f>
        <v>1.054906670386031</v>
      </c>
      <c r="I82" s="178">
        <f>'(c)'!I45/'(c)'!H45</f>
        <v>1.0325291222359907</v>
      </c>
      <c r="J82" s="178">
        <f>'(c)'!J45/'(c)'!I45</f>
        <v>1.0181190023789577</v>
      </c>
      <c r="K82" s="178">
        <f>'(c)'!K45/'(c)'!J45</f>
        <v>1.0140895941764239</v>
      </c>
      <c r="L82" s="178">
        <f>'(c)'!L45/'(c)'!K45</f>
        <v>1.0124353720848993</v>
      </c>
      <c r="M82" s="178">
        <f>'(c)'!M45/'(c)'!L45</f>
        <v>1.0066083803347408</v>
      </c>
      <c r="N82" s="178">
        <f>'(c)'!N45/'(c)'!M45</f>
        <v>1.0065480500475732</v>
      </c>
      <c r="O82" s="178">
        <f>'(c)'!O45/'(c)'!N45</f>
        <v>1.0032297580137739</v>
      </c>
      <c r="P82" s="178">
        <f>'(c)'!P45/'(c)'!O45</f>
        <v>1.0039633365305616</v>
      </c>
      <c r="Q82" s="178">
        <f>'(c)'!Q45/'(c)'!P45</f>
        <v>1.0006931469246445</v>
      </c>
      <c r="R82" s="178">
        <f>'(c)'!R45/'(c)'!Q45</f>
        <v>1.0002751759907222</v>
      </c>
      <c r="S82" s="178">
        <f>'(c)'!S45/'(c)'!R45</f>
        <v>1.0000693592051071</v>
      </c>
      <c r="T82" s="178">
        <f>'(c)'!T45/'(c)'!S45</f>
        <v>1.0000041747476842</v>
      </c>
      <c r="U82" s="178">
        <f>'(c)'!U45/'(c)'!T45</f>
        <v>1.0000011223487495</v>
      </c>
      <c r="V82" s="178">
        <f>'(c)'!V45/'(c)'!U45</f>
        <v>1.000000271941645</v>
      </c>
      <c r="W82" s="178">
        <f>'(c)'!W45/'(c)'!V45</f>
        <v>1</v>
      </c>
      <c r="X82" s="178">
        <f>'(c)'!X45/'(c)'!W45</f>
        <v>1</v>
      </c>
      <c r="Y82" s="178">
        <f>'(c)'!Y45/'(c)'!X45</f>
        <v>1</v>
      </c>
      <c r="Z82" s="178">
        <f>'(c)'!Z45/'(c)'!Y45</f>
        <v>1</v>
      </c>
      <c r="AA82" s="178">
        <f>'(c)'!AA45/'(c)'!Z45</f>
        <v>1</v>
      </c>
      <c r="AB82" s="178">
        <f>'(c)'!AB45/'(c)'!AA45</f>
        <v>1</v>
      </c>
      <c r="AC82" s="178">
        <f>'(c)'!AC45/'(c)'!AB45</f>
        <v>1</v>
      </c>
      <c r="AD82" s="178">
        <f>'(c)'!AD45/'(c)'!AC45</f>
        <v>1</v>
      </c>
      <c r="AE82" s="178">
        <f>'(c)'!AE45/'(c)'!AD45</f>
        <v>1</v>
      </c>
      <c r="AF82" s="178"/>
      <c r="AG82" s="178"/>
      <c r="AH82" s="178"/>
      <c r="AI82" s="178"/>
    </row>
    <row r="83" spans="2:35" x14ac:dyDescent="0.25">
      <c r="B83" s="78">
        <f t="shared" si="2"/>
        <v>3933019</v>
      </c>
      <c r="C83" s="73" t="s">
        <v>121</v>
      </c>
      <c r="D83" s="179" t="s">
        <v>249</v>
      </c>
      <c r="E83" s="178">
        <f>'(c)'!E46/'(c)'!D46</f>
        <v>3.5085875898720755</v>
      </c>
      <c r="F83" s="178">
        <f>'(c)'!F46/'(c)'!E46</f>
        <v>1.3077437863378287</v>
      </c>
      <c r="G83" s="178">
        <f>'(c)'!G46/'(c)'!F46</f>
        <v>1.1188993896560477</v>
      </c>
      <c r="H83" s="178">
        <f>'(c)'!H46/'(c)'!G46</f>
        <v>1.0584947184625824</v>
      </c>
      <c r="I83" s="178">
        <f>'(c)'!I46/'(c)'!H46</f>
        <v>1.0269270508678103</v>
      </c>
      <c r="J83" s="178">
        <f>'(c)'!J46/'(c)'!I46</f>
        <v>1.0227375209683818</v>
      </c>
      <c r="K83" s="178">
        <f>'(c)'!K46/'(c)'!J46</f>
        <v>1.0182899522155664</v>
      </c>
      <c r="L83" s="178">
        <f>'(c)'!L46/'(c)'!K46</f>
        <v>1.0099257135228883</v>
      </c>
      <c r="M83" s="178">
        <f>'(c)'!M46/'(c)'!L46</f>
        <v>1.0082684229325747</v>
      </c>
      <c r="N83" s="178">
        <f>'(c)'!N46/'(c)'!M46</f>
        <v>1.0053304876592395</v>
      </c>
      <c r="O83" s="178">
        <f>'(c)'!O46/'(c)'!N46</f>
        <v>1.0037737190983846</v>
      </c>
      <c r="P83" s="178">
        <f>'(c)'!P46/'(c)'!O46</f>
        <v>1.0028713858632259</v>
      </c>
      <c r="Q83" s="178">
        <f>'(c)'!Q46/'(c)'!P46</f>
        <v>1.0007280733870838</v>
      </c>
      <c r="R83" s="178">
        <f>'(c)'!R46/'(c)'!Q46</f>
        <v>1.0001290929402549</v>
      </c>
      <c r="S83" s="178">
        <f>'(c)'!S46/'(c)'!R46</f>
        <v>1.0001255908992079</v>
      </c>
      <c r="T83" s="178">
        <f>'(c)'!T46/'(c)'!S46</f>
        <v>1.0000098433679441</v>
      </c>
      <c r="U83" s="178">
        <f>'(c)'!U46/'(c)'!T46</f>
        <v>1.0000014638511467</v>
      </c>
      <c r="V83" s="178">
        <f>'(c)'!V46/'(c)'!U46</f>
        <v>1.000000269465519</v>
      </c>
      <c r="W83" s="178">
        <f>'(c)'!W46/'(c)'!V46</f>
        <v>1</v>
      </c>
      <c r="X83" s="178">
        <f>'(c)'!X46/'(c)'!W46</f>
        <v>1</v>
      </c>
      <c r="Y83" s="178">
        <f>'(c)'!Y46/'(c)'!X46</f>
        <v>1</v>
      </c>
      <c r="Z83" s="178">
        <f>'(c)'!Z46/'(c)'!Y46</f>
        <v>1</v>
      </c>
      <c r="AA83" s="178">
        <f>'(c)'!AA46/'(c)'!Z46</f>
        <v>1</v>
      </c>
      <c r="AB83" s="178">
        <f>'(c)'!AB46/'(c)'!AA46</f>
        <v>1</v>
      </c>
      <c r="AC83" s="178">
        <f>'(c)'!AC46/'(c)'!AB46</f>
        <v>1</v>
      </c>
      <c r="AD83" s="178">
        <f>'(c)'!AD46/'(c)'!AC46</f>
        <v>1</v>
      </c>
      <c r="AE83" s="178"/>
      <c r="AF83" s="178"/>
      <c r="AG83" s="178"/>
      <c r="AH83" s="178"/>
      <c r="AI83" s="178"/>
    </row>
    <row r="84" spans="2:35" x14ac:dyDescent="0.25">
      <c r="B84" s="78">
        <f t="shared" si="2"/>
        <v>3901508</v>
      </c>
      <c r="C84" s="73" t="s">
        <v>120</v>
      </c>
      <c r="D84" s="179" t="s">
        <v>249</v>
      </c>
      <c r="E84" s="178">
        <f>'(c)'!E47/'(c)'!D47</f>
        <v>3.4606458109815605</v>
      </c>
      <c r="F84" s="178">
        <f>'(c)'!F47/'(c)'!E47</f>
        <v>1.3415124002023264</v>
      </c>
      <c r="G84" s="178">
        <f>'(c)'!G47/'(c)'!F47</f>
        <v>1.1314758520533066</v>
      </c>
      <c r="H84" s="178">
        <f>'(c)'!H47/'(c)'!G47</f>
        <v>1.0581294846918068</v>
      </c>
      <c r="I84" s="178">
        <f>'(c)'!I47/'(c)'!H47</f>
        <v>1.0365275831521947</v>
      </c>
      <c r="J84" s="178">
        <f>'(c)'!J47/'(c)'!I47</f>
        <v>1.0249392987895141</v>
      </c>
      <c r="K84" s="178">
        <f>'(c)'!K47/'(c)'!J47</f>
        <v>1.0158416259012677</v>
      </c>
      <c r="L84" s="178">
        <f>'(c)'!L47/'(c)'!K47</f>
        <v>1.0136290768875287</v>
      </c>
      <c r="M84" s="178">
        <f>'(c)'!M47/'(c)'!L47</f>
        <v>1.0089580437706653</v>
      </c>
      <c r="N84" s="178">
        <f>'(c)'!N47/'(c)'!M47</f>
        <v>1.0047510565338511</v>
      </c>
      <c r="O84" s="178">
        <f>'(c)'!O47/'(c)'!N47</f>
        <v>1.003010026291584</v>
      </c>
      <c r="P84" s="178">
        <f>'(c)'!P47/'(c)'!O47</f>
        <v>1.0031228780289074</v>
      </c>
      <c r="Q84" s="178">
        <f>'(c)'!Q47/'(c)'!P47</f>
        <v>1.0009318894427546</v>
      </c>
      <c r="R84" s="178">
        <f>'(c)'!R47/'(c)'!Q47</f>
        <v>1.000238413704738</v>
      </c>
      <c r="S84" s="178">
        <f>'(c)'!S47/'(c)'!R47</f>
        <v>1.0001075306426532</v>
      </c>
      <c r="T84" s="178">
        <f>'(c)'!T47/'(c)'!S47</f>
        <v>1.0000195360833739</v>
      </c>
      <c r="U84" s="178">
        <f>'(c)'!U47/'(c)'!T47</f>
        <v>1.0000014153361678</v>
      </c>
      <c r="V84" s="178">
        <f>'(c)'!V47/'(c)'!U47</f>
        <v>1.0000004231267234</v>
      </c>
      <c r="W84" s="178">
        <f>'(c)'!W47/'(c)'!V47</f>
        <v>1</v>
      </c>
      <c r="X84" s="178">
        <f>'(c)'!X47/'(c)'!W47</f>
        <v>1</v>
      </c>
      <c r="Y84" s="178">
        <f>'(c)'!Y47/'(c)'!X47</f>
        <v>1</v>
      </c>
      <c r="Z84" s="178">
        <f>'(c)'!Z47/'(c)'!Y47</f>
        <v>1</v>
      </c>
      <c r="AA84" s="178">
        <f>'(c)'!AA47/'(c)'!Z47</f>
        <v>1</v>
      </c>
      <c r="AB84" s="178">
        <f>'(c)'!AB47/'(c)'!AA47</f>
        <v>1</v>
      </c>
      <c r="AC84" s="178">
        <f>'(c)'!AC47/'(c)'!AB47</f>
        <v>1</v>
      </c>
      <c r="AD84" s="178"/>
      <c r="AE84" s="178"/>
      <c r="AF84" s="178"/>
      <c r="AG84" s="178"/>
      <c r="AH84" s="178"/>
      <c r="AI84" s="178"/>
    </row>
    <row r="85" spans="2:35" x14ac:dyDescent="0.25">
      <c r="B85" s="78">
        <f t="shared" si="2"/>
        <v>3871947</v>
      </c>
      <c r="C85" s="73" t="s">
        <v>119</v>
      </c>
      <c r="D85" s="179" t="s">
        <v>249</v>
      </c>
      <c r="E85" s="178">
        <f>'(c)'!E48/'(c)'!D48</f>
        <v>3.4532446619070329</v>
      </c>
      <c r="F85" s="178">
        <f>'(c)'!F48/'(c)'!E48</f>
        <v>1.3906613926094671</v>
      </c>
      <c r="G85" s="178">
        <f>'(c)'!G48/'(c)'!F48</f>
        <v>1.1127594609587363</v>
      </c>
      <c r="H85" s="178">
        <f>'(c)'!H48/'(c)'!G48</f>
        <v>1.0625434253408366</v>
      </c>
      <c r="I85" s="178">
        <f>'(c)'!I48/'(c)'!H48</f>
        <v>1.0350375256030715</v>
      </c>
      <c r="J85" s="178">
        <f>'(c)'!J48/'(c)'!I48</f>
        <v>1.0233584642312654</v>
      </c>
      <c r="K85" s="178">
        <f>'(c)'!K48/'(c)'!J48</f>
        <v>1.0191486845700495</v>
      </c>
      <c r="L85" s="178">
        <f>'(c)'!L48/'(c)'!K48</f>
        <v>1.0112797995307938</v>
      </c>
      <c r="M85" s="178">
        <f>'(c)'!M48/'(c)'!L48</f>
        <v>1.0102619622857094</v>
      </c>
      <c r="N85" s="178">
        <f>'(c)'!N48/'(c)'!M48</f>
        <v>1.0088998717888109</v>
      </c>
      <c r="O85" s="178">
        <f>'(c)'!O48/'(c)'!N48</f>
        <v>1.0054531306199601</v>
      </c>
      <c r="P85" s="178">
        <f>'(c)'!P48/'(c)'!O48</f>
        <v>1.003148402253246</v>
      </c>
      <c r="Q85" s="178">
        <f>'(c)'!Q48/'(c)'!P48</f>
        <v>1.0008142624943928</v>
      </c>
      <c r="R85" s="178">
        <f>'(c)'!R48/'(c)'!Q48</f>
        <v>1.0003284096336504</v>
      </c>
      <c r="S85" s="178">
        <f>'(c)'!S48/'(c)'!R48</f>
        <v>1.000139817898716</v>
      </c>
      <c r="T85" s="178">
        <f>'(c)'!T48/'(c)'!S48</f>
        <v>1.0000399946382879</v>
      </c>
      <c r="U85" s="178">
        <f>'(c)'!U48/'(c)'!T48</f>
        <v>1.0000021529879712</v>
      </c>
      <c r="V85" s="178">
        <f>'(c)'!V48/'(c)'!U48</f>
        <v>1.0000000929414257</v>
      </c>
      <c r="W85" s="178">
        <f>'(c)'!W48/'(c)'!V48</f>
        <v>1</v>
      </c>
      <c r="X85" s="178">
        <f>'(c)'!X48/'(c)'!W48</f>
        <v>1</v>
      </c>
      <c r="Y85" s="178">
        <f>'(c)'!Y48/'(c)'!X48</f>
        <v>1</v>
      </c>
      <c r="Z85" s="178">
        <f>'(c)'!Z48/'(c)'!Y48</f>
        <v>1</v>
      </c>
      <c r="AA85" s="178">
        <f>'(c)'!AA48/'(c)'!Z48</f>
        <v>1</v>
      </c>
      <c r="AB85" s="178">
        <f>'(c)'!AB48/'(c)'!AA48</f>
        <v>1</v>
      </c>
      <c r="AC85" s="178"/>
      <c r="AD85" s="178"/>
      <c r="AE85" s="178"/>
      <c r="AF85" s="178"/>
      <c r="AG85" s="178"/>
      <c r="AH85" s="178"/>
      <c r="AI85" s="178"/>
    </row>
    <row r="86" spans="2:35" x14ac:dyDescent="0.25">
      <c r="B86" s="78">
        <f t="shared" si="2"/>
        <v>3856827</v>
      </c>
      <c r="C86" s="73" t="s">
        <v>118</v>
      </c>
      <c r="D86" s="179" t="s">
        <v>249</v>
      </c>
      <c r="E86" s="178">
        <f>'(c)'!E49/'(c)'!D49</f>
        <v>3.7485226395381472</v>
      </c>
      <c r="F86" s="178">
        <f>'(c)'!F49/'(c)'!E49</f>
        <v>1.3122194385871537</v>
      </c>
      <c r="G86" s="178">
        <f>'(c)'!G49/'(c)'!F49</f>
        <v>1.1432937636592728</v>
      </c>
      <c r="H86" s="178">
        <f>'(c)'!H49/'(c)'!G49</f>
        <v>1.0688147789618136</v>
      </c>
      <c r="I86" s="178">
        <f>'(c)'!I49/'(c)'!H49</f>
        <v>1.0365889390357996</v>
      </c>
      <c r="J86" s="178">
        <f>'(c)'!J49/'(c)'!I49</f>
        <v>1.0295863612484566</v>
      </c>
      <c r="K86" s="178">
        <f>'(c)'!K49/'(c)'!J49</f>
        <v>1.0168444583356555</v>
      </c>
      <c r="L86" s="178">
        <f>'(c)'!L49/'(c)'!K49</f>
        <v>1.0128415549068603</v>
      </c>
      <c r="M86" s="178">
        <f>'(c)'!M49/'(c)'!L49</f>
        <v>1.0141696917575154</v>
      </c>
      <c r="N86" s="178">
        <f>'(c)'!N49/'(c)'!M49</f>
        <v>1.0122235015757122</v>
      </c>
      <c r="O86" s="178">
        <f>'(c)'!O49/'(c)'!N49</f>
        <v>1.0052559343178264</v>
      </c>
      <c r="P86" s="178">
        <f>'(c)'!P49/'(c)'!O49</f>
        <v>1.0027710537119798</v>
      </c>
      <c r="Q86" s="178">
        <f>'(c)'!Q49/'(c)'!P49</f>
        <v>1.001354872630601</v>
      </c>
      <c r="R86" s="178">
        <f>'(c)'!R49/'(c)'!Q49</f>
        <v>1.0003114282997065</v>
      </c>
      <c r="S86" s="178">
        <f>'(c)'!S49/'(c)'!R49</f>
        <v>1.0001848882685485</v>
      </c>
      <c r="T86" s="178">
        <f>'(c)'!T49/'(c)'!S49</f>
        <v>1.0000137714277553</v>
      </c>
      <c r="U86" s="178">
        <f>'(c)'!U49/'(c)'!T49</f>
        <v>1.0000025063736901</v>
      </c>
      <c r="V86" s="178">
        <f>'(c)'!V49/'(c)'!U49</f>
        <v>1</v>
      </c>
      <c r="W86" s="178">
        <f>'(c)'!W49/'(c)'!V49</f>
        <v>1</v>
      </c>
      <c r="X86" s="178">
        <f>'(c)'!X49/'(c)'!W49</f>
        <v>1</v>
      </c>
      <c r="Y86" s="178">
        <f>'(c)'!Y49/'(c)'!X49</f>
        <v>1</v>
      </c>
      <c r="Z86" s="178">
        <f>'(c)'!Z49/'(c)'!Y49</f>
        <v>1</v>
      </c>
      <c r="AA86" s="178">
        <f>'(c)'!AA49/'(c)'!Z49</f>
        <v>1</v>
      </c>
      <c r="AB86" s="178"/>
      <c r="AC86" s="178"/>
      <c r="AD86" s="178"/>
      <c r="AE86" s="178"/>
      <c r="AF86" s="178"/>
      <c r="AG86" s="178"/>
      <c r="AH86" s="178"/>
      <c r="AI86" s="178"/>
    </row>
    <row r="87" spans="2:35" x14ac:dyDescent="0.25">
      <c r="B87" s="78">
        <f t="shared" si="2"/>
        <v>3841287</v>
      </c>
      <c r="C87" s="73" t="s">
        <v>117</v>
      </c>
      <c r="D87" s="179" t="s">
        <v>249</v>
      </c>
      <c r="E87" s="178">
        <f>'(c)'!E50/'(c)'!D50</f>
        <v>3.4395071269843354</v>
      </c>
      <c r="F87" s="178">
        <f>'(c)'!F50/'(c)'!E50</f>
        <v>1.3952814481928681</v>
      </c>
      <c r="G87" s="178">
        <f>'(c)'!G50/'(c)'!F50</f>
        <v>1.1558678382118883</v>
      </c>
      <c r="H87" s="178">
        <f>'(c)'!H50/'(c)'!G50</f>
        <v>1.0722918138724442</v>
      </c>
      <c r="I87" s="178">
        <f>'(c)'!I50/'(c)'!H50</f>
        <v>1.0484045327496665</v>
      </c>
      <c r="J87" s="178">
        <f>'(c)'!J50/'(c)'!I50</f>
        <v>1.024435978112181</v>
      </c>
      <c r="K87" s="178">
        <f>'(c)'!K50/'(c)'!J50</f>
        <v>1.0161296569808711</v>
      </c>
      <c r="L87" s="178">
        <f>'(c)'!L50/'(c)'!K50</f>
        <v>1.0156839410066929</v>
      </c>
      <c r="M87" s="178">
        <f>'(c)'!M50/'(c)'!L50</f>
        <v>1.0110775364896614</v>
      </c>
      <c r="N87" s="178">
        <f>'(c)'!N50/'(c)'!M50</f>
        <v>1.0077337714209083</v>
      </c>
      <c r="O87" s="178">
        <f>'(c)'!O50/'(c)'!N50</f>
        <v>1.0046191840907011</v>
      </c>
      <c r="P87" s="178">
        <f>'(c)'!P50/'(c)'!O50</f>
        <v>1.0025380496088176</v>
      </c>
      <c r="Q87" s="178">
        <f>'(c)'!Q50/'(c)'!P50</f>
        <v>1.0011490566696095</v>
      </c>
      <c r="R87" s="178">
        <f>'(c)'!R50/'(c)'!Q50</f>
        <v>1.0004300843176175</v>
      </c>
      <c r="S87" s="178">
        <f>'(c)'!S50/'(c)'!R50</f>
        <v>1.0001076663043931</v>
      </c>
      <c r="T87" s="178">
        <f>'(c)'!T50/'(c)'!S50</f>
        <v>1.0000280877149164</v>
      </c>
      <c r="U87" s="178">
        <f>'(c)'!U50/'(c)'!T50</f>
        <v>1.000001682183336</v>
      </c>
      <c r="V87" s="178">
        <f>'(c)'!V50/'(c)'!U50</f>
        <v>1.0000003406269744</v>
      </c>
      <c r="W87" s="178">
        <f>'(c)'!W50/'(c)'!V50</f>
        <v>1</v>
      </c>
      <c r="X87" s="178">
        <f>'(c)'!X50/'(c)'!W50</f>
        <v>1</v>
      </c>
      <c r="Y87" s="178">
        <f>'(c)'!Y50/'(c)'!X50</f>
        <v>1</v>
      </c>
      <c r="Z87" s="178">
        <f>'(c)'!Z50/'(c)'!Y50</f>
        <v>1</v>
      </c>
      <c r="AA87" s="178"/>
      <c r="AB87" s="178"/>
      <c r="AC87" s="178"/>
      <c r="AD87" s="178"/>
      <c r="AE87" s="178"/>
      <c r="AF87" s="178"/>
      <c r="AG87" s="178"/>
      <c r="AH87" s="178"/>
      <c r="AI87" s="178"/>
    </row>
    <row r="88" spans="2:35" x14ac:dyDescent="0.25">
      <c r="B88" s="78">
        <f t="shared" si="2"/>
        <v>3823972</v>
      </c>
      <c r="C88" s="73" t="s">
        <v>116</v>
      </c>
      <c r="D88" s="179" t="s">
        <v>249</v>
      </c>
      <c r="E88" s="178">
        <f>'(c)'!E51/'(c)'!D51</f>
        <v>4.1699622366159455</v>
      </c>
      <c r="F88" s="178">
        <f>'(c)'!F51/'(c)'!E51</f>
        <v>1.4071697608668998</v>
      </c>
      <c r="G88" s="178">
        <f>'(c)'!G51/'(c)'!F51</f>
        <v>1.1411385127525189</v>
      </c>
      <c r="H88" s="178">
        <f>'(c)'!H51/'(c)'!G51</f>
        <v>1.0778164457987582</v>
      </c>
      <c r="I88" s="178">
        <f>'(c)'!I51/'(c)'!H51</f>
        <v>1.0474089219803531</v>
      </c>
      <c r="J88" s="178">
        <f>'(c)'!J51/'(c)'!I51</f>
        <v>1.0297047410378797</v>
      </c>
      <c r="K88" s="178">
        <f>'(c)'!K51/'(c)'!J51</f>
        <v>1.0260170761165857</v>
      </c>
      <c r="L88" s="178">
        <f>'(c)'!L51/'(c)'!K51</f>
        <v>1.0162600098385393</v>
      </c>
      <c r="M88" s="178">
        <f>'(c)'!M51/'(c)'!L51</f>
        <v>1.0126584438547668</v>
      </c>
      <c r="N88" s="178">
        <f>'(c)'!N51/'(c)'!M51</f>
        <v>1.0102930004957424</v>
      </c>
      <c r="O88" s="178">
        <f>'(c)'!O51/'(c)'!N51</f>
        <v>1.0055061240461713</v>
      </c>
      <c r="P88" s="178">
        <f>'(c)'!P51/'(c)'!O51</f>
        <v>1.0032157612139694</v>
      </c>
      <c r="Q88" s="178">
        <f>'(c)'!Q51/'(c)'!P51</f>
        <v>1.0013184975784772</v>
      </c>
      <c r="R88" s="178">
        <f>'(c)'!R51/'(c)'!Q51</f>
        <v>1.0003505006558606</v>
      </c>
      <c r="S88" s="178">
        <f>'(c)'!S51/'(c)'!R51</f>
        <v>1.0001721700805626</v>
      </c>
      <c r="T88" s="178">
        <f>'(c)'!T51/'(c)'!S51</f>
        <v>1.0000205112975527</v>
      </c>
      <c r="U88" s="178">
        <f>'(c)'!U51/'(c)'!T51</f>
        <v>1.0000015362280235</v>
      </c>
      <c r="V88" s="178">
        <f>'(c)'!V51/'(c)'!U51</f>
        <v>1</v>
      </c>
      <c r="W88" s="178">
        <f>'(c)'!W51/'(c)'!V51</f>
        <v>1</v>
      </c>
      <c r="X88" s="178">
        <f>'(c)'!X51/'(c)'!W51</f>
        <v>1</v>
      </c>
      <c r="Y88" s="178">
        <f>'(c)'!Y51/'(c)'!X51</f>
        <v>1</v>
      </c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</row>
    <row r="89" spans="2:35" x14ac:dyDescent="0.25">
      <c r="B89" s="78">
        <f t="shared" si="2"/>
        <v>3822502</v>
      </c>
      <c r="C89" s="73" t="s">
        <v>115</v>
      </c>
      <c r="D89" s="179" t="s">
        <v>249</v>
      </c>
      <c r="E89" s="178">
        <f>'(c)'!E52/'(c)'!D52</f>
        <v>3.7497904716656807</v>
      </c>
      <c r="F89" s="178">
        <f>'(c)'!F52/'(c)'!E52</f>
        <v>1.3273413481158221</v>
      </c>
      <c r="G89" s="178">
        <f>'(c)'!G52/'(c)'!F52</f>
        <v>1.158382324844679</v>
      </c>
      <c r="H89" s="178">
        <f>'(c)'!H52/'(c)'!G52</f>
        <v>1.072261184713426</v>
      </c>
      <c r="I89" s="178">
        <f>'(c)'!I52/'(c)'!H52</f>
        <v>1.0459901194631549</v>
      </c>
      <c r="J89" s="178">
        <f>'(c)'!J52/'(c)'!I52</f>
        <v>1.0345269887989981</v>
      </c>
      <c r="K89" s="178">
        <f>'(c)'!K52/'(c)'!J52</f>
        <v>1.0200103037830868</v>
      </c>
      <c r="L89" s="178">
        <f>'(c)'!L52/'(c)'!K52</f>
        <v>1.0193956075491868</v>
      </c>
      <c r="M89" s="178">
        <f>'(c)'!M52/'(c)'!L52</f>
        <v>1.0104420458837338</v>
      </c>
      <c r="N89" s="178">
        <f>'(c)'!N52/'(c)'!M52</f>
        <v>1.0099280852718349</v>
      </c>
      <c r="O89" s="178">
        <f>'(c)'!O52/'(c)'!N52</f>
        <v>1.0080417026255051</v>
      </c>
      <c r="P89" s="178">
        <f>'(c)'!P52/'(c)'!O52</f>
        <v>1.0039110313370827</v>
      </c>
      <c r="Q89" s="178">
        <f>'(c)'!Q52/'(c)'!P52</f>
        <v>1.0008966756895614</v>
      </c>
      <c r="R89" s="178">
        <f>'(c)'!R52/'(c)'!Q52</f>
        <v>1.0004065517573655</v>
      </c>
      <c r="S89" s="178">
        <f>'(c)'!S52/'(c)'!R52</f>
        <v>1.0001828918141196</v>
      </c>
      <c r="T89" s="178">
        <f>'(c)'!T52/'(c)'!S52</f>
        <v>1.000019861250975</v>
      </c>
      <c r="U89" s="178">
        <f>'(c)'!U52/'(c)'!T52</f>
        <v>1.0000026205063635</v>
      </c>
      <c r="V89" s="178">
        <f>'(c)'!V52/'(c)'!U52</f>
        <v>1</v>
      </c>
      <c r="W89" s="178">
        <f>'(c)'!W52/'(c)'!V52</f>
        <v>1</v>
      </c>
      <c r="X89" s="178">
        <f>'(c)'!X52/'(c)'!W52</f>
        <v>1</v>
      </c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</row>
    <row r="90" spans="2:35" x14ac:dyDescent="0.25">
      <c r="B90" s="78">
        <f t="shared" si="2"/>
        <v>3895094</v>
      </c>
      <c r="C90" s="73" t="s">
        <v>114</v>
      </c>
      <c r="D90" s="179" t="s">
        <v>249</v>
      </c>
      <c r="E90" s="178">
        <f>'(c)'!E53/'(c)'!D53</f>
        <v>3.5369575421162081</v>
      </c>
      <c r="F90" s="178">
        <f>'(c)'!F53/'(c)'!E53</f>
        <v>1.4904817661235137</v>
      </c>
      <c r="G90" s="178">
        <f>'(c)'!G53/'(c)'!F53</f>
        <v>1.1454846819852049</v>
      </c>
      <c r="H90" s="178">
        <f>'(c)'!H53/'(c)'!G53</f>
        <v>1.0637387236170872</v>
      </c>
      <c r="I90" s="178">
        <f>'(c)'!I53/'(c)'!H53</f>
        <v>1.0470834556651818</v>
      </c>
      <c r="J90" s="178">
        <f>'(c)'!J53/'(c)'!I53</f>
        <v>1.0265377130270776</v>
      </c>
      <c r="K90" s="178">
        <f>'(c)'!K53/'(c)'!J53</f>
        <v>1.0325022571161147</v>
      </c>
      <c r="L90" s="178">
        <f>'(c)'!L53/'(c)'!K53</f>
        <v>1.0174643873841183</v>
      </c>
      <c r="M90" s="178">
        <f>'(c)'!M53/'(c)'!L53</f>
        <v>1.0164487727075406</v>
      </c>
      <c r="N90" s="178">
        <f>'(c)'!N53/'(c)'!M53</f>
        <v>1.0119588143788985</v>
      </c>
      <c r="O90" s="178">
        <f>'(c)'!O53/'(c)'!N53</f>
        <v>1.0075597735303365</v>
      </c>
      <c r="P90" s="178">
        <f>'(c)'!P53/'(c)'!O53</f>
        <v>1.0031424791074319</v>
      </c>
      <c r="Q90" s="178">
        <f>'(c)'!Q53/'(c)'!P53</f>
        <v>1.0015018151551407</v>
      </c>
      <c r="R90" s="178">
        <f>'(c)'!R53/'(c)'!Q53</f>
        <v>1.0002565508914232</v>
      </c>
      <c r="S90" s="178">
        <f>'(c)'!S53/'(c)'!R53</f>
        <v>1.0001558941865774</v>
      </c>
      <c r="T90" s="178">
        <f>'(c)'!T53/'(c)'!S53</f>
        <v>1.0000207350307297</v>
      </c>
      <c r="U90" s="178">
        <f>'(c)'!U53/'(c)'!T53</f>
        <v>1.0000025929211875</v>
      </c>
      <c r="V90" s="178">
        <f>'(c)'!V53/'(c)'!U53</f>
        <v>1.0000005548370317</v>
      </c>
      <c r="W90" s="178">
        <f>'(c)'!W53/'(c)'!V53</f>
        <v>1</v>
      </c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</row>
    <row r="91" spans="2:35" x14ac:dyDescent="0.25">
      <c r="B91" s="78">
        <f t="shared" si="2"/>
        <v>3874416</v>
      </c>
      <c r="C91" s="73" t="s">
        <v>113</v>
      </c>
      <c r="D91" s="179" t="s">
        <v>249</v>
      </c>
      <c r="E91" s="178">
        <f>'(c)'!E54/'(c)'!D54</f>
        <v>4.0735913573397351</v>
      </c>
      <c r="F91" s="178">
        <f>'(c)'!F54/'(c)'!E54</f>
        <v>1.3392191769480783</v>
      </c>
      <c r="G91" s="178">
        <f>'(c)'!G54/'(c)'!F54</f>
        <v>1.126356524078242</v>
      </c>
      <c r="H91" s="178">
        <f>'(c)'!H54/'(c)'!G54</f>
        <v>1.0690861894527173</v>
      </c>
      <c r="I91" s="178">
        <f>'(c)'!I54/'(c)'!H54</f>
        <v>1.043050757739576</v>
      </c>
      <c r="J91" s="178">
        <f>'(c)'!J54/'(c)'!I54</f>
        <v>1.0383371066443832</v>
      </c>
      <c r="K91" s="178">
        <f>'(c)'!K54/'(c)'!J54</f>
        <v>1.0218231158604099</v>
      </c>
      <c r="L91" s="178">
        <f>'(c)'!L54/'(c)'!K54</f>
        <v>1.018919381747929</v>
      </c>
      <c r="M91" s="178">
        <f>'(c)'!M54/'(c)'!L54</f>
        <v>1.0139300935613684</v>
      </c>
      <c r="N91" s="178">
        <f>'(c)'!N54/'(c)'!M54</f>
        <v>1.0096047645133472</v>
      </c>
      <c r="O91" s="178">
        <f>'(c)'!O54/'(c)'!N54</f>
        <v>1.0064983418057676</v>
      </c>
      <c r="P91" s="178">
        <f>'(c)'!P54/'(c)'!O54</f>
        <v>1.0040130677418926</v>
      </c>
      <c r="Q91" s="178">
        <f>'(c)'!Q54/'(c)'!P54</f>
        <v>1.0015139882327575</v>
      </c>
      <c r="R91" s="178">
        <f>'(c)'!R54/'(c)'!Q54</f>
        <v>1.0002880202781268</v>
      </c>
      <c r="S91" s="178">
        <f>'(c)'!S54/'(c)'!R54</f>
        <v>1.0000773829245557</v>
      </c>
      <c r="T91" s="178">
        <f>'(c)'!T54/'(c)'!S54</f>
        <v>1.0000156647865774</v>
      </c>
      <c r="U91" s="178">
        <f>'(c)'!U54/'(c)'!T54</f>
        <v>1.0000012664521762</v>
      </c>
      <c r="V91" s="178">
        <f>'(c)'!V54/'(c)'!U54</f>
        <v>1</v>
      </c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</row>
    <row r="92" spans="2:35" x14ac:dyDescent="0.25">
      <c r="B92" s="78">
        <f t="shared" si="2"/>
        <v>3866938</v>
      </c>
      <c r="C92" s="73" t="s">
        <v>112</v>
      </c>
      <c r="D92" s="179" t="s">
        <v>249</v>
      </c>
      <c r="E92" s="178">
        <f>'(c)'!E55/'(c)'!D55</f>
        <v>3.3403247086245615</v>
      </c>
      <c r="F92" s="178">
        <f>'(c)'!F55/'(c)'!E55</f>
        <v>1.30259465292266</v>
      </c>
      <c r="G92" s="178">
        <f>'(c)'!G55/'(c)'!F55</f>
        <v>1.1244378078525012</v>
      </c>
      <c r="H92" s="178">
        <f>'(c)'!H55/'(c)'!G55</f>
        <v>1.0575183793567622</v>
      </c>
      <c r="I92" s="178">
        <f>'(c)'!I55/'(c)'!H55</f>
        <v>1.052387911917686</v>
      </c>
      <c r="J92" s="178">
        <f>'(c)'!J55/'(c)'!I55</f>
        <v>1.0319382036948035</v>
      </c>
      <c r="K92" s="178">
        <f>'(c)'!K55/'(c)'!J55</f>
        <v>1.021752638437124</v>
      </c>
      <c r="L92" s="178">
        <f>'(c)'!L55/'(c)'!K55</f>
        <v>1.0192021401402624</v>
      </c>
      <c r="M92" s="178">
        <f>'(c)'!M55/'(c)'!L55</f>
        <v>1.0154993085896296</v>
      </c>
      <c r="N92" s="178">
        <f>'(c)'!N55/'(c)'!M55</f>
        <v>1.00947637340284</v>
      </c>
      <c r="O92" s="178">
        <f>'(c)'!O55/'(c)'!N55</f>
        <v>1.006814881095794</v>
      </c>
      <c r="P92" s="178">
        <f>'(c)'!P55/'(c)'!O55</f>
        <v>1.0045740277389272</v>
      </c>
      <c r="Q92" s="178">
        <f>'(c)'!Q55/'(c)'!P55</f>
        <v>1.0008185394021438</v>
      </c>
      <c r="R92" s="178">
        <f>'(c)'!R55/'(c)'!Q55</f>
        <v>1.0003432465188109</v>
      </c>
      <c r="S92" s="178">
        <f>'(c)'!S55/'(c)'!R55</f>
        <v>1.0001269544222757</v>
      </c>
      <c r="T92" s="178">
        <f>'(c)'!T55/'(c)'!S55</f>
        <v>1.0000159674077043</v>
      </c>
      <c r="U92" s="178">
        <f>'(c)'!U55/'(c)'!T55</f>
        <v>1.0000008855642999</v>
      </c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</row>
    <row r="93" spans="2:35" x14ac:dyDescent="0.25">
      <c r="B93" s="78">
        <f t="shared" si="2"/>
        <v>3861213</v>
      </c>
      <c r="C93" s="73" t="s">
        <v>111</v>
      </c>
      <c r="D93" s="179" t="s">
        <v>249</v>
      </c>
      <c r="E93" s="178">
        <f>'(c)'!E56/'(c)'!D56</f>
        <v>3.4114567461821275</v>
      </c>
      <c r="F93" s="178">
        <f>'(c)'!F56/'(c)'!E56</f>
        <v>1.3087392071658956</v>
      </c>
      <c r="G93" s="178">
        <f>'(c)'!G56/'(c)'!F56</f>
        <v>1.114217824550219</v>
      </c>
      <c r="H93" s="178">
        <f>'(c)'!H56/'(c)'!G56</f>
        <v>1.0688185952174549</v>
      </c>
      <c r="I93" s="178">
        <f>'(c)'!I56/'(c)'!H56</f>
        <v>1.0466280781478676</v>
      </c>
      <c r="J93" s="178">
        <f>'(c)'!J56/'(c)'!I56</f>
        <v>1.0295222450852941</v>
      </c>
      <c r="K93" s="178">
        <f>'(c)'!K56/'(c)'!J56</f>
        <v>1.0256552610522391</v>
      </c>
      <c r="L93" s="178">
        <f>'(c)'!L56/'(c)'!K56</f>
        <v>1.0213595529012687</v>
      </c>
      <c r="M93" s="178">
        <f>'(c)'!M56/'(c)'!L56</f>
        <v>1.0123467283843399</v>
      </c>
      <c r="N93" s="178">
        <f>'(c)'!N56/'(c)'!M56</f>
        <v>1.0095440515115348</v>
      </c>
      <c r="O93" s="178">
        <f>'(c)'!O56/'(c)'!N56</f>
        <v>1.0081632043539637</v>
      </c>
      <c r="P93" s="178">
        <f>'(c)'!P56/'(c)'!O56</f>
        <v>1.0035003062247283</v>
      </c>
      <c r="Q93" s="178">
        <f>'(c)'!Q56/'(c)'!P56</f>
        <v>1.0005045136572597</v>
      </c>
      <c r="R93" s="178">
        <f>'(c)'!R56/'(c)'!Q56</f>
        <v>1.0001881372617363</v>
      </c>
      <c r="S93" s="178">
        <f>'(c)'!S56/'(c)'!R56</f>
        <v>1.000080058487385</v>
      </c>
      <c r="T93" s="178">
        <f>'(c)'!T56/'(c)'!S56</f>
        <v>1.0000127751500227</v>
      </c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</row>
    <row r="94" spans="2:35" x14ac:dyDescent="0.25">
      <c r="B94" s="78">
        <f t="shared" si="2"/>
        <v>3836568</v>
      </c>
      <c r="C94" s="73" t="s">
        <v>110</v>
      </c>
      <c r="D94" s="179" t="s">
        <v>249</v>
      </c>
      <c r="E94" s="178">
        <f>'(c)'!E57/'(c)'!D57</f>
        <v>3.7660870091097194</v>
      </c>
      <c r="F94" s="178">
        <f>'(c)'!F57/'(c)'!E57</f>
        <v>1.2912047764062693</v>
      </c>
      <c r="G94" s="178">
        <f>'(c)'!G57/'(c)'!F57</f>
        <v>1.1053756777785047</v>
      </c>
      <c r="H94" s="178">
        <f>'(c)'!H57/'(c)'!G57</f>
        <v>1.0764385200449129</v>
      </c>
      <c r="I94" s="178">
        <f>'(c)'!I57/'(c)'!H57</f>
        <v>1.0419652172930844</v>
      </c>
      <c r="J94" s="178">
        <f>'(c)'!J57/'(c)'!I57</f>
        <v>1.0343589016286066</v>
      </c>
      <c r="K94" s="178">
        <f>'(c)'!K57/'(c)'!J57</f>
        <v>1.0251765508139519</v>
      </c>
      <c r="L94" s="178">
        <f>'(c)'!L57/'(c)'!K57</f>
        <v>1.0155826211296597</v>
      </c>
      <c r="M94" s="178">
        <f>'(c)'!M57/'(c)'!L57</f>
        <v>1.0143751462360238</v>
      </c>
      <c r="N94" s="178">
        <f>'(c)'!N57/'(c)'!M57</f>
        <v>1.0111981550525486</v>
      </c>
      <c r="O94" s="178">
        <f>'(c)'!O57/'(c)'!N57</f>
        <v>1.0074252416555483</v>
      </c>
      <c r="P94" s="178">
        <f>'(c)'!P57/'(c)'!O57</f>
        <v>1.0024527093982218</v>
      </c>
      <c r="Q94" s="178">
        <f>'(c)'!Q57/'(c)'!P57</f>
        <v>1.0010291839505945</v>
      </c>
      <c r="R94" s="178">
        <f>'(c)'!R57/'(c)'!Q57</f>
        <v>1.0002219082372024</v>
      </c>
      <c r="S94" s="178">
        <f>'(c)'!S57/'(c)'!R57</f>
        <v>1.0000350003777967</v>
      </c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</row>
    <row r="95" spans="2:35" x14ac:dyDescent="0.25">
      <c r="B95" s="78">
        <f t="shared" si="2"/>
        <v>3825850</v>
      </c>
      <c r="C95" s="73" t="s">
        <v>109</v>
      </c>
      <c r="D95" s="179" t="s">
        <v>249</v>
      </c>
      <c r="E95" s="178">
        <f>'(c)'!E58/'(c)'!D58</f>
        <v>3.4424762932718362</v>
      </c>
      <c r="F95" s="178">
        <f>'(c)'!F58/'(c)'!E58</f>
        <v>1.2967698082924284</v>
      </c>
      <c r="G95" s="178">
        <f>'(c)'!G58/'(c)'!F58</f>
        <v>1.1174655843593975</v>
      </c>
      <c r="H95" s="178">
        <f>'(c)'!H58/'(c)'!G58</f>
        <v>1.0763115989627106</v>
      </c>
      <c r="I95" s="178">
        <f>'(c)'!I58/'(c)'!H58</f>
        <v>1.0519945292099613</v>
      </c>
      <c r="J95" s="178">
        <f>'(c)'!J58/'(c)'!I58</f>
        <v>1.0396118996504242</v>
      </c>
      <c r="K95" s="178">
        <f>'(c)'!K58/'(c)'!J58</f>
        <v>1.0214025916725251</v>
      </c>
      <c r="L95" s="178">
        <f>'(c)'!L58/'(c)'!K58</f>
        <v>1.0186309183579958</v>
      </c>
      <c r="M95" s="178">
        <f>'(c)'!M58/'(c)'!L58</f>
        <v>1.0127610321915814</v>
      </c>
      <c r="N95" s="178">
        <f>'(c)'!N58/'(c)'!M58</f>
        <v>1.0103074794814473</v>
      </c>
      <c r="O95" s="178">
        <f>'(c)'!O58/'(c)'!N58</f>
        <v>1.0046128904086584</v>
      </c>
      <c r="P95" s="178">
        <f>'(c)'!P58/'(c)'!O58</f>
        <v>1.0028296370542451</v>
      </c>
      <c r="Q95" s="178">
        <f>'(c)'!Q58/'(c)'!P58</f>
        <v>1.0009314649616852</v>
      </c>
      <c r="R95" s="178">
        <f>'(c)'!R58/'(c)'!Q58</f>
        <v>1.0001413812708162</v>
      </c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</row>
    <row r="96" spans="2:35" x14ac:dyDescent="0.25">
      <c r="B96" s="78">
        <f t="shared" si="2"/>
        <v>3810668</v>
      </c>
      <c r="C96" s="73" t="s">
        <v>108</v>
      </c>
      <c r="D96" s="179" t="s">
        <v>249</v>
      </c>
      <c r="E96" s="178">
        <f>'(c)'!E59/'(c)'!D59</f>
        <v>3.757798397365669</v>
      </c>
      <c r="F96" s="178">
        <f>'(c)'!F59/'(c)'!E59</f>
        <v>1.2793964624432659</v>
      </c>
      <c r="G96" s="178">
        <f>'(c)'!G59/'(c)'!F59</f>
        <v>1.1301374124641117</v>
      </c>
      <c r="H96" s="178">
        <f>'(c)'!H59/'(c)'!G59</f>
        <v>1.0775342554471641</v>
      </c>
      <c r="I96" s="178">
        <f>'(c)'!I59/'(c)'!H59</f>
        <v>1.0611500799315912</v>
      </c>
      <c r="J96" s="178">
        <f>'(c)'!J59/'(c)'!I59</f>
        <v>1.0327015712594145</v>
      </c>
      <c r="K96" s="178">
        <f>'(c)'!K59/'(c)'!J59</f>
        <v>1.0254367612767303</v>
      </c>
      <c r="L96" s="178">
        <f>'(c)'!L59/'(c)'!K59</f>
        <v>1.0199400834773669</v>
      </c>
      <c r="M96" s="178">
        <f>'(c)'!M59/'(c)'!L59</f>
        <v>1.0123737806937458</v>
      </c>
      <c r="N96" s="178">
        <f>'(c)'!N59/'(c)'!M59</f>
        <v>1.0071178469312803</v>
      </c>
      <c r="O96" s="178">
        <f>'(c)'!O59/'(c)'!N59</f>
        <v>1.0061721827187553</v>
      </c>
      <c r="P96" s="178">
        <f>'(c)'!P59/'(c)'!O59</f>
        <v>1.0032482731081553</v>
      </c>
      <c r="Q96" s="178">
        <f>'(c)'!Q59/'(c)'!P59</f>
        <v>1.0004556134288722</v>
      </c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</row>
    <row r="97" spans="1:35" x14ac:dyDescent="0.25">
      <c r="B97" s="78">
        <f t="shared" si="2"/>
        <v>3797329</v>
      </c>
      <c r="C97" s="73" t="s">
        <v>107</v>
      </c>
      <c r="D97" s="179" t="s">
        <v>249</v>
      </c>
      <c r="E97" s="178">
        <f>'(c)'!E60/'(c)'!D60</f>
        <v>3.3599092606431809</v>
      </c>
      <c r="F97" s="178">
        <f>'(c)'!F60/'(c)'!E60</f>
        <v>1.3130445775700106</v>
      </c>
      <c r="G97" s="178">
        <f>'(c)'!G60/'(c)'!F60</f>
        <v>1.1335336271960532</v>
      </c>
      <c r="H97" s="178">
        <f>'(c)'!H60/'(c)'!G60</f>
        <v>1.0878427344002133</v>
      </c>
      <c r="I97" s="178">
        <f>'(c)'!I60/'(c)'!H60</f>
        <v>1.0436327677632511</v>
      </c>
      <c r="J97" s="178">
        <f>'(c)'!J60/'(c)'!I60</f>
        <v>1.0334962183749292</v>
      </c>
      <c r="K97" s="178">
        <f>'(c)'!K60/'(c)'!J60</f>
        <v>1.0248094907319945</v>
      </c>
      <c r="L97" s="178">
        <f>'(c)'!L60/'(c)'!K60</f>
        <v>1.0167514743368764</v>
      </c>
      <c r="M97" s="178">
        <f>'(c)'!M60/'(c)'!L60</f>
        <v>1.0119746872148332</v>
      </c>
      <c r="N97" s="178">
        <f>'(c)'!N60/'(c)'!M60</f>
        <v>1.0075388040402511</v>
      </c>
      <c r="O97" s="178">
        <f>'(c)'!O60/'(c)'!N60</f>
        <v>1.0042306909433421</v>
      </c>
      <c r="P97" s="178">
        <f>'(c)'!P60/'(c)'!O60</f>
        <v>1.001393706779486</v>
      </c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</row>
    <row r="98" spans="1:35" x14ac:dyDescent="0.25">
      <c r="B98" s="78">
        <f t="shared" si="2"/>
        <v>3799900</v>
      </c>
      <c r="C98" s="73" t="s">
        <v>106</v>
      </c>
      <c r="D98" s="179" t="s">
        <v>249</v>
      </c>
      <c r="E98" s="178">
        <f>'(c)'!E61/'(c)'!D61</f>
        <v>3.4955792784974138</v>
      </c>
      <c r="F98" s="178">
        <f>'(c)'!F61/'(c)'!E61</f>
        <v>1.3221054703253405</v>
      </c>
      <c r="G98" s="178">
        <f>'(c)'!G61/'(c)'!F61</f>
        <v>1.1432261669988597</v>
      </c>
      <c r="H98" s="178">
        <f>'(c)'!H61/'(c)'!G61</f>
        <v>1.0775475112723172</v>
      </c>
      <c r="I98" s="178">
        <f>'(c)'!I61/'(c)'!H61</f>
        <v>1.0545232240499223</v>
      </c>
      <c r="J98" s="178">
        <f>'(c)'!J61/'(c)'!I61</f>
        <v>1.037114054952019</v>
      </c>
      <c r="K98" s="178">
        <f>'(c)'!K61/'(c)'!J61</f>
        <v>1.018778216409242</v>
      </c>
      <c r="L98" s="178">
        <f>'(c)'!L61/'(c)'!K61</f>
        <v>1.0121856646707266</v>
      </c>
      <c r="M98" s="178">
        <f>'(c)'!M61/'(c)'!L61</f>
        <v>1.008049508836937</v>
      </c>
      <c r="N98" s="178">
        <f>'(c)'!N61/'(c)'!M61</f>
        <v>1.0060330368771511</v>
      </c>
      <c r="O98" s="178">
        <f>'(c)'!O61/'(c)'!N61</f>
        <v>1.0035061363748898</v>
      </c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</row>
    <row r="99" spans="1:35" x14ac:dyDescent="0.25">
      <c r="B99" s="78">
        <f t="shared" si="2"/>
        <v>3796860</v>
      </c>
      <c r="C99" s="73" t="s">
        <v>105</v>
      </c>
      <c r="D99" s="179" t="s">
        <v>249</v>
      </c>
      <c r="E99" s="178">
        <f>'(c)'!E62/'(c)'!D62</f>
        <v>3.3786276080125717</v>
      </c>
      <c r="F99" s="178">
        <f>'(c)'!F62/'(c)'!E62</f>
        <v>1.3633377428846234</v>
      </c>
      <c r="G99" s="178">
        <f>'(c)'!G62/'(c)'!F62</f>
        <v>1.133985667776445</v>
      </c>
      <c r="H99" s="178">
        <f>'(c)'!H62/'(c)'!G62</f>
        <v>1.0962610063965355</v>
      </c>
      <c r="I99" s="178">
        <f>'(c)'!I62/'(c)'!H62</f>
        <v>1.0574780751209281</v>
      </c>
      <c r="J99" s="178">
        <f>'(c)'!J62/'(c)'!I62</f>
        <v>1.0292191584779051</v>
      </c>
      <c r="K99" s="178">
        <f>'(c)'!K62/'(c)'!J62</f>
        <v>1.0171957706161971</v>
      </c>
      <c r="L99" s="178">
        <f>'(c)'!L62/'(c)'!K62</f>
        <v>1.0085039380189371</v>
      </c>
      <c r="M99" s="178">
        <f>'(c)'!M62/'(c)'!L62</f>
        <v>1.0064880396162477</v>
      </c>
      <c r="N99" s="178">
        <f>'(c)'!N62/'(c)'!M62</f>
        <v>1.0050928995116863</v>
      </c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</row>
    <row r="100" spans="1:35" x14ac:dyDescent="0.25">
      <c r="B100" s="78">
        <f t="shared" si="2"/>
        <v>3795321</v>
      </c>
      <c r="C100" s="73" t="s">
        <v>104</v>
      </c>
      <c r="D100" s="179" t="s">
        <v>249</v>
      </c>
      <c r="E100" s="178">
        <f>'(c)'!E63/'(c)'!D63</f>
        <v>3.6047085558908383</v>
      </c>
      <c r="F100" s="178">
        <f>'(c)'!F63/'(c)'!E63</f>
        <v>1.3257363090485423</v>
      </c>
      <c r="G100" s="178">
        <f>'(c)'!G63/'(c)'!F63</f>
        <v>1.1535495951519705</v>
      </c>
      <c r="H100" s="178">
        <f>'(c)'!H63/'(c)'!G63</f>
        <v>1.1060526658877277</v>
      </c>
      <c r="I100" s="178">
        <f>'(c)'!I63/'(c)'!H63</f>
        <v>1.0454713907430868</v>
      </c>
      <c r="J100" s="178">
        <f>'(c)'!J63/'(c)'!I63</f>
        <v>1.0268963523982066</v>
      </c>
      <c r="K100" s="178">
        <f>'(c)'!K63/'(c)'!J63</f>
        <v>1.0137588952982579</v>
      </c>
      <c r="L100" s="178">
        <f>'(c)'!L63/'(c)'!K63</f>
        <v>1.0090340918279894</v>
      </c>
      <c r="M100" s="178">
        <f>'(c)'!M63/'(c)'!L63</f>
        <v>1.0064644215017307</v>
      </c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</row>
    <row r="101" spans="1:35" x14ac:dyDescent="0.25">
      <c r="B101" s="78">
        <f t="shared" si="2"/>
        <v>3800988</v>
      </c>
      <c r="C101" s="73" t="s">
        <v>103</v>
      </c>
      <c r="D101" s="179" t="s">
        <v>249</v>
      </c>
      <c r="E101" s="178">
        <f>'(c)'!E64/'(c)'!D64</f>
        <v>3.3878559577241747</v>
      </c>
      <c r="F101" s="178">
        <f>'(c)'!F64/'(c)'!E64</f>
        <v>1.3890149702138834</v>
      </c>
      <c r="G101" s="178">
        <f>'(c)'!G64/'(c)'!F64</f>
        <v>1.1754100485314423</v>
      </c>
      <c r="H101" s="178">
        <f>'(c)'!H64/'(c)'!G64</f>
        <v>1.0866264576436691</v>
      </c>
      <c r="I101" s="178">
        <f>'(c)'!I64/'(c)'!H64</f>
        <v>1.0407610162343526</v>
      </c>
      <c r="J101" s="178">
        <f>'(c)'!J64/'(c)'!I64</f>
        <v>1.0216099382574588</v>
      </c>
      <c r="K101" s="178">
        <f>'(c)'!K64/'(c)'!J64</f>
        <v>1.0144026054134758</v>
      </c>
      <c r="L101" s="178">
        <f>'(c)'!L64/'(c)'!K64</f>
        <v>1.0124883281675672</v>
      </c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</row>
    <row r="102" spans="1:35" x14ac:dyDescent="0.25">
      <c r="B102" s="78">
        <f t="shared" si="2"/>
        <v>3697596</v>
      </c>
      <c r="C102" s="73" t="s">
        <v>98</v>
      </c>
      <c r="D102" s="179" t="s">
        <v>249</v>
      </c>
      <c r="E102" s="178">
        <f>'(c)'!E65/'(c)'!D65</f>
        <v>3.5997216396223002</v>
      </c>
      <c r="F102" s="178">
        <f>'(c)'!F65/'(c)'!E65</f>
        <v>1.3943849350098356</v>
      </c>
      <c r="G102" s="178">
        <f>'(c)'!G65/'(c)'!F65</f>
        <v>1.1519458765063599</v>
      </c>
      <c r="H102" s="178">
        <f>'(c)'!H65/'(c)'!G65</f>
        <v>1.0683504033786568</v>
      </c>
      <c r="I102" s="178">
        <f>'(c)'!I65/'(c)'!H65</f>
        <v>1.0416863602119417</v>
      </c>
      <c r="J102" s="178">
        <f>'(c)'!J65/'(c)'!I65</f>
        <v>1.0249827714699582</v>
      </c>
      <c r="K102" s="178">
        <f>'(c)'!K65/'(c)'!J65</f>
        <v>1.0151941866728784</v>
      </c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</row>
    <row r="103" spans="1:35" x14ac:dyDescent="0.25">
      <c r="B103" s="78">
        <f t="shared" si="2"/>
        <v>3686785</v>
      </c>
      <c r="C103" s="73" t="s">
        <v>97</v>
      </c>
      <c r="D103" s="179" t="s">
        <v>249</v>
      </c>
      <c r="E103" s="178">
        <f>'(c)'!E66/'(c)'!D66</f>
        <v>3.756681392267375</v>
      </c>
      <c r="F103" s="178">
        <f>'(c)'!F66/'(c)'!E66</f>
        <v>1.3539302656516214</v>
      </c>
      <c r="G103" s="178">
        <f>'(c)'!G66/'(c)'!F66</f>
        <v>1.1299549286486583</v>
      </c>
      <c r="H103" s="178">
        <f>'(c)'!H66/'(c)'!G66</f>
        <v>1.0717201330350381</v>
      </c>
      <c r="I103" s="178">
        <f>'(c)'!I66/'(c)'!H66</f>
        <v>1.0331536159324908</v>
      </c>
      <c r="J103" s="178">
        <f>'(c)'!J66/'(c)'!I66</f>
        <v>1.027714882560693</v>
      </c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</row>
    <row r="104" spans="1:35" x14ac:dyDescent="0.25">
      <c r="B104" s="78">
        <f t="shared" si="2"/>
        <v>3686904</v>
      </c>
      <c r="C104" s="73" t="s">
        <v>96</v>
      </c>
      <c r="D104" s="179" t="s">
        <v>249</v>
      </c>
      <c r="E104" s="178">
        <f>'(c)'!E67/'(c)'!D67</f>
        <v>3.2261017581633706</v>
      </c>
      <c r="F104" s="178">
        <f>'(c)'!F67/'(c)'!E67</f>
        <v>1.3258054410206181</v>
      </c>
      <c r="G104" s="178">
        <f>'(c)'!G67/'(c)'!F67</f>
        <v>1.1245609984760723</v>
      </c>
      <c r="H104" s="178">
        <f>'(c)'!H67/'(c)'!G67</f>
        <v>1.0617042692353202</v>
      </c>
      <c r="I104" s="178">
        <f>'(c)'!I67/'(c)'!H67</f>
        <v>1.0424169527355474</v>
      </c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</row>
    <row r="105" spans="1:35" x14ac:dyDescent="0.25">
      <c r="B105" s="78">
        <f t="shared" si="2"/>
        <v>3699255</v>
      </c>
      <c r="C105" s="73" t="s">
        <v>95</v>
      </c>
      <c r="D105" s="179" t="s">
        <v>249</v>
      </c>
      <c r="E105" s="178">
        <f>'(c)'!E68/'(c)'!D68</f>
        <v>3.4828666612393393</v>
      </c>
      <c r="F105" s="178">
        <f>'(c)'!F68/'(c)'!E68</f>
        <v>1.2985428057956352</v>
      </c>
      <c r="G105" s="178">
        <f>'(c)'!G68/'(c)'!F68</f>
        <v>1.1292844447748336</v>
      </c>
      <c r="H105" s="178">
        <f>'(c)'!H68/'(c)'!G68</f>
        <v>1.070634580446804</v>
      </c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</row>
    <row r="106" spans="1:35" x14ac:dyDescent="0.25">
      <c r="B106" s="78">
        <f t="shared" si="2"/>
        <v>3686935</v>
      </c>
      <c r="C106" s="73" t="s">
        <v>94</v>
      </c>
      <c r="D106" s="179" t="s">
        <v>249</v>
      </c>
      <c r="E106" s="178">
        <f>'(c)'!E69/'(c)'!D69</f>
        <v>3.1702941593319847</v>
      </c>
      <c r="F106" s="178">
        <f>'(c)'!F69/'(c)'!E69</f>
        <v>1.2923348457163597</v>
      </c>
      <c r="G106" s="178">
        <f>'(c)'!G69/'(c)'!F69</f>
        <v>1.1483210318182333</v>
      </c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  <c r="AF106" s="178"/>
      <c r="AG106" s="178"/>
      <c r="AH106" s="178"/>
      <c r="AI106" s="178"/>
    </row>
    <row r="107" spans="1:35" x14ac:dyDescent="0.25">
      <c r="B107" s="78">
        <f t="shared" si="2"/>
        <v>3692581</v>
      </c>
      <c r="C107" s="73" t="s">
        <v>93</v>
      </c>
      <c r="D107" s="179" t="s">
        <v>249</v>
      </c>
      <c r="E107" s="178">
        <f>'(c)'!E70/'(c)'!D70</f>
        <v>3.1991533323837262</v>
      </c>
      <c r="F107" s="178">
        <f>'(c)'!F70/'(c)'!E70</f>
        <v>1.3371498916248741</v>
      </c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</row>
    <row r="108" spans="1:35" x14ac:dyDescent="0.25">
      <c r="B108" s="78">
        <f t="shared" si="2"/>
        <v>3688179</v>
      </c>
      <c r="C108" s="73" t="s">
        <v>102</v>
      </c>
      <c r="D108" s="179" t="s">
        <v>249</v>
      </c>
      <c r="E108" s="178">
        <f>'(c)'!E71/'(c)'!D71</f>
        <v>3.5484585885168936</v>
      </c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</row>
    <row r="109" spans="1:35" x14ac:dyDescent="0.25">
      <c r="C109" s="73" t="s">
        <v>101</v>
      </c>
      <c r="D109" s="179" t="s">
        <v>249</v>
      </c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</row>
    <row r="110" spans="1:35" x14ac:dyDescent="0.25">
      <c r="C110" s="73"/>
      <c r="D110" s="184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</row>
    <row r="111" spans="1:35" x14ac:dyDescent="0.25">
      <c r="A111" s="74" t="s">
        <v>335</v>
      </c>
      <c r="C111" s="73"/>
      <c r="D111" s="184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</row>
    <row r="112" spans="1:35" x14ac:dyDescent="0.25">
      <c r="C112" s="79" t="s">
        <v>334</v>
      </c>
      <c r="D112" s="182">
        <v>0</v>
      </c>
      <c r="E112" s="180">
        <v>1</v>
      </c>
      <c r="F112" s="180">
        <v>2</v>
      </c>
      <c r="G112" s="180">
        <v>3</v>
      </c>
      <c r="H112" s="180">
        <v>4</v>
      </c>
      <c r="I112" s="180">
        <v>5</v>
      </c>
      <c r="J112" s="180">
        <v>6</v>
      </c>
      <c r="K112" s="180">
        <v>7</v>
      </c>
      <c r="L112" s="180">
        <v>8</v>
      </c>
      <c r="M112" s="180">
        <v>9</v>
      </c>
      <c r="N112" s="180">
        <v>10</v>
      </c>
      <c r="O112" s="180">
        <v>11</v>
      </c>
      <c r="P112" s="180">
        <v>12</v>
      </c>
      <c r="Q112" s="181">
        <v>13</v>
      </c>
      <c r="R112" s="180">
        <v>14</v>
      </c>
      <c r="S112" s="180">
        <v>15</v>
      </c>
      <c r="T112" s="180">
        <v>16</v>
      </c>
      <c r="U112" s="180">
        <v>17</v>
      </c>
      <c r="V112" s="180">
        <v>18</v>
      </c>
      <c r="W112" s="180">
        <v>19</v>
      </c>
      <c r="X112" s="180">
        <v>20</v>
      </c>
      <c r="Y112" s="180">
        <v>21</v>
      </c>
      <c r="Z112" s="180">
        <v>22</v>
      </c>
      <c r="AA112" s="180">
        <v>23</v>
      </c>
      <c r="AB112" s="180">
        <v>24</v>
      </c>
      <c r="AC112" s="180">
        <v>25</v>
      </c>
      <c r="AD112" s="180">
        <v>26</v>
      </c>
      <c r="AE112" s="180">
        <v>27</v>
      </c>
      <c r="AF112" s="180">
        <v>28</v>
      </c>
      <c r="AG112" s="180">
        <v>29</v>
      </c>
      <c r="AH112" s="180">
        <v>30</v>
      </c>
      <c r="AI112" s="180">
        <v>31</v>
      </c>
    </row>
    <row r="113" spans="1:35" x14ac:dyDescent="0.25">
      <c r="C113" s="71" t="s">
        <v>333</v>
      </c>
      <c r="D113" s="179" t="s">
        <v>249</v>
      </c>
      <c r="E113" s="178">
        <f>AVERAGE(E106:E108)</f>
        <v>3.3059686934108683</v>
      </c>
      <c r="F113" s="178">
        <f>AVERAGE(F105:F107)</f>
        <v>1.3093425143789563</v>
      </c>
      <c r="G113" s="178">
        <f>AVERAGE(G104:G106)</f>
        <v>1.134055491689713</v>
      </c>
      <c r="H113" s="178">
        <f>AVERAGE(H103:H105)</f>
        <v>1.0680196609057206</v>
      </c>
      <c r="I113" s="178">
        <f>AVERAGE(I102:I104)</f>
        <v>1.0390856429599935</v>
      </c>
      <c r="J113" s="178">
        <f>AVERAGE(J101:J103)</f>
        <v>1.02476919742937</v>
      </c>
      <c r="K113" s="178">
        <f>AVERAGE(K100:K102)</f>
        <v>1.0144518957948707</v>
      </c>
      <c r="L113" s="178">
        <f>AVERAGE(L99:L101)</f>
        <v>1.0100087860048312</v>
      </c>
      <c r="M113" s="178">
        <f>AVERAGE(M98:M100)</f>
        <v>1.0070006566516385</v>
      </c>
      <c r="N113" s="178">
        <f>AVERAGE(N97:N99)</f>
        <v>1.0062215801430294</v>
      </c>
      <c r="O113" s="178">
        <f>AVERAGE(O96:O98)</f>
        <v>1.0046363366789957</v>
      </c>
      <c r="P113" s="178">
        <f>AVERAGE(P95:P97)</f>
        <v>1.0024905389806289</v>
      </c>
      <c r="Q113" s="178">
        <f>AVERAGE(Q94:Q96)</f>
        <v>1.000805420780384</v>
      </c>
      <c r="R113" s="178">
        <f>AVERAGE(R93:R95)</f>
        <v>1.0001838089232515</v>
      </c>
      <c r="S113" s="178">
        <f>AVERAGE(S92:S94)</f>
        <v>1.0000806710958192</v>
      </c>
      <c r="T113" s="178">
        <f>AVERAGE(T91:T93)</f>
        <v>1.0000148024481015</v>
      </c>
      <c r="U113" s="178">
        <f>AVERAGE(U90:U92)</f>
        <v>1.000001581645888</v>
      </c>
      <c r="V113" s="178">
        <f>AVERAGE(V89:V91)</f>
        <v>1.0000001849456772</v>
      </c>
      <c r="W113" s="178">
        <f>AVERAGE(W88:W90)</f>
        <v>1</v>
      </c>
      <c r="X113" s="178">
        <f>AVERAGE(X87:X89)</f>
        <v>1</v>
      </c>
      <c r="Y113" s="178">
        <f>AVERAGE(Y86:Y88)</f>
        <v>1</v>
      </c>
      <c r="Z113" s="178">
        <f>AVERAGE(Z85:Z87)</f>
        <v>1</v>
      </c>
      <c r="AA113" s="178">
        <f>AVERAGE(AA84:AA86)</f>
        <v>1</v>
      </c>
      <c r="AB113" s="178">
        <f>AVERAGE(AB83:AB85)</f>
        <v>1</v>
      </c>
      <c r="AC113" s="178">
        <f>AVERAGE(AC82:AC84)</f>
        <v>1</v>
      </c>
      <c r="AD113" s="178">
        <f>AVERAGE(AD81:AD83)</f>
        <v>1</v>
      </c>
      <c r="AE113" s="178">
        <f>AVERAGE(AE80:AE82)</f>
        <v>1</v>
      </c>
      <c r="AF113" s="178">
        <f>AVERAGE(AF79:AF81)</f>
        <v>1</v>
      </c>
      <c r="AG113" s="178">
        <f>AVERAGE(AG78:AG80)</f>
        <v>1</v>
      </c>
      <c r="AH113" s="71"/>
      <c r="AI113" s="71"/>
    </row>
    <row r="114" spans="1:35" x14ac:dyDescent="0.25">
      <c r="C114" s="71" t="s">
        <v>332</v>
      </c>
      <c r="D114" s="179" t="s">
        <v>249</v>
      </c>
      <c r="E114" s="178">
        <f>AVERAGE(E103:E108)</f>
        <v>3.3972593153171147</v>
      </c>
      <c r="F114" s="178">
        <f>AVERAGE(F102:F107)</f>
        <v>1.3336913641364907</v>
      </c>
      <c r="G114" s="178">
        <f>AVERAGE(G101:G106)</f>
        <v>1.1432462214592667</v>
      </c>
      <c r="H114" s="178">
        <f>AVERAGE(H100:H105)</f>
        <v>1.077514751604536</v>
      </c>
      <c r="I114" s="178">
        <f>AVERAGE(I99:I104)</f>
        <v>1.043494568496391</v>
      </c>
      <c r="J114" s="178">
        <f>AVERAGE(J98:J103)</f>
        <v>1.0279228596860401</v>
      </c>
      <c r="K114" s="178">
        <f>AVERAGE(K97:K102)</f>
        <v>1.0173565275236744</v>
      </c>
      <c r="L114" s="178">
        <f>AVERAGE(L96:L101)</f>
        <v>1.0131505967499106</v>
      </c>
      <c r="M114" s="178">
        <f>AVERAGE(M95:M100)</f>
        <v>1.0096852450091793</v>
      </c>
      <c r="N114" s="178">
        <f>AVERAGE(N94:N99)</f>
        <v>1.0078813703157274</v>
      </c>
      <c r="O114" s="178">
        <f>AVERAGE(O93:O98)</f>
        <v>1.0056850577425263</v>
      </c>
      <c r="P114" s="178">
        <f>AVERAGE(P92:P97)</f>
        <v>1.0029997767172938</v>
      </c>
      <c r="Q114" s="178">
        <f>AVERAGE(Q91:Q96)</f>
        <v>1.0008755506055522</v>
      </c>
      <c r="R114" s="178">
        <f>AVERAGE(R90:R95)</f>
        <v>1.0002398740763527</v>
      </c>
      <c r="S114" s="178">
        <f>AVERAGE(S89:S94)</f>
        <v>1.0001096970354517</v>
      </c>
      <c r="T114" s="178">
        <f>AVERAGE(T88:T93)</f>
        <v>1.0000175858205935</v>
      </c>
      <c r="U114" s="178">
        <f>AVERAGE(U87:U92)</f>
        <v>1.0000017639758978</v>
      </c>
      <c r="V114" s="178">
        <f>AVERAGE(V86:V91)</f>
        <v>1.0000001492440009</v>
      </c>
      <c r="W114" s="178">
        <f>AVERAGE(W85:W90)</f>
        <v>1</v>
      </c>
      <c r="X114" s="178">
        <f>AVERAGE(X84:X89)</f>
        <v>1</v>
      </c>
      <c r="Y114" s="178">
        <f>AVERAGE(Y83:Y88)</f>
        <v>1</v>
      </c>
      <c r="Z114" s="178">
        <f>AVERAGE(Z82:Z87)</f>
        <v>1</v>
      </c>
      <c r="AA114" s="178">
        <f>AVERAGE(AA81:AA86)</f>
        <v>1</v>
      </c>
      <c r="AB114" s="178">
        <f>AVERAGE(AB80:AB85)</f>
        <v>1</v>
      </c>
      <c r="AC114" s="178">
        <f>AVERAGE(AC79:AC84)</f>
        <v>1</v>
      </c>
      <c r="AD114" s="178">
        <f>AVERAGE(AD78:AD83)</f>
        <v>1</v>
      </c>
      <c r="AE114" s="71"/>
      <c r="AF114" s="71"/>
      <c r="AG114" s="71"/>
      <c r="AH114" s="71"/>
      <c r="AI114" s="71"/>
    </row>
    <row r="115" spans="1:35" x14ac:dyDescent="0.25">
      <c r="C115" s="71" t="s">
        <v>331</v>
      </c>
      <c r="D115" s="179" t="s">
        <v>249</v>
      </c>
      <c r="E115" s="178">
        <f>AVERAGE(E100:E108)</f>
        <v>3.4417602272377779</v>
      </c>
      <c r="F115" s="178">
        <f>AVERAGE(F99:F107)</f>
        <v>1.342248578551777</v>
      </c>
      <c r="G115" s="178">
        <f>AVERAGE(G98:G106)</f>
        <v>1.1433598620758749</v>
      </c>
      <c r="H115" s="178">
        <f>AVERAGE(H97:H105)</f>
        <v>1.0807488624106982</v>
      </c>
      <c r="I115" s="178">
        <f>AVERAGE(I96:I104)</f>
        <v>1.0466970536359013</v>
      </c>
      <c r="J115" s="178">
        <f>AVERAGE(J95:J103)</f>
        <v>1.0303718719334454</v>
      </c>
      <c r="K115" s="178">
        <f>AVERAGE(K94:K102)</f>
        <v>1.0195727854339172</v>
      </c>
      <c r="L115" s="178">
        <f>AVERAGE(L93:L101)</f>
        <v>1.0149418525431542</v>
      </c>
      <c r="M115" s="178">
        <f>AVERAGE(M92:M100)</f>
        <v>1.0111480725850077</v>
      </c>
      <c r="N115" s="178">
        <f>AVERAGE(N91:N99)</f>
        <v>1.0084348234802318</v>
      </c>
      <c r="O115" s="178">
        <f>AVERAGE(O90:O98)</f>
        <v>1.006109260320784</v>
      </c>
      <c r="P115" s="178">
        <f>AVERAGE(P89:P97)</f>
        <v>1.0032294709433522</v>
      </c>
      <c r="Q115" s="178">
        <f>AVERAGE(Q88:Q96)</f>
        <v>1.000996699117388</v>
      </c>
      <c r="R115" s="178">
        <f>AVERAGE(R87:R95)</f>
        <v>1.0002918201321067</v>
      </c>
      <c r="S115" s="178">
        <f>AVERAGE(S86:S94)</f>
        <v>1.0001247674295792</v>
      </c>
      <c r="T115" s="178">
        <f>AVERAGE(T85:T93)</f>
        <v>1.0000208187449469</v>
      </c>
      <c r="U115" s="178">
        <f>AVERAGE(U84:U92)</f>
        <v>1.0000018509503574</v>
      </c>
      <c r="V115" s="178">
        <f>AVERAGE(V83:V91)</f>
        <v>1.0000001867775195</v>
      </c>
      <c r="W115" s="178">
        <f>AVERAGE(W82:W90)</f>
        <v>1</v>
      </c>
      <c r="X115" s="178">
        <f>AVERAGE(X81:X89)</f>
        <v>1</v>
      </c>
      <c r="Y115" s="178">
        <f>AVERAGE(Y80:Y88)</f>
        <v>1</v>
      </c>
      <c r="Z115" s="178">
        <f>AVERAGE(Z79:Z87)</f>
        <v>1</v>
      </c>
      <c r="AA115" s="178">
        <f>AVERAGE(AA78:AA86)</f>
        <v>1</v>
      </c>
      <c r="AB115" s="71"/>
      <c r="AC115" s="71"/>
      <c r="AD115" s="71"/>
      <c r="AE115" s="71"/>
      <c r="AF115" s="71"/>
      <c r="AG115" s="71"/>
      <c r="AH115" s="71"/>
      <c r="AI115" s="71"/>
    </row>
    <row r="118" spans="1:35" x14ac:dyDescent="0.25">
      <c r="A118" s="74" t="s">
        <v>330</v>
      </c>
      <c r="D118" s="79"/>
      <c r="E118" s="79"/>
      <c r="F118" s="295" t="s">
        <v>329</v>
      </c>
      <c r="G118" s="296"/>
      <c r="H118" s="296"/>
      <c r="I118" s="297"/>
      <c r="J118" s="296" t="s">
        <v>328</v>
      </c>
      <c r="K118" s="296"/>
      <c r="L118" s="296"/>
      <c r="M118" s="297"/>
      <c r="N118" s="295" t="s">
        <v>327</v>
      </c>
      <c r="O118" s="296"/>
      <c r="P118" s="296"/>
      <c r="Q118" s="297"/>
    </row>
    <row r="119" spans="1:35" x14ac:dyDescent="0.25">
      <c r="C119" s="162" t="s">
        <v>127</v>
      </c>
      <c r="D119" s="162" t="s">
        <v>326</v>
      </c>
      <c r="E119" s="161" t="s">
        <v>325</v>
      </c>
      <c r="F119" s="177" t="s">
        <v>324</v>
      </c>
      <c r="G119" s="161" t="s">
        <v>323</v>
      </c>
      <c r="H119" s="161" t="s">
        <v>322</v>
      </c>
      <c r="I119" s="176" t="s">
        <v>321</v>
      </c>
      <c r="J119" s="161" t="s">
        <v>324</v>
      </c>
      <c r="K119" s="161" t="s">
        <v>323</v>
      </c>
      <c r="L119" s="161" t="s">
        <v>322</v>
      </c>
      <c r="M119" s="176" t="s">
        <v>321</v>
      </c>
      <c r="N119" s="177" t="s">
        <v>324</v>
      </c>
      <c r="O119" s="161" t="s">
        <v>323</v>
      </c>
      <c r="P119" s="161" t="s">
        <v>322</v>
      </c>
      <c r="Q119" s="176" t="s">
        <v>321</v>
      </c>
    </row>
    <row r="120" spans="1:35" x14ac:dyDescent="0.25">
      <c r="C120" s="73" t="s">
        <v>101</v>
      </c>
      <c r="D120" s="169">
        <v>0</v>
      </c>
      <c r="E120" s="168">
        <f>'(c)'!$D$72</f>
        <v>26.861806593279926</v>
      </c>
      <c r="F120" s="175"/>
      <c r="G120" s="174">
        <f t="shared" ref="G120:G137" ca="1" si="3">G121/F121</f>
        <v>0.17112607100007424</v>
      </c>
      <c r="H120" s="168">
        <f t="shared" ref="H120:H138" ca="1" si="4">$E120/G120</f>
        <v>156.97086035048554</v>
      </c>
      <c r="I120" s="170">
        <f t="shared" ref="I120:I138" ca="1" si="5">H120-$E120</f>
        <v>130.1090537572056</v>
      </c>
      <c r="J120" s="174"/>
      <c r="K120" s="174">
        <f t="shared" ref="K120:K137" ca="1" si="6">K121/J121</f>
        <v>0.15767268168059223</v>
      </c>
      <c r="L120" s="168">
        <f t="shared" ref="L120:L138" ca="1" si="7">$E120/K120</f>
        <v>170.36436690850243</v>
      </c>
      <c r="M120" s="170">
        <f t="shared" ref="M120:M138" ca="1" si="8">L120-$E120</f>
        <v>143.5025603152225</v>
      </c>
      <c r="N120" s="175"/>
      <c r="O120" s="174">
        <f t="shared" ref="O120:O137" ca="1" si="9">O121/N121</f>
        <v>0.15229050330214911</v>
      </c>
      <c r="P120" s="168">
        <f t="shared" ref="P120:P138" ca="1" si="10">$E120/O120</f>
        <v>176.38530315961503</v>
      </c>
      <c r="Q120" s="170">
        <f t="shared" ref="Q120:Q138" ca="1" si="11">P120-$E120</f>
        <v>149.5234965663351</v>
      </c>
    </row>
    <row r="121" spans="1:35" x14ac:dyDescent="0.25">
      <c r="C121" s="73" t="s">
        <v>102</v>
      </c>
      <c r="D121" s="169">
        <v>1</v>
      </c>
      <c r="E121" s="168">
        <f ca="1">OFFSET('(c)'!$D$72,-D121,D121)</f>
        <v>83.560645228986985</v>
      </c>
      <c r="F121" s="172">
        <f>'(c)'!$E$113</f>
        <v>3.3059686934108683</v>
      </c>
      <c r="G121" s="171">
        <f t="shared" ca="1" si="3"/>
        <v>0.56573743335265092</v>
      </c>
      <c r="H121" s="168">
        <f t="shared" ca="1" si="4"/>
        <v>147.70216765362895</v>
      </c>
      <c r="I121" s="170">
        <f t="shared" ca="1" si="5"/>
        <v>64.141522424641963</v>
      </c>
      <c r="J121" s="173">
        <f>'(c)'!$E$114</f>
        <v>3.3972593153171147</v>
      </c>
      <c r="K121" s="171">
        <f t="shared" ca="1" si="6"/>
        <v>0.5356549866104221</v>
      </c>
      <c r="L121" s="168">
        <f t="shared" ca="1" si="7"/>
        <v>155.99713867642947</v>
      </c>
      <c r="M121" s="170">
        <f t="shared" ca="1" si="8"/>
        <v>72.436493447442487</v>
      </c>
      <c r="N121" s="172">
        <f>'(c)'!$E$115</f>
        <v>3.4417602272377779</v>
      </c>
      <c r="O121" s="171">
        <f t="shared" ca="1" si="9"/>
        <v>0.52414739725136028</v>
      </c>
      <c r="P121" s="168">
        <f t="shared" ca="1" si="10"/>
        <v>159.4220359906025</v>
      </c>
      <c r="Q121" s="170">
        <f t="shared" ca="1" si="11"/>
        <v>75.86139076161551</v>
      </c>
    </row>
    <row r="122" spans="1:35" x14ac:dyDescent="0.25">
      <c r="C122" s="73" t="s">
        <v>93</v>
      </c>
      <c r="D122" s="169">
        <v>2</v>
      </c>
      <c r="E122" s="168">
        <f ca="1">OFFSET('(c)'!$D$72,-D122,D122)</f>
        <v>115.0331990009156</v>
      </c>
      <c r="F122" s="172">
        <f ca="1">OFFSET('(c)'!$E$113,0,$D122-1)</f>
        <v>1.3093425143789563</v>
      </c>
      <c r="G122" s="171">
        <f t="shared" ca="1" si="3"/>
        <v>0.74074407346425719</v>
      </c>
      <c r="H122" s="168">
        <f t="shared" ca="1" si="4"/>
        <v>155.29411995554258</v>
      </c>
      <c r="I122" s="170">
        <f t="shared" ca="1" si="5"/>
        <v>40.260920954626982</v>
      </c>
      <c r="J122" s="173">
        <f ca="1">OFFSET('(c)'!$E$114,0,$D122-1)</f>
        <v>1.3336913641364907</v>
      </c>
      <c r="K122" s="171">
        <f t="shared" ca="1" si="6"/>
        <v>0.7143984297989675</v>
      </c>
      <c r="L122" s="168">
        <f t="shared" ca="1" si="7"/>
        <v>161.02106919983862</v>
      </c>
      <c r="M122" s="170">
        <f t="shared" ca="1" si="8"/>
        <v>45.987870198923019</v>
      </c>
      <c r="N122" s="172">
        <f ca="1">OFFSET('(c)'!$E$115,0,$D122-1)</f>
        <v>1.342248578551777</v>
      </c>
      <c r="O122" s="171">
        <f t="shared" ca="1" si="9"/>
        <v>0.70353609891225199</v>
      </c>
      <c r="P122" s="168">
        <f t="shared" ca="1" si="10"/>
        <v>163.5071735178482</v>
      </c>
      <c r="Q122" s="170">
        <f t="shared" ca="1" si="11"/>
        <v>48.4739745169326</v>
      </c>
    </row>
    <row r="123" spans="1:35" x14ac:dyDescent="0.25">
      <c r="C123" s="73" t="s">
        <v>94</v>
      </c>
      <c r="D123" s="169">
        <v>3</v>
      </c>
      <c r="E123" s="168">
        <f ca="1">OFFSET('(c)'!$D$72,-D123,D123)</f>
        <v>134.53766018929002</v>
      </c>
      <c r="F123" s="172">
        <f ca="1">OFFSET('(c)'!$E$113,0,$D123-1)</f>
        <v>1.134055491689713</v>
      </c>
      <c r="G123" s="171">
        <f t="shared" ca="1" si="3"/>
        <v>0.84004488444874903</v>
      </c>
      <c r="H123" s="168">
        <f t="shared" ca="1" si="4"/>
        <v>160.15532345938371</v>
      </c>
      <c r="I123" s="170">
        <f t="shared" ca="1" si="5"/>
        <v>25.617663270093686</v>
      </c>
      <c r="J123" s="173">
        <f ca="1">OFFSET('(c)'!$E$114,0,$D123-1)</f>
        <v>1.1432462214592667</v>
      </c>
      <c r="K123" s="171">
        <f t="shared" ca="1" si="6"/>
        <v>0.81673330548410283</v>
      </c>
      <c r="L123" s="168">
        <f t="shared" ca="1" si="7"/>
        <v>164.72655062051797</v>
      </c>
      <c r="M123" s="170">
        <f t="shared" ca="1" si="8"/>
        <v>30.188890431227946</v>
      </c>
      <c r="N123" s="172">
        <f ca="1">OFFSET('(c)'!$E$115,0,$D123-1)</f>
        <v>1.1433598620758749</v>
      </c>
      <c r="O123" s="171">
        <f t="shared" ca="1" si="9"/>
        <v>0.80439493701771159</v>
      </c>
      <c r="P123" s="168">
        <f t="shared" ca="1" si="10"/>
        <v>167.25324091184291</v>
      </c>
      <c r="Q123" s="170">
        <f t="shared" ca="1" si="11"/>
        <v>32.715580722552886</v>
      </c>
    </row>
    <row r="124" spans="1:35" x14ac:dyDescent="0.25">
      <c r="C124" s="73" t="s">
        <v>95</v>
      </c>
      <c r="D124" s="169">
        <v>4</v>
      </c>
      <c r="E124" s="168">
        <f ca="1">OFFSET('(c)'!$D$72,-D124,D124)</f>
        <v>137.08183248518961</v>
      </c>
      <c r="F124" s="172">
        <f ca="1">OFFSET('(c)'!$E$113,0,$D124-1)</f>
        <v>1.0680196609057206</v>
      </c>
      <c r="G124" s="171">
        <f t="shared" ca="1" si="3"/>
        <v>0.89718445263453817</v>
      </c>
      <c r="H124" s="168">
        <f t="shared" ca="1" si="4"/>
        <v>152.79113685335889</v>
      </c>
      <c r="I124" s="170">
        <f t="shared" ca="1" si="5"/>
        <v>15.709304368169285</v>
      </c>
      <c r="J124" s="173">
        <f ca="1">OFFSET('(c)'!$E$114,0,$D124-1)</f>
        <v>1.077514751604536</v>
      </c>
      <c r="K124" s="171">
        <f t="shared" ca="1" si="6"/>
        <v>0.88004218478585472</v>
      </c>
      <c r="L124" s="168">
        <f t="shared" ca="1" si="7"/>
        <v>155.76734258318135</v>
      </c>
      <c r="M124" s="170">
        <f t="shared" ca="1" si="8"/>
        <v>18.685510097991738</v>
      </c>
      <c r="N124" s="172">
        <f ca="1">OFFSET('(c)'!$E$115,0,$D124-1)</f>
        <v>1.0807488624106982</v>
      </c>
      <c r="O124" s="171">
        <f t="shared" ca="1" si="9"/>
        <v>0.86934891311081708</v>
      </c>
      <c r="P124" s="168">
        <f t="shared" ca="1" si="10"/>
        <v>157.68333107436186</v>
      </c>
      <c r="Q124" s="170">
        <f t="shared" ca="1" si="11"/>
        <v>20.601498589172252</v>
      </c>
    </row>
    <row r="125" spans="1:35" x14ac:dyDescent="0.25">
      <c r="C125" s="73" t="s">
        <v>96</v>
      </c>
      <c r="D125" s="169">
        <v>5</v>
      </c>
      <c r="E125" s="168">
        <f ca="1">OFFSET('(c)'!$D$72,-D125,D125)</f>
        <v>151.97504752496948</v>
      </c>
      <c r="F125" s="172">
        <f ca="1">OFFSET('(c)'!$E$113,0,$D125-1)</f>
        <v>1.0390856429599935</v>
      </c>
      <c r="G125" s="171">
        <f t="shared" ca="1" si="3"/>
        <v>0.93225148381946898</v>
      </c>
      <c r="H125" s="168">
        <f t="shared" ca="1" si="4"/>
        <v>163.01936780226089</v>
      </c>
      <c r="I125" s="170">
        <f t="shared" ca="1" si="5"/>
        <v>11.044320277291405</v>
      </c>
      <c r="J125" s="173">
        <f ca="1">OFFSET('(c)'!$E$114,0,$D125-1)</f>
        <v>1.043494568496391</v>
      </c>
      <c r="K125" s="171">
        <f t="shared" ca="1" si="6"/>
        <v>0.91831923987173669</v>
      </c>
      <c r="L125" s="168">
        <f t="shared" ca="1" si="7"/>
        <v>165.49260967917445</v>
      </c>
      <c r="M125" s="170">
        <f t="shared" ca="1" si="8"/>
        <v>13.517562154204967</v>
      </c>
      <c r="N125" s="172">
        <f ca="1">OFFSET('(c)'!$E$115,0,$D125-1)</f>
        <v>1.0466970536359013</v>
      </c>
      <c r="O125" s="171">
        <f t="shared" ca="1" si="9"/>
        <v>0.90994494593466535</v>
      </c>
      <c r="P125" s="168">
        <f t="shared" ca="1" si="10"/>
        <v>167.015651006079</v>
      </c>
      <c r="Q125" s="170">
        <f t="shared" ca="1" si="11"/>
        <v>15.040603481109514</v>
      </c>
    </row>
    <row r="126" spans="1:35" x14ac:dyDescent="0.25">
      <c r="C126" s="73" t="s">
        <v>97</v>
      </c>
      <c r="D126" s="169">
        <v>6</v>
      </c>
      <c r="E126" s="168">
        <f ca="1">OFFSET('(c)'!$D$72,-D126,D126)</f>
        <v>138.68958927086879</v>
      </c>
      <c r="F126" s="172">
        <f ca="1">OFFSET('(c)'!$E$113,0,$D126-1)</f>
        <v>1.02476919742937</v>
      </c>
      <c r="G126" s="171">
        <f t="shared" ca="1" si="3"/>
        <v>0.95534260487601652</v>
      </c>
      <c r="H126" s="168">
        <f t="shared" ca="1" si="4"/>
        <v>145.17262033850966</v>
      </c>
      <c r="I126" s="170">
        <f t="shared" ca="1" si="5"/>
        <v>6.4830310676408658</v>
      </c>
      <c r="J126" s="173">
        <f ca="1">OFFSET('(c)'!$E$114,0,$D126-1)</f>
        <v>1.0279228596860401</v>
      </c>
      <c r="K126" s="171">
        <f t="shared" ca="1" si="6"/>
        <v>0.9439613391536662</v>
      </c>
      <c r="L126" s="168">
        <f t="shared" ca="1" si="7"/>
        <v>146.92295491170714</v>
      </c>
      <c r="M126" s="170">
        <f t="shared" ca="1" si="8"/>
        <v>8.2333656408383433</v>
      </c>
      <c r="N126" s="172">
        <f ca="1">OFFSET('(c)'!$E$115,0,$D126-1)</f>
        <v>1.0303718719334454</v>
      </c>
      <c r="O126" s="171">
        <f t="shared" ca="1" si="9"/>
        <v>0.93758167729907893</v>
      </c>
      <c r="P126" s="168">
        <f t="shared" ca="1" si="10"/>
        <v>147.92267450276574</v>
      </c>
      <c r="Q126" s="170">
        <f t="shared" ca="1" si="11"/>
        <v>9.2330852318969505</v>
      </c>
    </row>
    <row r="127" spans="1:35" x14ac:dyDescent="0.25">
      <c r="C127" s="73" t="s">
        <v>98</v>
      </c>
      <c r="D127" s="169">
        <v>7</v>
      </c>
      <c r="E127" s="168">
        <f ca="1">OFFSET('(c)'!$D$72,-D127,D127)</f>
        <v>166.43837941192061</v>
      </c>
      <c r="F127" s="172">
        <f ca="1">OFFSET('(c)'!$E$113,0,$D127-1)</f>
        <v>1.0144518957948707</v>
      </c>
      <c r="G127" s="171">
        <f t="shared" ca="1" si="3"/>
        <v>0.96914911665008507</v>
      </c>
      <c r="H127" s="168">
        <f t="shared" ca="1" si="4"/>
        <v>171.73660539177254</v>
      </c>
      <c r="I127" s="170">
        <f t="shared" ca="1" si="5"/>
        <v>5.2982259798519351</v>
      </c>
      <c r="J127" s="173">
        <f ca="1">OFFSET('(c)'!$E$114,0,$D127-1)</f>
        <v>1.0173565275236744</v>
      </c>
      <c r="K127" s="171">
        <f t="shared" ca="1" si="6"/>
        <v>0.96034523011797135</v>
      </c>
      <c r="L127" s="168">
        <f t="shared" ca="1" si="7"/>
        <v>173.31098670784763</v>
      </c>
      <c r="M127" s="170">
        <f t="shared" ca="1" si="8"/>
        <v>6.8726072959270255</v>
      </c>
      <c r="N127" s="172">
        <f ca="1">OFFSET('(c)'!$E$115,0,$D127-1)</f>
        <v>1.0195727854339172</v>
      </c>
      <c r="O127" s="171">
        <f t="shared" ca="1" si="9"/>
        <v>0.95593276229562596</v>
      </c>
      <c r="P127" s="168">
        <f t="shared" ca="1" si="10"/>
        <v>174.11096886377965</v>
      </c>
      <c r="Q127" s="170">
        <f t="shared" ca="1" si="11"/>
        <v>7.6725894518590394</v>
      </c>
    </row>
    <row r="128" spans="1:35" x14ac:dyDescent="0.25">
      <c r="C128" s="73" t="s">
        <v>103</v>
      </c>
      <c r="D128" s="169">
        <v>8</v>
      </c>
      <c r="E128" s="168">
        <f ca="1">OFFSET('(c)'!$D$72,-D128,D128)</f>
        <v>182.89674732201203</v>
      </c>
      <c r="F128" s="172">
        <f ca="1">OFFSET('(c)'!$E$113,0,$D128-1)</f>
        <v>1.0100087860048312</v>
      </c>
      <c r="G128" s="171">
        <f t="shared" ca="1" si="3"/>
        <v>0.97884912276540703</v>
      </c>
      <c r="H128" s="168">
        <f t="shared" ca="1" si="4"/>
        <v>186.84876256036185</v>
      </c>
      <c r="I128" s="170">
        <f t="shared" ca="1" si="5"/>
        <v>3.9520152383498157</v>
      </c>
      <c r="J128" s="173">
        <f ca="1">OFFSET('(c)'!$E$114,0,$D128-1)</f>
        <v>1.0131505967499106</v>
      </c>
      <c r="K128" s="171">
        <f t="shared" ca="1" si="6"/>
        <v>0.97297434297995289</v>
      </c>
      <c r="L128" s="168">
        <f t="shared" ca="1" si="7"/>
        <v>187.97694784206703</v>
      </c>
      <c r="M128" s="170">
        <f t="shared" ca="1" si="8"/>
        <v>5.0802005200550013</v>
      </c>
      <c r="N128" s="172">
        <f ca="1">OFFSET('(c)'!$E$115,0,$D128-1)</f>
        <v>1.0149418525431542</v>
      </c>
      <c r="O128" s="171">
        <f t="shared" ca="1" si="9"/>
        <v>0.97021616867101723</v>
      </c>
      <c r="P128" s="168">
        <f t="shared" ca="1" si="10"/>
        <v>188.51133719255611</v>
      </c>
      <c r="Q128" s="170">
        <f t="shared" ca="1" si="11"/>
        <v>5.61458987054408</v>
      </c>
    </row>
    <row r="129" spans="1:17" x14ac:dyDescent="0.25">
      <c r="C129" s="73" t="s">
        <v>104</v>
      </c>
      <c r="D129" s="169">
        <v>9</v>
      </c>
      <c r="E129" s="168">
        <f ca="1">OFFSET('(c)'!$D$72,-D129,D129)</f>
        <v>166.02233971777355</v>
      </c>
      <c r="F129" s="172">
        <f ca="1">OFFSET('(c)'!$E$113,0,$D129-1)</f>
        <v>1.0070006566516385</v>
      </c>
      <c r="G129" s="171">
        <f t="shared" ca="1" si="3"/>
        <v>0.98570170938764523</v>
      </c>
      <c r="H129" s="168">
        <f t="shared" ca="1" si="4"/>
        <v>168.43060952071681</v>
      </c>
      <c r="I129" s="170">
        <f t="shared" ca="1" si="5"/>
        <v>2.4082698029432663</v>
      </c>
      <c r="J129" s="173">
        <f ca="1">OFFSET('(c)'!$E$114,0,$D129-1)</f>
        <v>1.0096852450091793</v>
      </c>
      <c r="K129" s="171">
        <f t="shared" ca="1" si="6"/>
        <v>0.98239783787935897</v>
      </c>
      <c r="L129" s="168">
        <f t="shared" ca="1" si="7"/>
        <v>168.99705324693673</v>
      </c>
      <c r="M129" s="170">
        <f t="shared" ca="1" si="8"/>
        <v>2.9747135291631821</v>
      </c>
      <c r="N129" s="172">
        <f ca="1">OFFSET('(c)'!$E$115,0,$D129-1)</f>
        <v>1.0111480725850077</v>
      </c>
      <c r="O129" s="171">
        <f t="shared" ca="1" si="9"/>
        <v>0.98103220894250986</v>
      </c>
      <c r="P129" s="168">
        <f t="shared" ca="1" si="10"/>
        <v>169.23230267509263</v>
      </c>
      <c r="Q129" s="170">
        <f t="shared" ca="1" si="11"/>
        <v>3.2099629573190782</v>
      </c>
    </row>
    <row r="130" spans="1:17" x14ac:dyDescent="0.25">
      <c r="C130" s="73" t="s">
        <v>105</v>
      </c>
      <c r="D130" s="169">
        <v>10</v>
      </c>
      <c r="E130" s="168">
        <f ca="1">OFFSET('(c)'!$D$72,-D130,D130)</f>
        <v>165.61410446526872</v>
      </c>
      <c r="F130" s="172">
        <f ca="1">OFFSET('(c)'!$E$113,0,$D130-1)</f>
        <v>1.0062215801430294</v>
      </c>
      <c r="G130" s="171">
        <f t="shared" ca="1" si="3"/>
        <v>0.99183433156972156</v>
      </c>
      <c r="H130" s="168">
        <f t="shared" ca="1" si="4"/>
        <v>166.97758808485727</v>
      </c>
      <c r="I130" s="170">
        <f t="shared" ca="1" si="5"/>
        <v>1.3634836195885498</v>
      </c>
      <c r="J130" s="173">
        <f ca="1">OFFSET('(c)'!$E$114,0,$D130-1)</f>
        <v>1.0078813703157274</v>
      </c>
      <c r="K130" s="171">
        <f t="shared" ca="1" si="6"/>
        <v>0.99014047903705615</v>
      </c>
      <c r="L130" s="168">
        <f t="shared" ca="1" si="7"/>
        <v>167.26323988524723</v>
      </c>
      <c r="M130" s="170">
        <f t="shared" ca="1" si="8"/>
        <v>1.6491354199785064</v>
      </c>
      <c r="N130" s="172">
        <f ca="1">OFFSET('(c)'!$E$115,0,$D130-1)</f>
        <v>1.0084348234802318</v>
      </c>
      <c r="O130" s="171">
        <f t="shared" ca="1" si="9"/>
        <v>0.98930704245336187</v>
      </c>
      <c r="P130" s="168">
        <f t="shared" ca="1" si="10"/>
        <v>167.40414993364018</v>
      </c>
      <c r="Q130" s="170">
        <f t="shared" ca="1" si="11"/>
        <v>1.7900454683714599</v>
      </c>
    </row>
    <row r="131" spans="1:17" x14ac:dyDescent="0.25">
      <c r="C131" s="73" t="s">
        <v>106</v>
      </c>
      <c r="D131" s="169">
        <v>11</v>
      </c>
      <c r="E131" s="168">
        <f ca="1">OFFSET('(c)'!$D$72,-D131,D131)</f>
        <v>166.95529826311221</v>
      </c>
      <c r="F131" s="172">
        <f ca="1">OFFSET('(c)'!$E$113,0,$D131-1)</f>
        <v>1.0046363366789957</v>
      </c>
      <c r="G131" s="171">
        <f t="shared" ca="1" si="3"/>
        <v>0.99643280946066537</v>
      </c>
      <c r="H131" s="168">
        <f t="shared" ca="1" si="4"/>
        <v>167.55299170997725</v>
      </c>
      <c r="I131" s="170">
        <f t="shared" ca="1" si="5"/>
        <v>0.597693446865037</v>
      </c>
      <c r="J131" s="173">
        <f ca="1">OFFSET('(c)'!$E$114,0,$D131-1)</f>
        <v>1.0056850577425263</v>
      </c>
      <c r="K131" s="171">
        <f t="shared" ca="1" si="6"/>
        <v>0.9957694848335944</v>
      </c>
      <c r="L131" s="168">
        <f t="shared" ca="1" si="7"/>
        <v>167.66460592133183</v>
      </c>
      <c r="M131" s="170">
        <f t="shared" ca="1" si="8"/>
        <v>0.70930765821961472</v>
      </c>
      <c r="N131" s="172">
        <f ca="1">OFFSET('(c)'!$E$115,0,$D131-1)</f>
        <v>1.006109260320784</v>
      </c>
      <c r="O131" s="171">
        <f t="shared" ca="1" si="9"/>
        <v>0.9953509767128943</v>
      </c>
      <c r="P131" s="168">
        <f t="shared" ca="1" si="10"/>
        <v>167.73510266145036</v>
      </c>
      <c r="Q131" s="170">
        <f t="shared" ca="1" si="11"/>
        <v>0.7798043983381433</v>
      </c>
    </row>
    <row r="132" spans="1:17" x14ac:dyDescent="0.25">
      <c r="C132" s="73" t="s">
        <v>107</v>
      </c>
      <c r="D132" s="169">
        <v>12</v>
      </c>
      <c r="E132" s="168">
        <f ca="1">OFFSET('(c)'!$D$72,-D132,D132)</f>
        <v>173.7390758240858</v>
      </c>
      <c r="F132" s="172">
        <f ca="1">OFFSET('(c)'!$E$113,0,$D132-1)</f>
        <v>1.0024905389806289</v>
      </c>
      <c r="G132" s="171">
        <f t="shared" ca="1" si="3"/>
        <v>0.99891446421420471</v>
      </c>
      <c r="H132" s="168">
        <f t="shared" ca="1" si="4"/>
        <v>173.92788076280135</v>
      </c>
      <c r="I132" s="170">
        <f t="shared" ca="1" si="5"/>
        <v>0.18880493871554904</v>
      </c>
      <c r="J132" s="173">
        <f ca="1">OFFSET('(c)'!$E$114,0,$D132-1)</f>
        <v>1.0029997767172938</v>
      </c>
      <c r="K132" s="171">
        <f t="shared" ca="1" si="6"/>
        <v>0.99875657094998982</v>
      </c>
      <c r="L132" s="168">
        <f t="shared" ca="1" si="7"/>
        <v>173.95537699324467</v>
      </c>
      <c r="M132" s="170">
        <f t="shared" ca="1" si="8"/>
        <v>0.21630116915886788</v>
      </c>
      <c r="N132" s="172">
        <f ca="1">OFFSET('(c)'!$E$115,0,$D132-1)</f>
        <v>1.0032294709433522</v>
      </c>
      <c r="O132" s="171">
        <f t="shared" ca="1" si="9"/>
        <v>0.9985654337706259</v>
      </c>
      <c r="P132" s="168">
        <f t="shared" ca="1" si="10"/>
        <v>173.9886741002436</v>
      </c>
      <c r="Q132" s="170">
        <f t="shared" ca="1" si="11"/>
        <v>0.24959827615779773</v>
      </c>
    </row>
    <row r="133" spans="1:17" x14ac:dyDescent="0.25">
      <c r="C133" s="73" t="s">
        <v>108</v>
      </c>
      <c r="D133" s="169">
        <v>13</v>
      </c>
      <c r="E133" s="168">
        <f ca="1">OFFSET('(c)'!$D$72,-D133,D133)</f>
        <v>159.38857083062604</v>
      </c>
      <c r="F133" s="172">
        <f ca="1">OFFSET('(c)'!$E$113,0,$D133-1)</f>
        <v>1.000805420780384</v>
      </c>
      <c r="G133" s="171">
        <f t="shared" ca="1" si="3"/>
        <v>0.99971901068150903</v>
      </c>
      <c r="H133" s="168">
        <f t="shared" ca="1" si="4"/>
        <v>159.43336990458025</v>
      </c>
      <c r="I133" s="170">
        <f t="shared" ca="1" si="5"/>
        <v>4.4799073954209234E-2</v>
      </c>
      <c r="J133" s="173">
        <f ca="1">OFFSET('(c)'!$E$114,0,$D133-1)</f>
        <v>1.0008755506055522</v>
      </c>
      <c r="K133" s="171">
        <f t="shared" ca="1" si="6"/>
        <v>0.99963103287048438</v>
      </c>
      <c r="L133" s="168">
        <f t="shared" ca="1" si="7"/>
        <v>159.4474016807329</v>
      </c>
      <c r="M133" s="170">
        <f t="shared" ca="1" si="8"/>
        <v>5.8830850106858179E-2</v>
      </c>
      <c r="N133" s="172">
        <f ca="1">OFFSET('(c)'!$E$115,0,$D133-1)</f>
        <v>1.000996699117388</v>
      </c>
      <c r="O133" s="171">
        <f t="shared" ca="1" si="9"/>
        <v>0.99956070305711919</v>
      </c>
      <c r="P133" s="168">
        <f t="shared" ca="1" si="10"/>
        <v>159.45862051513433</v>
      </c>
      <c r="Q133" s="170">
        <f t="shared" ca="1" si="11"/>
        <v>7.0049684508290966E-2</v>
      </c>
    </row>
    <row r="134" spans="1:17" x14ac:dyDescent="0.25">
      <c r="C134" s="73" t="s">
        <v>109</v>
      </c>
      <c r="D134" s="169">
        <v>14</v>
      </c>
      <c r="E134" s="168">
        <f ca="1">OFFSET('(c)'!$D$72,-D134,D134)</f>
        <v>162.82561383744786</v>
      </c>
      <c r="F134" s="172">
        <f ca="1">OFFSET('(c)'!$E$113,0,$D134-1)</f>
        <v>1.0001838089232515</v>
      </c>
      <c r="G134" s="171">
        <f t="shared" ca="1" si="3"/>
        <v>0.99990276795641653</v>
      </c>
      <c r="H134" s="168">
        <f t="shared" ca="1" si="4"/>
        <v>162.8414472441435</v>
      </c>
      <c r="I134" s="170">
        <f t="shared" ca="1" si="5"/>
        <v>1.5833406695634267E-2</v>
      </c>
      <c r="J134" s="173">
        <f ca="1">OFFSET('(c)'!$E$114,0,$D134-1)</f>
        <v>1.0002398740763527</v>
      </c>
      <c r="K134" s="171">
        <f t="shared" ca="1" si="6"/>
        <v>0.99987081844118775</v>
      </c>
      <c r="L134" s="168">
        <f t="shared" ca="1" si="7"/>
        <v>162.84665062162253</v>
      </c>
      <c r="M134" s="170">
        <f t="shared" ca="1" si="8"/>
        <v>2.103678417466881E-2</v>
      </c>
      <c r="N134" s="172">
        <f ca="1">OFFSET('(c)'!$E$115,0,$D134-1)</f>
        <v>1.0002918201321067</v>
      </c>
      <c r="O134" s="171">
        <f t="shared" ca="1" si="9"/>
        <v>0.99985239499353395</v>
      </c>
      <c r="P134" s="168">
        <f t="shared" ca="1" si="10"/>
        <v>162.84965126127528</v>
      </c>
      <c r="Q134" s="170">
        <f t="shared" ca="1" si="11"/>
        <v>2.4037423827422799E-2</v>
      </c>
    </row>
    <row r="135" spans="1:17" x14ac:dyDescent="0.25">
      <c r="C135" s="73" t="s">
        <v>110</v>
      </c>
      <c r="D135" s="169">
        <v>15</v>
      </c>
      <c r="E135" s="168">
        <f ca="1">OFFSET('(c)'!$D$72,-D135,D135)</f>
        <v>158.160061403838</v>
      </c>
      <c r="F135" s="172">
        <f ca="1">OFFSET('(c)'!$E$113,0,$D135-1)</f>
        <v>1.0000806710958192</v>
      </c>
      <c r="G135" s="171">
        <f t="shared" ca="1" si="3"/>
        <v>0.99998343120842026</v>
      </c>
      <c r="H135" s="168">
        <f t="shared" ca="1" si="4"/>
        <v>158.16268196835122</v>
      </c>
      <c r="I135" s="170">
        <f t="shared" ca="1" si="5"/>
        <v>2.6205645132222344E-3</v>
      </c>
      <c r="J135" s="173">
        <f ca="1">OFFSET('(c)'!$E$114,0,$D135-1)</f>
        <v>1.0001096970354517</v>
      </c>
      <c r="K135" s="171">
        <f t="shared" ca="1" si="6"/>
        <v>0.9999805013058054</v>
      </c>
      <c r="L135" s="168">
        <f t="shared" ca="1" si="7"/>
        <v>158.16314537864258</v>
      </c>
      <c r="M135" s="170">
        <f t="shared" ca="1" si="8"/>
        <v>3.0839748045821125E-3</v>
      </c>
      <c r="N135" s="172">
        <f ca="1">OFFSET('(c)'!$E$115,0,$D135-1)</f>
        <v>1.0001247674295792</v>
      </c>
      <c r="O135" s="171">
        <f t="shared" ca="1" si="9"/>
        <v>0.99997714400681592</v>
      </c>
      <c r="P135" s="168">
        <f t="shared" ca="1" si="10"/>
        <v>158.16367639174757</v>
      </c>
      <c r="Q135" s="170">
        <f t="shared" ca="1" si="11"/>
        <v>3.6149879095717097E-3</v>
      </c>
    </row>
    <row r="136" spans="1:17" x14ac:dyDescent="0.25">
      <c r="C136" s="73" t="s">
        <v>111</v>
      </c>
      <c r="D136" s="169">
        <v>16</v>
      </c>
      <c r="E136" s="168">
        <f ca="1">OFFSET('(c)'!$D$72,-D136,D136)</f>
        <v>168.49715644798667</v>
      </c>
      <c r="F136" s="172">
        <f ca="1">OFFSET('(c)'!$E$113,0,$D136-1)</f>
        <v>1.0000148024481015</v>
      </c>
      <c r="G136" s="171">
        <f t="shared" ca="1" si="3"/>
        <v>0.99999823341126304</v>
      </c>
      <c r="H136" s="168">
        <f t="shared" ca="1" si="4"/>
        <v>168.4974541136913</v>
      </c>
      <c r="I136" s="170">
        <f t="shared" ca="1" si="5"/>
        <v>2.9766570463607422E-4</v>
      </c>
      <c r="J136" s="173">
        <f ca="1">OFFSET('(c)'!$E$114,0,$D136-1)</f>
        <v>1.0000175858205935</v>
      </c>
      <c r="K136" s="171">
        <f t="shared" ca="1" si="6"/>
        <v>0.99999808678349844</v>
      </c>
      <c r="L136" s="168">
        <f t="shared" ca="1" si="7"/>
        <v>168.49747882014361</v>
      </c>
      <c r="M136" s="170">
        <f t="shared" ca="1" si="8"/>
        <v>3.2237215694408405E-4</v>
      </c>
      <c r="N136" s="172">
        <f ca="1">OFFSET('(c)'!$E$115,0,$D136-1)</f>
        <v>1.0000208187449469</v>
      </c>
      <c r="O136" s="171">
        <f t="shared" ca="1" si="9"/>
        <v>0.99999796227592974</v>
      </c>
      <c r="P136" s="168">
        <f t="shared" ca="1" si="10"/>
        <v>168.49749979939779</v>
      </c>
      <c r="Q136" s="170">
        <f t="shared" ca="1" si="11"/>
        <v>3.4335141111796474E-4</v>
      </c>
    </row>
    <row r="137" spans="1:17" x14ac:dyDescent="0.25">
      <c r="C137" s="73" t="s">
        <v>112</v>
      </c>
      <c r="D137" s="169">
        <v>17</v>
      </c>
      <c r="E137" s="168">
        <f ca="1">OFFSET('(c)'!$D$72,-D137,D137)</f>
        <v>172.81470629474794</v>
      </c>
      <c r="F137" s="172">
        <f ca="1">OFFSET('(c)'!$E$113,0,$D137-1)</f>
        <v>1.000001581645888</v>
      </c>
      <c r="G137" s="171">
        <f t="shared" ca="1" si="3"/>
        <v>0.99999981505435698</v>
      </c>
      <c r="H137" s="168">
        <f t="shared" ca="1" si="4"/>
        <v>172.81473825608083</v>
      </c>
      <c r="I137" s="170">
        <f t="shared" ca="1" si="5"/>
        <v>3.1961332894070438E-5</v>
      </c>
      <c r="J137" s="173">
        <f ca="1">OFFSET('(c)'!$E$114,0,$D137-1)</f>
        <v>1.0000017639758978</v>
      </c>
      <c r="K137" s="171">
        <f t="shared" ca="1" si="6"/>
        <v>0.99999985075602138</v>
      </c>
      <c r="L137" s="168">
        <f t="shared" ca="1" si="7"/>
        <v>172.81473208630612</v>
      </c>
      <c r="M137" s="170">
        <f t="shared" ca="1" si="8"/>
        <v>2.5791558186938346E-5</v>
      </c>
      <c r="N137" s="172">
        <f ca="1">OFFSET('(c)'!$E$115,0,$D137-1)</f>
        <v>1.0000018509503574</v>
      </c>
      <c r="O137" s="171">
        <f t="shared" ca="1" si="9"/>
        <v>0.99999981322251541</v>
      </c>
      <c r="P137" s="168">
        <f t="shared" ca="1" si="10"/>
        <v>172.8147385726501</v>
      </c>
      <c r="Q137" s="170">
        <f t="shared" ca="1" si="11"/>
        <v>3.2277902164423722E-5</v>
      </c>
    </row>
    <row r="138" spans="1:17" x14ac:dyDescent="0.25">
      <c r="C138" s="73" t="s">
        <v>113</v>
      </c>
      <c r="D138" s="169">
        <v>18</v>
      </c>
      <c r="E138" s="168">
        <f ca="1">OFFSET('(c)'!$D$72,-D138,D138)</f>
        <v>140.88329419195048</v>
      </c>
      <c r="F138" s="166">
        <f ca="1">OFFSET('(c)'!$E$113,0,$D138-1)</f>
        <v>1.0000001849456772</v>
      </c>
      <c r="G138" s="165">
        <v>1</v>
      </c>
      <c r="H138" s="164">
        <f t="shared" ca="1" si="4"/>
        <v>140.88329419195048</v>
      </c>
      <c r="I138" s="163">
        <f t="shared" ca="1" si="5"/>
        <v>0</v>
      </c>
      <c r="J138" s="167">
        <f ca="1">OFFSET('(c)'!$E$114,0,$D138-1)</f>
        <v>1.0000001492440009</v>
      </c>
      <c r="K138" s="165">
        <v>1</v>
      </c>
      <c r="L138" s="164">
        <f t="shared" ca="1" si="7"/>
        <v>140.88329419195048</v>
      </c>
      <c r="M138" s="163">
        <f t="shared" ca="1" si="8"/>
        <v>0</v>
      </c>
      <c r="N138" s="166">
        <f ca="1">OFFSET('(c)'!$E$115,0,$D138-1)</f>
        <v>1.0000001867775195</v>
      </c>
      <c r="O138" s="165">
        <v>1</v>
      </c>
      <c r="P138" s="164">
        <f t="shared" ca="1" si="10"/>
        <v>140.88329419195048</v>
      </c>
      <c r="Q138" s="163">
        <f t="shared" ca="1" si="11"/>
        <v>0</v>
      </c>
    </row>
    <row r="141" spans="1:17" x14ac:dyDescent="0.25">
      <c r="A141" s="74" t="s">
        <v>320</v>
      </c>
      <c r="D141" s="79"/>
      <c r="E141" s="298"/>
      <c r="F141" s="298"/>
      <c r="G141" s="298"/>
    </row>
    <row r="142" spans="1:17" x14ac:dyDescent="0.25">
      <c r="C142" s="162" t="s">
        <v>127</v>
      </c>
      <c r="D142" s="161" t="s">
        <v>319</v>
      </c>
      <c r="E142" s="161" t="s">
        <v>318</v>
      </c>
      <c r="F142" s="161" t="s">
        <v>317</v>
      </c>
      <c r="G142" s="161" t="s">
        <v>316</v>
      </c>
    </row>
    <row r="143" spans="1:17" x14ac:dyDescent="0.25">
      <c r="C143" s="77" t="s">
        <v>101</v>
      </c>
      <c r="D143" s="160">
        <f>INDEX('[90]Exhibit 2'!$C$3:$C$34,MATCH($C143,'[90]Exhibit 2'!$B$3:$B$34,0))</f>
        <v>3678321</v>
      </c>
      <c r="E143" s="159">
        <f ca="1">INDEX('(c)'!$I$120:$I$138,MATCH($C143,'(c)'!$C$120:$C$138,0))*$D143</f>
        <v>478582864.72525829</v>
      </c>
      <c r="F143" s="159">
        <f ca="1">INDEX('(c)'!$M$120:$M$138,MATCH($C143,'(c)'!$C$120:$C$138,0))*$D143</f>
        <v>527848481.16124952</v>
      </c>
      <c r="G143" s="159">
        <f ca="1">INDEX('(c)'!$Q$120:$Q$138,MATCH($C143,'(c)'!$C$120:$C$138,0))*$D143</f>
        <v>549995417.41337824</v>
      </c>
    </row>
    <row r="144" spans="1:17" x14ac:dyDescent="0.25">
      <c r="C144" s="77" t="s">
        <v>102</v>
      </c>
      <c r="D144" s="160">
        <f>INDEX('[90]Exhibit 2'!$C$3:$C$34,MATCH($C144,'[90]Exhibit 2'!$B$3:$B$34,0))</f>
        <v>3688179</v>
      </c>
      <c r="E144" s="159">
        <f ca="1">INDEX('(c)'!$I$120:$I$138,MATCH($C144,'(c)'!$C$120:$C$138,0))*$D144</f>
        <v>236565416.03459358</v>
      </c>
      <c r="F144" s="159">
        <f ca="1">INDEX('(c)'!$M$120:$M$138,MATCH($C144,'(c)'!$C$120:$C$138,0))*$D144</f>
        <v>267158753.96649498</v>
      </c>
      <c r="G144" s="159">
        <f ca="1">INDEX('(c)'!$Q$120:$Q$138,MATCH($C144,'(c)'!$C$120:$C$138,0))*$D144</f>
        <v>279790388.31778431</v>
      </c>
    </row>
    <row r="145" spans="3:7" x14ac:dyDescent="0.25">
      <c r="C145" s="77" t="s">
        <v>93</v>
      </c>
      <c r="D145" s="160">
        <f>INDEX('[90]Exhibit 2'!$C$3:$C$34,MATCH($C145,'[90]Exhibit 2'!$B$3:$B$34,0))</f>
        <v>3692581</v>
      </c>
      <c r="E145" s="159">
        <f ca="1">INDEX('(c)'!$I$120:$I$138,MATCH($C145,'(c)'!$C$120:$C$138,0))*$D145</f>
        <v>148666711.75955746</v>
      </c>
      <c r="F145" s="159">
        <f ca="1">INDEX('(c)'!$M$120:$M$138,MATCH($C145,'(c)'!$C$120:$C$138,0))*$D145</f>
        <v>169813935.72700936</v>
      </c>
      <c r="G145" s="159">
        <f ca="1">INDEX('(c)'!$Q$120:$Q$138,MATCH($C145,'(c)'!$C$120:$C$138,0))*$D145</f>
        <v>178994077.29570949</v>
      </c>
    </row>
    <row r="146" spans="3:7" x14ac:dyDescent="0.25">
      <c r="C146" s="77" t="s">
        <v>94</v>
      </c>
      <c r="D146" s="160">
        <f>INDEX('[90]Exhibit 2'!$C$3:$C$34,MATCH($C146,'[90]Exhibit 2'!$B$3:$B$34,0))</f>
        <v>3686935</v>
      </c>
      <c r="E146" s="159">
        <f ca="1">INDEX('(c)'!$I$120:$I$138,MATCH($C146,'(c)'!$C$120:$C$138,0))*$D146</f>
        <v>94450659.328722864</v>
      </c>
      <c r="F146" s="159">
        <f ca="1">INDEX('(c)'!$M$120:$M$138,MATCH($C146,'(c)'!$C$120:$C$138,0))*$D146</f>
        <v>111304476.74205941</v>
      </c>
      <c r="G146" s="159">
        <f ca="1">INDEX('(c)'!$Q$120:$Q$138,MATCH($C146,'(c)'!$C$120:$C$138,0))*$D146</f>
        <v>120620219.61130552</v>
      </c>
    </row>
    <row r="147" spans="3:7" x14ac:dyDescent="0.25">
      <c r="C147" s="77" t="s">
        <v>95</v>
      </c>
      <c r="D147" s="160">
        <f>INDEX('[90]Exhibit 2'!$C$3:$C$34,MATCH($C147,'[90]Exhibit 2'!$B$3:$B$34,0))</f>
        <v>3699255</v>
      </c>
      <c r="E147" s="159">
        <f ca="1">INDEX('(c)'!$I$120:$I$138,MATCH($C147,'(c)'!$C$120:$C$138,0))*$D147</f>
        <v>58112722.730472066</v>
      </c>
      <c r="F147" s="159">
        <f ca="1">INDEX('(c)'!$M$120:$M$138,MATCH($C147,'(c)'!$C$120:$C$138,0))*$D147</f>
        <v>69122466.657546431</v>
      </c>
      <c r="G147" s="159">
        <f ca="1">INDEX('(c)'!$Q$120:$Q$138,MATCH($C147,'(c)'!$C$120:$C$138,0))*$D147</f>
        <v>76210196.663488403</v>
      </c>
    </row>
    <row r="148" spans="3:7" x14ac:dyDescent="0.25">
      <c r="C148" s="77" t="s">
        <v>96</v>
      </c>
      <c r="D148" s="160">
        <f>INDEX('[90]Exhibit 2'!$C$3:$C$34,MATCH($C148,'[90]Exhibit 2'!$B$3:$B$34,0))</f>
        <v>3686904</v>
      </c>
      <c r="E148" s="159">
        <f ca="1">INDEX('(c)'!$I$120:$I$138,MATCH($C148,'(c)'!$C$120:$C$138,0))*$D148</f>
        <v>40719348.607626788</v>
      </c>
      <c r="F148" s="159">
        <f ca="1">INDEX('(c)'!$M$120:$M$138,MATCH($C148,'(c)'!$C$120:$C$138,0))*$D148</f>
        <v>49837953.976586908</v>
      </c>
      <c r="G148" s="159">
        <f ca="1">INDEX('(c)'!$Q$120:$Q$138,MATCH($C148,'(c)'!$C$120:$C$138,0))*$D148</f>
        <v>55453261.136916593</v>
      </c>
    </row>
    <row r="149" spans="3:7" x14ac:dyDescent="0.25">
      <c r="C149" s="77" t="s">
        <v>97</v>
      </c>
      <c r="D149" s="160">
        <f>INDEX('[90]Exhibit 2'!$C$3:$C$34,MATCH($C149,'[90]Exhibit 2'!$B$3:$B$34,0))</f>
        <v>3686785</v>
      </c>
      <c r="E149" s="159">
        <f ca="1">INDEX('(c)'!$I$120:$I$138,MATCH($C149,'(c)'!$C$120:$C$138,0))*$D149</f>
        <v>23901541.69471233</v>
      </c>
      <c r="F149" s="159">
        <f ca="1">INDEX('(c)'!$M$120:$M$138,MATCH($C149,'(c)'!$C$120:$C$138,0))*$D149</f>
        <v>30354648.944158193</v>
      </c>
      <c r="G149" s="159">
        <f ca="1">INDEX('(c)'!$Q$120:$Q$138,MATCH($C149,'(c)'!$C$120:$C$138,0))*$D149</f>
        <v>34040400.136679202</v>
      </c>
    </row>
    <row r="150" spans="3:7" x14ac:dyDescent="0.25">
      <c r="C150" s="77" t="s">
        <v>98</v>
      </c>
      <c r="D150" s="160">
        <f>INDEX('[90]Exhibit 2'!$C$3:$C$34,MATCH($C150,'[90]Exhibit 2'!$B$3:$B$34,0))</f>
        <v>3697596</v>
      </c>
      <c r="E150" s="159">
        <f ca="1">INDEX('(c)'!$I$120:$I$138,MATCH($C150,'(c)'!$C$120:$C$138,0))*$D150</f>
        <v>19590699.190196596</v>
      </c>
      <c r="F150" s="159">
        <f ca="1">INDEX('(c)'!$M$120:$M$138,MATCH($C150,'(c)'!$C$120:$C$138,0))*$D150</f>
        <v>25412125.246990584</v>
      </c>
      <c r="G150" s="159">
        <f ca="1">INDEX('(c)'!$Q$120:$Q$138,MATCH($C150,'(c)'!$C$120:$C$138,0))*$D150</f>
        <v>28370136.066836178</v>
      </c>
    </row>
    <row r="151" spans="3:7" x14ac:dyDescent="0.25">
      <c r="C151" s="77" t="s">
        <v>103</v>
      </c>
      <c r="D151" s="160">
        <f>INDEX('[90]Exhibit 2'!$C$3:$C$34,MATCH($C151,'[90]Exhibit 2'!$B$3:$B$34,0))</f>
        <v>3800988</v>
      </c>
      <c r="E151" s="159">
        <f ca="1">INDEX('(c)'!$I$120:$I$138,MATCH($C151,'(c)'!$C$120:$C$138,0))*$D151</f>
        <v>15021562.496784789</v>
      </c>
      <c r="F151" s="159">
        <f ca="1">INDEX('(c)'!$M$120:$M$138,MATCH($C151,'(c)'!$C$120:$C$138,0))*$D151</f>
        <v>19309781.21432282</v>
      </c>
      <c r="G151" s="159">
        <f ca="1">INDEX('(c)'!$Q$120:$Q$138,MATCH($C151,'(c)'!$C$120:$C$138,0))*$D151</f>
        <v>21340988.722859602</v>
      </c>
    </row>
    <row r="152" spans="3:7" x14ac:dyDescent="0.25">
      <c r="C152" s="77" t="s">
        <v>104</v>
      </c>
      <c r="D152" s="160">
        <f>INDEX('[90]Exhibit 2'!$C$3:$C$34,MATCH($C152,'[90]Exhibit 2'!$B$3:$B$34,0))</f>
        <v>3795321</v>
      </c>
      <c r="E152" s="159">
        <f ca="1">INDEX('(c)'!$I$120:$I$138,MATCH($C152,'(c)'!$C$120:$C$138,0))*$D152</f>
        <v>9140156.9567764401</v>
      </c>
      <c r="F152" s="159">
        <f ca="1">INDEX('(c)'!$M$120:$M$138,MATCH($C152,'(c)'!$C$120:$C$138,0))*$D152</f>
        <v>11289992.726217138</v>
      </c>
      <c r="G152" s="159">
        <f ca="1">INDEX('(c)'!$Q$120:$Q$138,MATCH($C152,'(c)'!$C$120:$C$138,0))*$D152</f>
        <v>12182839.821135201</v>
      </c>
    </row>
    <row r="153" spans="3:7" x14ac:dyDescent="0.25">
      <c r="C153" s="77" t="s">
        <v>105</v>
      </c>
      <c r="D153" s="160">
        <f>INDEX('[90]Exhibit 2'!$C$3:$C$34,MATCH($C153,'[90]Exhibit 2'!$B$3:$B$34,0))</f>
        <v>3796860</v>
      </c>
      <c r="E153" s="159">
        <f ca="1">INDEX('(c)'!$I$120:$I$138,MATCH($C153,'(c)'!$C$120:$C$138,0))*$D153</f>
        <v>5176956.4158709813</v>
      </c>
      <c r="F153" s="159">
        <f ca="1">INDEX('(c)'!$M$120:$M$138,MATCH($C153,'(c)'!$C$120:$C$138,0))*$D153</f>
        <v>6261536.3106995923</v>
      </c>
      <c r="G153" s="159">
        <f ca="1">INDEX('(c)'!$Q$120:$Q$138,MATCH($C153,'(c)'!$C$120:$C$138,0))*$D153</f>
        <v>6796552.0370408613</v>
      </c>
    </row>
    <row r="154" spans="3:7" x14ac:dyDescent="0.25">
      <c r="C154" s="77" t="s">
        <v>106</v>
      </c>
      <c r="D154" s="160">
        <f>INDEX('[90]Exhibit 2'!$C$3:$C$34,MATCH($C154,'[90]Exhibit 2'!$B$3:$B$34,0))</f>
        <v>3799900</v>
      </c>
      <c r="E154" s="159">
        <f ca="1">INDEX('(c)'!$I$120:$I$138,MATCH($C154,'(c)'!$C$120:$C$138,0))*$D154</f>
        <v>2271175.3287424543</v>
      </c>
      <c r="F154" s="159">
        <f ca="1">INDEX('(c)'!$M$120:$M$138,MATCH($C154,'(c)'!$C$120:$C$138,0))*$D154</f>
        <v>2695298.1704687141</v>
      </c>
      <c r="G154" s="159">
        <f ca="1">INDEX('(c)'!$Q$120:$Q$138,MATCH($C154,'(c)'!$C$120:$C$138,0))*$D154</f>
        <v>2963178.7332451106</v>
      </c>
    </row>
    <row r="155" spans="3:7" x14ac:dyDescent="0.25">
      <c r="C155" s="77" t="s">
        <v>107</v>
      </c>
      <c r="D155" s="160">
        <f>INDEX('[90]Exhibit 2'!$C$3:$C$34,MATCH($C155,'[90]Exhibit 2'!$B$3:$B$34,0))</f>
        <v>3797329</v>
      </c>
      <c r="E155" s="159">
        <f ca="1">INDEX('(c)'!$I$120:$I$138,MATCH($C155,'(c)'!$C$120:$C$138,0))*$D155</f>
        <v>716954.46912777715</v>
      </c>
      <c r="F155" s="159">
        <f ca="1">INDEX('(c)'!$M$120:$M$138,MATCH($C155,'(c)'!$C$120:$C$138,0))*$D155</f>
        <v>821366.70238087466</v>
      </c>
      <c r="G155" s="159">
        <f ca="1">INDEX('(c)'!$Q$120:$Q$138,MATCH($C155,'(c)'!$C$120:$C$138,0))*$D155</f>
        <v>947806.7724040139</v>
      </c>
    </row>
    <row r="156" spans="3:7" x14ac:dyDescent="0.25">
      <c r="C156" s="77" t="s">
        <v>108</v>
      </c>
      <c r="D156" s="160">
        <f>INDEX('[90]Exhibit 2'!$C$3:$C$34,MATCH($C156,'[90]Exhibit 2'!$B$3:$B$34,0))</f>
        <v>3810668</v>
      </c>
      <c r="E156" s="159">
        <f ca="1">INDEX('(c)'!$I$120:$I$138,MATCH($C156,'(c)'!$C$120:$C$138,0))*$D156</f>
        <v>170714.39754693859</v>
      </c>
      <c r="F156" s="159">
        <f ca="1">INDEX('(c)'!$M$120:$M$138,MATCH($C156,'(c)'!$C$120:$C$138,0))*$D156</f>
        <v>224184.83791500103</v>
      </c>
      <c r="G156" s="159">
        <f ca="1">INDEX('(c)'!$Q$120:$Q$138,MATCH($C156,'(c)'!$C$120:$C$138,0))*$D156</f>
        <v>266936.0911658401</v>
      </c>
    </row>
    <row r="157" spans="3:7" x14ac:dyDescent="0.25">
      <c r="C157" s="77" t="s">
        <v>109</v>
      </c>
      <c r="D157" s="160">
        <f>INDEX('[90]Exhibit 2'!$C$3:$C$34,MATCH($C157,'[90]Exhibit 2'!$B$3:$B$34,0))</f>
        <v>3825850</v>
      </c>
      <c r="E157" s="159">
        <f ca="1">INDEX('(c)'!$I$120:$I$138,MATCH($C157,'(c)'!$C$120:$C$138,0))*$D157</f>
        <v>60576.23900649236</v>
      </c>
      <c r="F157" s="159">
        <f ca="1">INDEX('(c)'!$M$120:$M$138,MATCH($C157,'(c)'!$C$120:$C$138,0))*$D157</f>
        <v>80483.580734656673</v>
      </c>
      <c r="G157" s="159">
        <f ca="1">INDEX('(c)'!$Q$120:$Q$138,MATCH($C157,'(c)'!$C$120:$C$138,0))*$D157</f>
        <v>91963.577950145511</v>
      </c>
    </row>
    <row r="158" spans="3:7" x14ac:dyDescent="0.25">
      <c r="C158" s="77" t="s">
        <v>110</v>
      </c>
      <c r="D158" s="160">
        <f>INDEX('[90]Exhibit 2'!$C$3:$C$34,MATCH($C158,'[90]Exhibit 2'!$B$3:$B$34,0))</f>
        <v>3836568</v>
      </c>
      <c r="E158" s="159">
        <f ca="1">INDEX('(c)'!$I$120:$I$138,MATCH($C158,'(c)'!$C$120:$C$138,0))*$D158</f>
        <v>10053.973953364002</v>
      </c>
      <c r="F158" s="159">
        <f ca="1">INDEX('(c)'!$M$120:$M$138,MATCH($C158,'(c)'!$C$120:$C$138,0))*$D158</f>
        <v>11831.879048065986</v>
      </c>
      <c r="G158" s="159">
        <f ca="1">INDEX('(c)'!$Q$120:$Q$138,MATCH($C158,'(c)'!$C$120:$C$138,0))*$D158</f>
        <v>13869.146934249715</v>
      </c>
    </row>
    <row r="159" spans="3:7" x14ac:dyDescent="0.25">
      <c r="C159" s="77" t="s">
        <v>111</v>
      </c>
      <c r="D159" s="160">
        <f>INDEX('[90]Exhibit 2'!$C$3:$C$34,MATCH($C159,'[90]Exhibit 2'!$B$3:$B$34,0))</f>
        <v>3861213</v>
      </c>
      <c r="E159" s="159">
        <f ca="1">INDEX('(c)'!$I$120:$I$138,MATCH($C159,'(c)'!$C$120:$C$138,0))*$D159</f>
        <v>1149.3506883949701</v>
      </c>
      <c r="F159" s="159">
        <f ca="1">INDEX('(c)'!$M$120:$M$138,MATCH($C159,'(c)'!$C$120:$C$138,0))*$D159</f>
        <v>1244.7475632305377</v>
      </c>
      <c r="G159" s="159">
        <f ca="1">INDEX('(c)'!$Q$120:$Q$138,MATCH($C159,'(c)'!$C$120:$C$138,0))*$D159</f>
        <v>1325.7529321770301</v>
      </c>
    </row>
    <row r="160" spans="3:7" x14ac:dyDescent="0.25">
      <c r="C160" s="77" t="s">
        <v>112</v>
      </c>
      <c r="D160" s="160">
        <f>INDEX('[90]Exhibit 2'!$C$3:$C$34,MATCH($C160,'[90]Exhibit 2'!$B$3:$B$34,0))</f>
        <v>3866938</v>
      </c>
      <c r="E160" s="159">
        <f ca="1">INDEX('(c)'!$I$120:$I$138,MATCH($C160,'(c)'!$C$120:$C$138,0))*$D160</f>
        <v>123.59249269873095</v>
      </c>
      <c r="F160" s="159">
        <f ca="1">INDEX('(c)'!$M$120:$M$138,MATCH($C160,'(c)'!$C$120:$C$138,0))*$D160</f>
        <v>99.734356432282993</v>
      </c>
      <c r="G160" s="159">
        <f ca="1">INDEX('(c)'!$Q$120:$Q$138,MATCH($C160,'(c)'!$C$120:$C$138,0))*$D160</f>
        <v>124.81664643989234</v>
      </c>
    </row>
    <row r="161" spans="3:7" x14ac:dyDescent="0.25">
      <c r="C161" s="77" t="s">
        <v>113</v>
      </c>
      <c r="D161" s="160">
        <f>INDEX('[90]Exhibit 2'!$C$3:$C$34,MATCH($C161,'[90]Exhibit 2'!$B$3:$B$34,0))</f>
        <v>3874416</v>
      </c>
      <c r="E161" s="159">
        <f ca="1">INDEX('(c)'!$I$120:$I$138,MATCH($C161,'(c)'!$C$120:$C$138,0))*$D161</f>
        <v>0</v>
      </c>
      <c r="F161" s="159">
        <f ca="1">INDEX('(c)'!$M$120:$M$138,MATCH($C161,'(c)'!$C$120:$C$138,0))*$D161</f>
        <v>0</v>
      </c>
      <c r="G161" s="159">
        <f ca="1">INDEX('(c)'!$Q$120:$Q$138,MATCH($C161,'(c)'!$C$120:$C$138,0))*$D161</f>
        <v>0</v>
      </c>
    </row>
    <row r="162" spans="3:7" x14ac:dyDescent="0.25">
      <c r="C162" s="79" t="s">
        <v>1</v>
      </c>
      <c r="D162" s="158"/>
      <c r="E162" s="157">
        <f ca="1">SUM(E143:E161)</f>
        <v>1133159387.2921302</v>
      </c>
      <c r="F162" s="157">
        <f ca="1">SUM(F143:F161)</f>
        <v>1291548662.3258018</v>
      </c>
      <c r="G162" s="157">
        <f ca="1">SUM(G143:G161)</f>
        <v>1368079682.1144116</v>
      </c>
    </row>
  </sheetData>
  <mergeCells count="4">
    <mergeCell ref="N118:Q118"/>
    <mergeCell ref="J118:M118"/>
    <mergeCell ref="F118:I118"/>
    <mergeCell ref="E141:G14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65027-22CF-46F0-9BA0-035716013FBB}">
  <dimension ref="A1:T99"/>
  <sheetViews>
    <sheetView zoomScale="85" zoomScaleNormal="85" workbookViewId="0"/>
  </sheetViews>
  <sheetFormatPr defaultRowHeight="15" x14ac:dyDescent="0.25"/>
  <cols>
    <col min="1" max="1" width="11.140625" customWidth="1"/>
    <col min="2" max="2" width="47.42578125" customWidth="1"/>
    <col min="3" max="5" width="19.5703125" customWidth="1"/>
    <col min="6" max="6" width="2.85546875" style="217" customWidth="1"/>
    <col min="8" max="8" width="37.42578125" bestFit="1" customWidth="1"/>
    <col min="9" max="9" width="16.5703125" customWidth="1"/>
    <col min="10" max="10" width="8.85546875" customWidth="1"/>
    <col min="11" max="11" width="14.85546875" customWidth="1"/>
    <col min="12" max="12" width="23.140625" customWidth="1"/>
    <col min="13" max="13" width="2.85546875" style="217" customWidth="1"/>
    <col min="15" max="15" width="34.42578125" customWidth="1"/>
    <col min="16" max="16" width="16.5703125" customWidth="1"/>
    <col min="18" max="18" width="15.140625" bestFit="1" customWidth="1"/>
    <col min="19" max="19" width="15.85546875" customWidth="1"/>
    <col min="20" max="20" width="2.85546875" style="217" customWidth="1"/>
  </cols>
  <sheetData>
    <row r="1" spans="1:19" ht="15.75" x14ac:dyDescent="0.25">
      <c r="A1" s="66" t="s">
        <v>391</v>
      </c>
      <c r="B1" s="27"/>
      <c r="C1" s="27"/>
      <c r="D1" s="27"/>
      <c r="E1" s="27"/>
      <c r="G1" s="66" t="s">
        <v>391</v>
      </c>
      <c r="H1" s="27"/>
      <c r="I1" s="27"/>
      <c r="J1" s="27"/>
      <c r="K1" s="27"/>
      <c r="L1" s="27"/>
      <c r="N1" s="66" t="s">
        <v>391</v>
      </c>
      <c r="O1" s="27"/>
      <c r="P1" s="27"/>
      <c r="Q1" s="27"/>
      <c r="R1" s="27"/>
      <c r="S1" s="27"/>
    </row>
    <row r="2" spans="1:19" ht="15.6" customHeight="1" x14ac:dyDescent="0.25">
      <c r="A2" s="66" t="s">
        <v>392</v>
      </c>
      <c r="B2" s="27"/>
      <c r="C2" s="27"/>
      <c r="D2" s="27"/>
      <c r="E2" s="27"/>
      <c r="G2" s="66" t="s">
        <v>392</v>
      </c>
      <c r="H2" s="27"/>
      <c r="I2" s="27"/>
      <c r="J2" s="27"/>
      <c r="K2" s="27"/>
      <c r="L2" s="27"/>
      <c r="N2" s="66" t="s">
        <v>392</v>
      </c>
      <c r="O2" s="27"/>
      <c r="P2" s="27"/>
      <c r="Q2" s="27"/>
      <c r="R2" s="27"/>
      <c r="S2" s="27"/>
    </row>
    <row r="3" spans="1:19" ht="15.6" customHeight="1" x14ac:dyDescent="0.3">
      <c r="A3" s="35" t="s">
        <v>393</v>
      </c>
      <c r="B3" s="26"/>
      <c r="C3" s="26"/>
      <c r="D3" s="26"/>
      <c r="E3" s="26"/>
      <c r="G3" s="35" t="s">
        <v>393</v>
      </c>
      <c r="H3" s="27"/>
      <c r="I3" s="27"/>
      <c r="J3" s="27"/>
      <c r="K3" s="27"/>
      <c r="L3" s="27"/>
      <c r="N3" s="35" t="s">
        <v>393</v>
      </c>
      <c r="O3" s="27"/>
      <c r="P3" s="27"/>
      <c r="Q3" s="27"/>
      <c r="R3" s="27"/>
      <c r="S3" s="27"/>
    </row>
    <row r="4" spans="1:19" ht="15.6" customHeight="1" x14ac:dyDescent="0.3">
      <c r="A4" s="35"/>
      <c r="B4" s="26"/>
      <c r="C4" s="26"/>
      <c r="D4" s="26"/>
      <c r="E4" s="26"/>
      <c r="G4" s="35"/>
      <c r="H4" s="27"/>
      <c r="I4" s="27"/>
      <c r="J4" s="27"/>
      <c r="K4" s="27"/>
      <c r="L4" s="27"/>
      <c r="N4" s="27"/>
      <c r="O4" s="27"/>
      <c r="P4" s="27"/>
      <c r="Q4" s="27"/>
      <c r="R4" s="27"/>
      <c r="S4" s="27"/>
    </row>
    <row r="5" spans="1:19" ht="15.6" customHeight="1" x14ac:dyDescent="0.3">
      <c r="A5" s="218" t="s">
        <v>394</v>
      </c>
      <c r="B5" s="26"/>
      <c r="C5" s="26"/>
      <c r="D5" s="26"/>
      <c r="E5" s="26"/>
      <c r="G5" s="218" t="s">
        <v>395</v>
      </c>
      <c r="H5" s="27"/>
      <c r="I5" s="27"/>
      <c r="J5" s="27"/>
      <c r="K5" s="27"/>
      <c r="L5" s="27"/>
      <c r="N5" s="218" t="s">
        <v>395</v>
      </c>
      <c r="O5" s="27"/>
      <c r="P5" s="27"/>
      <c r="Q5" s="27"/>
      <c r="R5" s="27"/>
      <c r="S5" s="27"/>
    </row>
    <row r="6" spans="1:19" x14ac:dyDescent="0.25">
      <c r="A6" s="27"/>
      <c r="B6" s="27"/>
      <c r="C6" s="27"/>
      <c r="D6" s="27"/>
      <c r="E6" s="27"/>
      <c r="G6" s="27"/>
      <c r="H6" s="27"/>
      <c r="I6" s="27"/>
      <c r="J6" s="27"/>
      <c r="K6" s="27"/>
      <c r="L6" s="27"/>
      <c r="N6" s="27"/>
      <c r="O6" s="27"/>
      <c r="P6" s="27"/>
      <c r="Q6" s="27"/>
      <c r="R6" s="27"/>
      <c r="S6" s="27"/>
    </row>
    <row r="7" spans="1:19" ht="15.6" customHeight="1" x14ac:dyDescent="0.25">
      <c r="A7" s="28" t="s">
        <v>396</v>
      </c>
      <c r="B7" s="28"/>
      <c r="C7" s="28"/>
      <c r="D7" s="28"/>
      <c r="E7" s="28"/>
      <c r="G7" s="219" t="s">
        <v>397</v>
      </c>
      <c r="H7" s="27"/>
      <c r="I7" s="27"/>
      <c r="J7" s="27"/>
      <c r="K7" s="27"/>
      <c r="L7" s="27"/>
      <c r="N7" s="219" t="s">
        <v>398</v>
      </c>
      <c r="O7" s="27"/>
      <c r="P7" s="27"/>
      <c r="Q7" s="27"/>
      <c r="R7" s="27"/>
      <c r="S7" s="27"/>
    </row>
    <row r="8" spans="1:19" ht="15.75" x14ac:dyDescent="0.25">
      <c r="A8" s="28"/>
      <c r="B8" s="28"/>
      <c r="C8" s="28"/>
      <c r="D8" s="28"/>
      <c r="E8" s="28"/>
      <c r="G8" s="220" t="s">
        <v>399</v>
      </c>
      <c r="H8" s="27"/>
      <c r="I8" s="27"/>
      <c r="J8" s="27"/>
      <c r="K8" s="27"/>
      <c r="L8" s="27"/>
      <c r="N8" s="219" t="s">
        <v>400</v>
      </c>
      <c r="O8" s="27"/>
      <c r="P8" s="27"/>
      <c r="Q8" s="27"/>
      <c r="R8" s="27"/>
      <c r="S8" s="27"/>
    </row>
    <row r="9" spans="1:19" ht="15.75" x14ac:dyDescent="0.25">
      <c r="A9" s="28" t="s">
        <v>401</v>
      </c>
      <c r="B9" s="28"/>
      <c r="C9" s="28"/>
      <c r="D9" s="28"/>
      <c r="E9" s="28"/>
      <c r="G9" s="220" t="s">
        <v>402</v>
      </c>
      <c r="H9" s="27"/>
      <c r="I9" s="27"/>
      <c r="J9" s="27"/>
      <c r="K9" s="27"/>
      <c r="L9" s="27"/>
      <c r="N9" s="27"/>
      <c r="O9" s="27"/>
      <c r="P9" s="27"/>
      <c r="Q9" s="27"/>
      <c r="R9" s="27"/>
      <c r="S9" s="27"/>
    </row>
    <row r="10" spans="1:19" ht="15.75" x14ac:dyDescent="0.25">
      <c r="A10" s="28"/>
      <c r="B10" s="28"/>
      <c r="C10" s="28"/>
      <c r="D10" s="28"/>
      <c r="E10" s="28"/>
      <c r="G10" s="220" t="s">
        <v>403</v>
      </c>
      <c r="H10" s="27"/>
      <c r="I10" s="27"/>
      <c r="J10" s="27"/>
      <c r="K10" s="27"/>
      <c r="L10" s="27"/>
      <c r="N10" s="27"/>
      <c r="O10" s="27"/>
      <c r="P10" s="27"/>
      <c r="Q10" s="27"/>
      <c r="R10" s="27"/>
      <c r="S10" s="27"/>
    </row>
    <row r="11" spans="1:19" ht="15.75" x14ac:dyDescent="0.25">
      <c r="A11" s="219" t="s">
        <v>397</v>
      </c>
      <c r="B11" s="219"/>
      <c r="C11" s="219"/>
      <c r="D11" s="219"/>
      <c r="E11" s="219"/>
      <c r="G11" s="220" t="s">
        <v>404</v>
      </c>
      <c r="H11" s="27"/>
      <c r="I11" s="27"/>
      <c r="J11" s="27"/>
      <c r="K11" s="27"/>
      <c r="L11" s="27"/>
      <c r="N11" s="27"/>
      <c r="O11" s="27"/>
      <c r="P11" s="27"/>
      <c r="Q11" s="27"/>
      <c r="R11" s="27"/>
      <c r="S11" s="27"/>
    </row>
    <row r="12" spans="1:19" ht="15.75" x14ac:dyDescent="0.25">
      <c r="A12" s="220" t="s">
        <v>399</v>
      </c>
      <c r="B12" s="220"/>
      <c r="C12" s="220"/>
      <c r="D12" s="220"/>
      <c r="E12" s="220"/>
      <c r="G12" s="27"/>
      <c r="H12" s="27"/>
      <c r="I12" s="27"/>
      <c r="J12" s="27"/>
      <c r="K12" s="27"/>
      <c r="L12" s="27"/>
      <c r="N12" s="27"/>
      <c r="O12" s="27"/>
      <c r="P12" s="27"/>
      <c r="Q12" s="27"/>
      <c r="R12" s="27"/>
      <c r="S12" s="27"/>
    </row>
    <row r="13" spans="1:19" ht="15.75" x14ac:dyDescent="0.25">
      <c r="A13" s="220" t="s">
        <v>402</v>
      </c>
      <c r="B13" s="220"/>
      <c r="C13" s="220"/>
      <c r="D13" s="220"/>
      <c r="E13" s="220"/>
    </row>
    <row r="14" spans="1:19" ht="15.75" x14ac:dyDescent="0.25">
      <c r="A14" s="220" t="s">
        <v>403</v>
      </c>
      <c r="B14" s="220"/>
      <c r="C14" s="220"/>
      <c r="D14" s="220"/>
      <c r="E14" s="220"/>
      <c r="I14" s="221" t="s">
        <v>405</v>
      </c>
      <c r="K14" s="221" t="s">
        <v>406</v>
      </c>
      <c r="P14" s="221" t="s">
        <v>405</v>
      </c>
      <c r="R14" s="221" t="s">
        <v>406</v>
      </c>
    </row>
    <row r="15" spans="1:19" ht="15.75" x14ac:dyDescent="0.25">
      <c r="A15" s="220" t="s">
        <v>404</v>
      </c>
      <c r="B15" s="220"/>
      <c r="C15" s="220"/>
      <c r="D15" s="220"/>
      <c r="E15" s="220"/>
      <c r="H15" t="s">
        <v>407</v>
      </c>
      <c r="I15" s="222">
        <f>C30*1000</f>
        <v>19448000</v>
      </c>
      <c r="K15" s="222">
        <f>D30*1000</f>
        <v>72764000</v>
      </c>
      <c r="O15" t="s">
        <v>407</v>
      </c>
      <c r="P15" s="222">
        <f>I15</f>
        <v>19448000</v>
      </c>
      <c r="R15" s="222">
        <f>K15</f>
        <v>72764000</v>
      </c>
    </row>
    <row r="16" spans="1:19" x14ac:dyDescent="0.25">
      <c r="A16" s="27"/>
      <c r="B16" s="27"/>
      <c r="C16" s="27"/>
      <c r="D16" s="27"/>
      <c r="E16" s="27"/>
      <c r="H16" t="s">
        <v>408</v>
      </c>
      <c r="I16" s="222">
        <f>C43*1000</f>
        <v>2482000</v>
      </c>
      <c r="K16" s="222">
        <f>D43*1000</f>
        <v>1114000</v>
      </c>
      <c r="O16" t="s">
        <v>408</v>
      </c>
      <c r="P16" s="222">
        <f t="shared" ref="P16:R20" si="0">I16</f>
        <v>2482000</v>
      </c>
      <c r="R16" s="222">
        <f t="shared" si="0"/>
        <v>1114000</v>
      </c>
    </row>
    <row r="17" spans="1:19" ht="15.75" x14ac:dyDescent="0.25">
      <c r="A17" s="219" t="s">
        <v>398</v>
      </c>
      <c r="B17" s="219"/>
      <c r="C17" s="219"/>
      <c r="D17" s="219"/>
      <c r="E17" s="219"/>
      <c r="H17" t="s">
        <v>409</v>
      </c>
      <c r="I17" s="222">
        <f>C50*1000</f>
        <v>21479000</v>
      </c>
      <c r="K17" s="222">
        <f>D50*1000</f>
        <v>56370000</v>
      </c>
      <c r="O17" t="s">
        <v>409</v>
      </c>
      <c r="P17" s="222">
        <f t="shared" si="0"/>
        <v>21479000</v>
      </c>
      <c r="R17" s="222">
        <f t="shared" si="0"/>
        <v>56370000</v>
      </c>
    </row>
    <row r="18" spans="1:19" ht="15.75" x14ac:dyDescent="0.25">
      <c r="A18" s="219" t="s">
        <v>400</v>
      </c>
      <c r="B18" s="219"/>
      <c r="C18" s="219"/>
      <c r="D18" s="219"/>
      <c r="E18" s="219"/>
      <c r="H18" t="s">
        <v>410</v>
      </c>
      <c r="I18" s="222">
        <f>C67*1000</f>
        <v>11427000</v>
      </c>
      <c r="K18" s="222">
        <f>D67*1000</f>
        <v>25988000</v>
      </c>
      <c r="O18" t="s">
        <v>410</v>
      </c>
      <c r="P18" s="222">
        <f t="shared" si="0"/>
        <v>11427000</v>
      </c>
      <c r="R18" s="222">
        <f t="shared" si="0"/>
        <v>25988000</v>
      </c>
    </row>
    <row r="19" spans="1:19" x14ac:dyDescent="0.25">
      <c r="A19" s="27"/>
      <c r="B19" s="27"/>
      <c r="C19" s="27"/>
      <c r="D19" s="27"/>
      <c r="E19" s="27"/>
      <c r="H19" t="s">
        <v>411</v>
      </c>
      <c r="I19" s="222">
        <f>C27*1000</f>
        <v>16270000</v>
      </c>
      <c r="K19" s="222">
        <f>D27*1000</f>
        <v>71694000</v>
      </c>
      <c r="O19" t="s">
        <v>411</v>
      </c>
      <c r="P19" s="222">
        <f t="shared" si="0"/>
        <v>16270000</v>
      </c>
      <c r="R19" s="222">
        <f t="shared" si="0"/>
        <v>71694000</v>
      </c>
    </row>
    <row r="20" spans="1:19" ht="15.75" thickBot="1" x14ac:dyDescent="0.3">
      <c r="A20" s="27"/>
      <c r="B20" s="27"/>
      <c r="C20" s="27"/>
      <c r="D20" s="27"/>
      <c r="E20" s="27"/>
      <c r="H20" t="s">
        <v>412</v>
      </c>
      <c r="I20" s="222">
        <f>(C27-(C39-C37))*1000</f>
        <v>275000</v>
      </c>
      <c r="K20" s="222">
        <f>(D27-(D39-D37))*1000</f>
        <v>2047000</v>
      </c>
      <c r="O20" t="s">
        <v>412</v>
      </c>
      <c r="P20" s="222">
        <f t="shared" si="0"/>
        <v>275000</v>
      </c>
      <c r="R20" s="222">
        <f t="shared" si="0"/>
        <v>2047000</v>
      </c>
    </row>
    <row r="21" spans="1:19" ht="19.5" thickBot="1" x14ac:dyDescent="0.35">
      <c r="A21" s="223" t="s">
        <v>413</v>
      </c>
      <c r="B21" s="224"/>
      <c r="C21" s="224"/>
      <c r="D21" s="225"/>
      <c r="E21" s="226"/>
      <c r="I21" s="222"/>
      <c r="K21" s="222"/>
      <c r="P21" s="222"/>
      <c r="R21" s="222"/>
    </row>
    <row r="22" spans="1:19" ht="15.75" thickBot="1" x14ac:dyDescent="0.3">
      <c r="A22" s="227" t="s">
        <v>414</v>
      </c>
      <c r="B22" s="27"/>
      <c r="C22" s="27"/>
      <c r="D22" s="228" t="s">
        <v>415</v>
      </c>
      <c r="E22" s="229"/>
      <c r="G22" s="71"/>
      <c r="N22" s="71"/>
    </row>
    <row r="23" spans="1:19" ht="18.75" x14ac:dyDescent="0.3">
      <c r="A23" s="230" t="s">
        <v>90</v>
      </c>
      <c r="B23" s="231"/>
      <c r="C23" s="232" t="s">
        <v>405</v>
      </c>
      <c r="D23" s="233" t="s">
        <v>416</v>
      </c>
      <c r="E23" s="234"/>
      <c r="G23" s="71"/>
      <c r="H23" s="235" t="s">
        <v>71</v>
      </c>
      <c r="N23" s="71"/>
      <c r="O23" s="235" t="s">
        <v>72</v>
      </c>
      <c r="Q23" s="236"/>
      <c r="S23" s="236"/>
    </row>
    <row r="24" spans="1:19" x14ac:dyDescent="0.25">
      <c r="A24" s="237"/>
      <c r="B24" s="238" t="s">
        <v>417</v>
      </c>
      <c r="C24" s="239">
        <v>13717</v>
      </c>
      <c r="D24" s="240">
        <v>66599</v>
      </c>
      <c r="E24" s="241"/>
      <c r="G24" s="71"/>
      <c r="H24" t="s">
        <v>418</v>
      </c>
      <c r="I24" s="242">
        <f>I15/I17</f>
        <v>0.90544252525722801</v>
      </c>
      <c r="K24" s="242">
        <f>K15/K17</f>
        <v>1.2908284548518716</v>
      </c>
      <c r="N24" s="71"/>
      <c r="O24" t="s">
        <v>419</v>
      </c>
      <c r="P24" s="243">
        <f>P16/P15</f>
        <v>0.12762237762237763</v>
      </c>
      <c r="R24" s="243">
        <f>R16/R15</f>
        <v>1.5309768566873728E-2</v>
      </c>
    </row>
    <row r="25" spans="1:19" x14ac:dyDescent="0.25">
      <c r="A25" s="237"/>
      <c r="B25" s="244" t="s">
        <v>420</v>
      </c>
      <c r="C25" s="239">
        <v>2553</v>
      </c>
      <c r="D25" s="240">
        <v>5050</v>
      </c>
      <c r="E25" s="241"/>
      <c r="G25" s="71"/>
      <c r="H25" t="s">
        <v>421</v>
      </c>
      <c r="I25" s="243">
        <f>I16/I17</f>
        <v>0.11555472787373713</v>
      </c>
      <c r="K25" s="243">
        <f>K16/K17</f>
        <v>1.9762284903317367E-2</v>
      </c>
      <c r="N25" s="71"/>
      <c r="O25" t="s">
        <v>422</v>
      </c>
      <c r="P25" s="243">
        <f>P20/P19</f>
        <v>1.6902274124154886E-2</v>
      </c>
      <c r="R25" s="243">
        <f>R20/R19</f>
        <v>2.8551901135380923E-2</v>
      </c>
    </row>
    <row r="26" spans="1:19" x14ac:dyDescent="0.25">
      <c r="A26" s="237"/>
      <c r="B26" s="244" t="s">
        <v>423</v>
      </c>
      <c r="C26" s="239">
        <v>0</v>
      </c>
      <c r="D26" s="240">
        <v>45</v>
      </c>
      <c r="E26" s="241"/>
      <c r="G26" s="71"/>
      <c r="H26" t="s">
        <v>424</v>
      </c>
      <c r="I26" s="245">
        <f>I17/I18</f>
        <v>1.8796709547562789</v>
      </c>
      <c r="K26" s="245">
        <f>K17/K18</f>
        <v>2.1690780360166229</v>
      </c>
    </row>
    <row r="27" spans="1:19" x14ac:dyDescent="0.25">
      <c r="A27" s="237"/>
      <c r="B27" s="246" t="s">
        <v>425</v>
      </c>
      <c r="C27" s="247">
        <f>C24+C25+C26</f>
        <v>16270</v>
      </c>
      <c r="D27" s="248">
        <f>SUM(D24:D26)</f>
        <v>71694</v>
      </c>
      <c r="E27" s="249"/>
      <c r="G27" s="71"/>
      <c r="H27" t="s">
        <v>426</v>
      </c>
      <c r="I27" s="243">
        <f>I16/I18</f>
        <v>0.2172048656690295</v>
      </c>
      <c r="K27" s="243">
        <f>K16/K18</f>
        <v>4.2865938125288598E-2</v>
      </c>
    </row>
    <row r="28" spans="1:19" x14ac:dyDescent="0.25">
      <c r="A28" s="237"/>
      <c r="B28" s="244" t="s">
        <v>427</v>
      </c>
      <c r="C28" s="239">
        <v>3178</v>
      </c>
      <c r="D28" s="240">
        <v>749</v>
      </c>
      <c r="E28" s="241"/>
    </row>
    <row r="29" spans="1:19" x14ac:dyDescent="0.25">
      <c r="A29" s="237"/>
      <c r="B29" s="244" t="s">
        <v>428</v>
      </c>
      <c r="C29" s="239">
        <v>0</v>
      </c>
      <c r="D29" s="240">
        <v>321</v>
      </c>
      <c r="E29" s="241"/>
    </row>
    <row r="30" spans="1:19" ht="15.75" thickBot="1" x14ac:dyDescent="0.3">
      <c r="A30" s="237"/>
      <c r="B30" s="250" t="s">
        <v>429</v>
      </c>
      <c r="C30" s="251">
        <f>SUM(C27:C29)</f>
        <v>19448</v>
      </c>
      <c r="D30" s="252">
        <f>SUM(D27:D29)</f>
        <v>72764</v>
      </c>
      <c r="E30" s="253"/>
    </row>
    <row r="31" spans="1:19" x14ac:dyDescent="0.25">
      <c r="A31" s="237"/>
      <c r="B31" s="27"/>
      <c r="C31" s="27"/>
      <c r="D31" s="254"/>
      <c r="E31" s="27"/>
    </row>
    <row r="32" spans="1:19" ht="18.75" x14ac:dyDescent="0.3">
      <c r="A32" s="255" t="s">
        <v>430</v>
      </c>
      <c r="B32" s="256"/>
      <c r="C32" s="234"/>
      <c r="D32" s="257"/>
      <c r="E32" s="234"/>
    </row>
    <row r="33" spans="1:5" x14ac:dyDescent="0.25">
      <c r="A33" s="237"/>
      <c r="B33" s="238" t="s">
        <v>431</v>
      </c>
      <c r="C33" s="239">
        <v>9431</v>
      </c>
      <c r="D33" s="240">
        <v>57230</v>
      </c>
      <c r="E33" s="241"/>
    </row>
    <row r="34" spans="1:5" x14ac:dyDescent="0.25">
      <c r="A34" s="237"/>
      <c r="B34" s="244" t="s">
        <v>432</v>
      </c>
      <c r="C34" s="239">
        <v>1941</v>
      </c>
      <c r="D34" s="240">
        <v>1541</v>
      </c>
      <c r="E34" s="241"/>
    </row>
    <row r="35" spans="1:5" x14ac:dyDescent="0.25">
      <c r="A35" s="237"/>
      <c r="B35" s="244" t="s">
        <v>433</v>
      </c>
      <c r="C35" s="239">
        <v>4084</v>
      </c>
      <c r="D35" s="240">
        <v>9246</v>
      </c>
      <c r="E35" s="241"/>
    </row>
    <row r="36" spans="1:5" x14ac:dyDescent="0.25">
      <c r="A36" s="237"/>
      <c r="B36" s="244" t="s">
        <v>434</v>
      </c>
      <c r="C36" s="239">
        <v>274</v>
      </c>
      <c r="D36" s="240">
        <v>1332</v>
      </c>
      <c r="E36" s="241"/>
    </row>
    <row r="37" spans="1:5" x14ac:dyDescent="0.25">
      <c r="A37" s="237"/>
      <c r="B37" s="244" t="s">
        <v>232</v>
      </c>
      <c r="C37" s="239">
        <v>350</v>
      </c>
      <c r="D37" s="240">
        <v>752</v>
      </c>
      <c r="E37" s="241"/>
    </row>
    <row r="38" spans="1:5" x14ac:dyDescent="0.25">
      <c r="A38" s="237"/>
      <c r="B38" s="244" t="s">
        <v>435</v>
      </c>
      <c r="C38" s="239">
        <v>265</v>
      </c>
      <c r="D38" s="240">
        <v>298</v>
      </c>
      <c r="E38" s="241"/>
    </row>
    <row r="39" spans="1:5" ht="15.75" thickBot="1" x14ac:dyDescent="0.3">
      <c r="A39" s="237"/>
      <c r="B39" s="258" t="s">
        <v>436</v>
      </c>
      <c r="C39" s="259">
        <f>SUM(C33:C38)</f>
        <v>16345</v>
      </c>
      <c r="D39" s="252">
        <f>SUM(D33:D38)</f>
        <v>70399</v>
      </c>
      <c r="E39" s="253"/>
    </row>
    <row r="40" spans="1:5" ht="15.75" thickTop="1" x14ac:dyDescent="0.25">
      <c r="A40" s="237"/>
      <c r="B40" s="260" t="s">
        <v>437</v>
      </c>
      <c r="C40" s="261">
        <f>C30-C39</f>
        <v>3103</v>
      </c>
      <c r="D40" s="262">
        <f>D30-D39</f>
        <v>2365</v>
      </c>
      <c r="E40" s="241"/>
    </row>
    <row r="41" spans="1:5" x14ac:dyDescent="0.25">
      <c r="A41" s="237"/>
      <c r="B41" s="263" t="s">
        <v>438</v>
      </c>
      <c r="C41" s="264">
        <f>ROUND(C40*0.2,0)</f>
        <v>621</v>
      </c>
      <c r="D41" s="265">
        <v>1251</v>
      </c>
      <c r="E41" s="241"/>
    </row>
    <row r="42" spans="1:5" x14ac:dyDescent="0.25">
      <c r="A42" s="237"/>
      <c r="B42" s="27"/>
      <c r="C42" s="27"/>
      <c r="D42" s="254"/>
      <c r="E42" s="27"/>
    </row>
    <row r="43" spans="1:5" ht="18.75" x14ac:dyDescent="0.3">
      <c r="A43" s="266" t="s">
        <v>439</v>
      </c>
      <c r="B43" s="267"/>
      <c r="C43" s="268">
        <f>C40-C41</f>
        <v>2482</v>
      </c>
      <c r="D43" s="269">
        <f>D40-D41</f>
        <v>1114</v>
      </c>
      <c r="E43" s="270"/>
    </row>
    <row r="44" spans="1:5" x14ac:dyDescent="0.25">
      <c r="A44" s="227"/>
      <c r="B44" s="27"/>
      <c r="C44" s="27"/>
      <c r="D44" s="228"/>
      <c r="E44" s="229"/>
    </row>
    <row r="45" spans="1:5" ht="18.75" x14ac:dyDescent="0.3">
      <c r="A45" s="255" t="s">
        <v>440</v>
      </c>
      <c r="B45" s="256"/>
      <c r="C45" s="234" t="s">
        <v>405</v>
      </c>
      <c r="D45" s="257" t="s">
        <v>416</v>
      </c>
      <c r="E45" s="234"/>
    </row>
    <row r="46" spans="1:5" x14ac:dyDescent="0.25">
      <c r="A46" s="237" t="s">
        <v>441</v>
      </c>
      <c r="B46" s="27"/>
      <c r="C46" s="27"/>
      <c r="D46" s="254"/>
      <c r="E46" s="27"/>
    </row>
    <row r="47" spans="1:5" x14ac:dyDescent="0.25">
      <c r="A47" s="271" t="s">
        <v>442</v>
      </c>
      <c r="B47" s="272"/>
      <c r="C47" s="273">
        <v>14587</v>
      </c>
      <c r="D47" s="274">
        <v>28097</v>
      </c>
      <c r="E47" s="249"/>
    </row>
    <row r="48" spans="1:5" x14ac:dyDescent="0.25">
      <c r="A48" s="275"/>
      <c r="B48" s="276"/>
      <c r="C48" s="249"/>
      <c r="D48" s="277"/>
      <c r="E48" s="249"/>
    </row>
    <row r="49" spans="1:5" x14ac:dyDescent="0.25">
      <c r="A49" s="237" t="s">
        <v>443</v>
      </c>
      <c r="B49" s="278"/>
      <c r="C49" s="241">
        <v>6892</v>
      </c>
      <c r="D49" s="279">
        <v>28273</v>
      </c>
      <c r="E49" s="241"/>
    </row>
    <row r="50" spans="1:5" ht="16.5" thickBot="1" x14ac:dyDescent="0.3">
      <c r="A50" s="280" t="s">
        <v>409</v>
      </c>
      <c r="B50" s="281"/>
      <c r="C50" s="282">
        <f>SUM(C47:C49)</f>
        <v>21479</v>
      </c>
      <c r="D50" s="283">
        <f>SUM(D47:D49)</f>
        <v>56370</v>
      </c>
      <c r="E50" s="284"/>
    </row>
    <row r="51" spans="1:5" ht="15.75" thickTop="1" x14ac:dyDescent="0.25">
      <c r="A51" s="237"/>
      <c r="B51" s="27"/>
      <c r="C51" s="27"/>
      <c r="D51" s="254"/>
      <c r="E51" s="27"/>
    </row>
    <row r="52" spans="1:5" ht="18.75" x14ac:dyDescent="0.3">
      <c r="A52" s="255" t="s">
        <v>444</v>
      </c>
      <c r="B52" s="256"/>
      <c r="C52" s="234" t="s">
        <v>405</v>
      </c>
      <c r="D52" s="257" t="s">
        <v>416</v>
      </c>
      <c r="E52" s="234"/>
    </row>
    <row r="53" spans="1:5" x14ac:dyDescent="0.25">
      <c r="A53" s="285" t="s">
        <v>445</v>
      </c>
      <c r="B53" s="27"/>
      <c r="C53" s="27"/>
      <c r="D53" s="254"/>
      <c r="E53" s="27"/>
    </row>
    <row r="54" spans="1:5" x14ac:dyDescent="0.25">
      <c r="A54" s="237"/>
      <c r="B54" s="278" t="s">
        <v>446</v>
      </c>
      <c r="C54" s="241">
        <v>8230</v>
      </c>
      <c r="D54" s="279">
        <v>7564</v>
      </c>
      <c r="E54" s="241"/>
    </row>
    <row r="55" spans="1:5" x14ac:dyDescent="0.25">
      <c r="A55" s="237"/>
      <c r="B55" s="278" t="s">
        <v>447</v>
      </c>
      <c r="C55" s="241">
        <v>678</v>
      </c>
      <c r="D55" s="279">
        <v>876</v>
      </c>
      <c r="E55" s="241"/>
    </row>
    <row r="56" spans="1:5" x14ac:dyDescent="0.25">
      <c r="A56" s="237"/>
      <c r="B56" s="278" t="s">
        <v>448</v>
      </c>
      <c r="C56" s="241">
        <v>4</v>
      </c>
      <c r="D56" s="279">
        <v>5</v>
      </c>
      <c r="E56" s="241"/>
    </row>
    <row r="57" spans="1:5" x14ac:dyDescent="0.25">
      <c r="A57" s="237"/>
      <c r="B57" s="278" t="s">
        <v>449</v>
      </c>
      <c r="C57" s="241">
        <v>345</v>
      </c>
      <c r="D57" s="279">
        <v>456</v>
      </c>
      <c r="E57" s="241"/>
    </row>
    <row r="58" spans="1:5" x14ac:dyDescent="0.25">
      <c r="A58" s="237"/>
      <c r="B58" s="278" t="s">
        <v>450</v>
      </c>
      <c r="C58" s="241">
        <v>795</v>
      </c>
      <c r="D58" s="279">
        <v>856</v>
      </c>
      <c r="E58" s="241"/>
    </row>
    <row r="59" spans="1:5" x14ac:dyDescent="0.25">
      <c r="A59" s="286" t="s">
        <v>451</v>
      </c>
      <c r="B59" s="287"/>
      <c r="C59" s="288">
        <v>10052</v>
      </c>
      <c r="D59" s="289">
        <v>30382</v>
      </c>
      <c r="E59" s="253"/>
    </row>
    <row r="60" spans="1:5" x14ac:dyDescent="0.25">
      <c r="A60" s="290"/>
      <c r="B60" s="27"/>
      <c r="C60" s="253"/>
      <c r="D60" s="291"/>
      <c r="E60" s="253"/>
    </row>
    <row r="61" spans="1:5" x14ac:dyDescent="0.25">
      <c r="A61" s="285" t="s">
        <v>452</v>
      </c>
      <c r="B61" s="27"/>
      <c r="C61" s="27"/>
      <c r="D61" s="254"/>
      <c r="E61" s="27"/>
    </row>
    <row r="62" spans="1:5" x14ac:dyDescent="0.25">
      <c r="A62" s="237"/>
      <c r="B62" s="278" t="s">
        <v>453</v>
      </c>
      <c r="C62" s="241">
        <v>0</v>
      </c>
      <c r="D62" s="279">
        <v>0</v>
      </c>
      <c r="E62" s="241"/>
    </row>
    <row r="63" spans="1:5" x14ac:dyDescent="0.25">
      <c r="A63" s="237"/>
      <c r="B63" s="278" t="s">
        <v>454</v>
      </c>
      <c r="C63" s="241">
        <v>5</v>
      </c>
      <c r="D63" s="279">
        <v>0</v>
      </c>
      <c r="E63" s="241"/>
    </row>
    <row r="64" spans="1:5" x14ac:dyDescent="0.25">
      <c r="A64" s="237"/>
      <c r="B64" s="278" t="s">
        <v>455</v>
      </c>
      <c r="C64" s="241">
        <v>326</v>
      </c>
      <c r="D64" s="279">
        <v>12094</v>
      </c>
      <c r="E64" s="241"/>
    </row>
    <row r="65" spans="1:5" x14ac:dyDescent="0.25">
      <c r="A65" s="237"/>
      <c r="B65" s="278" t="s">
        <v>456</v>
      </c>
      <c r="C65" s="241">
        <v>1865</v>
      </c>
      <c r="D65" s="279">
        <v>13513</v>
      </c>
      <c r="E65" s="241"/>
    </row>
    <row r="66" spans="1:5" x14ac:dyDescent="0.25">
      <c r="A66" s="237"/>
      <c r="B66" s="278" t="s">
        <v>457</v>
      </c>
      <c r="C66" s="241">
        <v>9231</v>
      </c>
      <c r="D66" s="279">
        <v>381</v>
      </c>
      <c r="E66" s="241"/>
    </row>
    <row r="67" spans="1:5" x14ac:dyDescent="0.25">
      <c r="A67" s="286" t="s">
        <v>458</v>
      </c>
      <c r="B67" s="287"/>
      <c r="C67" s="288">
        <f>SUM(C62:C66)</f>
        <v>11427</v>
      </c>
      <c r="D67" s="289">
        <f>SUM(D62:D66)</f>
        <v>25988</v>
      </c>
      <c r="E67" s="253"/>
    </row>
    <row r="68" spans="1:5" x14ac:dyDescent="0.25">
      <c r="A68" s="290"/>
      <c r="B68" s="27"/>
      <c r="C68" s="253"/>
      <c r="D68" s="291"/>
      <c r="E68" s="253"/>
    </row>
    <row r="69" spans="1:5" ht="16.5" thickBot="1" x14ac:dyDescent="0.3">
      <c r="A69" s="280" t="s">
        <v>459</v>
      </c>
      <c r="B69" s="281"/>
      <c r="C69" s="282">
        <f>C59+C67</f>
        <v>21479</v>
      </c>
      <c r="D69" s="283">
        <f>D59+D67</f>
        <v>56370</v>
      </c>
      <c r="E69" s="284"/>
    </row>
    <row r="70" spans="1:5" ht="16.5" thickTop="1" thickBot="1" x14ac:dyDescent="0.3">
      <c r="A70" s="292"/>
      <c r="B70" s="293"/>
      <c r="C70" s="293"/>
      <c r="D70" s="294"/>
      <c r="E70" s="27"/>
    </row>
    <row r="71" spans="1:5" x14ac:dyDescent="0.25">
      <c r="A71" s="27"/>
      <c r="B71" s="27"/>
      <c r="C71" s="27"/>
      <c r="D71" s="27"/>
      <c r="E71" s="27"/>
    </row>
    <row r="72" spans="1:5" x14ac:dyDescent="0.25">
      <c r="A72" s="27"/>
      <c r="B72" s="27"/>
      <c r="C72" s="27"/>
      <c r="D72" s="27"/>
      <c r="E72" s="27"/>
    </row>
    <row r="73" spans="1:5" x14ac:dyDescent="0.25">
      <c r="A73" s="27"/>
      <c r="B73" s="27"/>
      <c r="C73" s="27"/>
      <c r="D73" s="27"/>
      <c r="E73" s="27"/>
    </row>
    <row r="74" spans="1:5" x14ac:dyDescent="0.25">
      <c r="A74" s="27"/>
      <c r="B74" s="27"/>
      <c r="C74" s="27"/>
      <c r="D74" s="27"/>
      <c r="E74" s="27"/>
    </row>
    <row r="75" spans="1:5" x14ac:dyDescent="0.25">
      <c r="A75" s="27"/>
      <c r="B75" s="27"/>
      <c r="C75" s="27"/>
      <c r="D75" s="27"/>
      <c r="E75" s="27"/>
    </row>
    <row r="76" spans="1:5" x14ac:dyDescent="0.25">
      <c r="A76" s="27"/>
      <c r="B76" s="27"/>
      <c r="C76" s="27"/>
      <c r="D76" s="27"/>
      <c r="E76" s="27"/>
    </row>
    <row r="77" spans="1:5" x14ac:dyDescent="0.25">
      <c r="A77" s="27"/>
      <c r="B77" s="27"/>
      <c r="C77" s="27"/>
      <c r="D77" s="27"/>
      <c r="E77" s="27"/>
    </row>
    <row r="78" spans="1:5" x14ac:dyDescent="0.25">
      <c r="A78" s="27"/>
      <c r="B78" s="27"/>
      <c r="C78" s="27"/>
      <c r="D78" s="27"/>
      <c r="E78" s="27"/>
    </row>
    <row r="79" spans="1:5" x14ac:dyDescent="0.25">
      <c r="A79" s="27"/>
      <c r="B79" s="27"/>
      <c r="C79" s="27"/>
      <c r="D79" s="27"/>
      <c r="E79" s="27"/>
    </row>
    <row r="80" spans="1:5" x14ac:dyDescent="0.25">
      <c r="A80" s="27"/>
      <c r="B80" s="27"/>
      <c r="C80" s="27"/>
      <c r="D80" s="27"/>
      <c r="E80" s="27"/>
    </row>
    <row r="81" spans="1:5" x14ac:dyDescent="0.25">
      <c r="A81" s="27"/>
      <c r="B81" s="27"/>
      <c r="C81" s="27"/>
      <c r="D81" s="27"/>
      <c r="E81" s="27"/>
    </row>
    <row r="82" spans="1:5" x14ac:dyDescent="0.25">
      <c r="A82" s="27"/>
      <c r="B82" s="27"/>
      <c r="C82" s="27"/>
      <c r="D82" s="27"/>
      <c r="E82" s="27"/>
    </row>
    <row r="83" spans="1:5" x14ac:dyDescent="0.25">
      <c r="A83" s="27"/>
      <c r="B83" s="27"/>
      <c r="C83" s="27"/>
      <c r="D83" s="27"/>
      <c r="E83" s="27"/>
    </row>
    <row r="84" spans="1:5" x14ac:dyDescent="0.25">
      <c r="A84" s="27"/>
      <c r="B84" s="27"/>
      <c r="C84" s="27"/>
      <c r="D84" s="27"/>
      <c r="E84" s="27"/>
    </row>
    <row r="85" spans="1:5" x14ac:dyDescent="0.25">
      <c r="A85" s="27"/>
      <c r="B85" s="27"/>
      <c r="C85" s="27"/>
      <c r="D85" s="27"/>
      <c r="E85" s="27"/>
    </row>
    <row r="86" spans="1:5" x14ac:dyDescent="0.25">
      <c r="A86" s="27"/>
      <c r="B86" s="27"/>
      <c r="C86" s="27"/>
      <c r="D86" s="27"/>
      <c r="E86" s="27"/>
    </row>
    <row r="87" spans="1:5" x14ac:dyDescent="0.25">
      <c r="A87" s="27"/>
      <c r="B87" s="27"/>
      <c r="C87" s="27"/>
      <c r="D87" s="27"/>
      <c r="E87" s="27"/>
    </row>
    <row r="88" spans="1:5" x14ac:dyDescent="0.25">
      <c r="A88" s="27"/>
      <c r="B88" s="27"/>
      <c r="C88" s="27"/>
      <c r="D88" s="27"/>
      <c r="E88" s="27"/>
    </row>
    <row r="89" spans="1:5" x14ac:dyDescent="0.25">
      <c r="A89" s="27"/>
      <c r="B89" s="27"/>
      <c r="C89" s="27"/>
      <c r="D89" s="27"/>
      <c r="E89" s="27"/>
    </row>
    <row r="90" spans="1:5" x14ac:dyDescent="0.25">
      <c r="A90" s="27"/>
      <c r="B90" s="27"/>
      <c r="C90" s="27"/>
      <c r="D90" s="27"/>
      <c r="E90" s="27"/>
    </row>
    <row r="91" spans="1:5" x14ac:dyDescent="0.25">
      <c r="A91" s="27"/>
      <c r="B91" s="27"/>
      <c r="C91" s="27"/>
      <c r="D91" s="27"/>
      <c r="E91" s="27"/>
    </row>
    <row r="92" spans="1:5" x14ac:dyDescent="0.25">
      <c r="A92" s="27"/>
      <c r="B92" s="27"/>
      <c r="C92" s="27"/>
      <c r="D92" s="27"/>
      <c r="E92" s="27"/>
    </row>
    <row r="93" spans="1:5" x14ac:dyDescent="0.25">
      <c r="A93" s="27"/>
      <c r="B93" s="27"/>
      <c r="C93" s="27"/>
      <c r="D93" s="27"/>
      <c r="E93" s="27"/>
    </row>
    <row r="94" spans="1:5" x14ac:dyDescent="0.25">
      <c r="A94" s="27"/>
      <c r="B94" s="27"/>
      <c r="C94" s="27"/>
      <c r="D94" s="27"/>
      <c r="E94" s="27"/>
    </row>
    <row r="95" spans="1:5" x14ac:dyDescent="0.25">
      <c r="A95" s="27"/>
      <c r="B95" s="27"/>
      <c r="C95" s="27"/>
      <c r="D95" s="27"/>
      <c r="E95" s="27"/>
    </row>
    <row r="96" spans="1:5" x14ac:dyDescent="0.25">
      <c r="A96" s="27"/>
      <c r="B96" s="27"/>
      <c r="C96" s="27"/>
      <c r="D96" s="27"/>
      <c r="E96" s="27"/>
    </row>
    <row r="97" spans="1:5" x14ac:dyDescent="0.25">
      <c r="A97" s="27"/>
      <c r="B97" s="27"/>
      <c r="C97" s="27"/>
      <c r="D97" s="27"/>
      <c r="E97" s="27"/>
    </row>
    <row r="98" spans="1:5" x14ac:dyDescent="0.25">
      <c r="A98" s="27"/>
      <c r="B98" s="27"/>
      <c r="C98" s="27"/>
      <c r="D98" s="27"/>
      <c r="E98" s="27"/>
    </row>
    <row r="99" spans="1:5" x14ac:dyDescent="0.25">
      <c r="A99" s="27"/>
      <c r="B99" s="27"/>
      <c r="C99" s="27"/>
      <c r="D99" s="27"/>
      <c r="E99" s="27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BCC94-228B-4341-89CA-5D4A90F8E26F}">
  <sheetPr codeName="Sheet4"/>
  <dimension ref="A1:K62"/>
  <sheetViews>
    <sheetView zoomScale="75" zoomScaleNormal="75" workbookViewId="0"/>
  </sheetViews>
  <sheetFormatPr defaultColWidth="8.85546875" defaultRowHeight="15" x14ac:dyDescent="0.25"/>
  <cols>
    <col min="2" max="2" width="32.5703125" customWidth="1"/>
    <col min="3" max="3" width="45.140625" customWidth="1"/>
    <col min="4" max="4" width="31.5703125" customWidth="1"/>
    <col min="6" max="6" width="9.42578125" bestFit="1" customWidth="1"/>
  </cols>
  <sheetData>
    <row r="1" spans="1:11" ht="22.5" x14ac:dyDescent="0.3">
      <c r="A1" s="26" t="s">
        <v>43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5.75" x14ac:dyDescent="0.25">
      <c r="A2" s="28" t="s">
        <v>44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.75" x14ac:dyDescent="0.25">
      <c r="A3" s="28" t="s">
        <v>45</v>
      </c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1" ht="16.5" thickBot="1" x14ac:dyDescent="0.3">
      <c r="A4" s="28"/>
      <c r="B4" s="27"/>
      <c r="C4" s="27"/>
      <c r="D4" s="27"/>
      <c r="E4" s="27"/>
      <c r="F4" s="27"/>
      <c r="G4" s="27"/>
      <c r="H4" s="27"/>
      <c r="I4" s="27"/>
      <c r="J4" s="27"/>
      <c r="K4" s="27"/>
    </row>
    <row r="5" spans="1:11" ht="16.5" thickBot="1" x14ac:dyDescent="0.3">
      <c r="A5" s="28"/>
      <c r="B5" s="29" t="s">
        <v>46</v>
      </c>
      <c r="C5" s="30" t="s">
        <v>47</v>
      </c>
      <c r="D5" s="30" t="s">
        <v>48</v>
      </c>
      <c r="E5" s="27"/>
      <c r="F5" s="27"/>
      <c r="G5" s="27"/>
      <c r="H5" s="27"/>
      <c r="I5" s="27"/>
      <c r="J5" s="27"/>
      <c r="K5" s="27"/>
    </row>
    <row r="6" spans="1:11" ht="15.75" x14ac:dyDescent="0.25">
      <c r="A6" s="28"/>
      <c r="B6" s="31" t="s">
        <v>49</v>
      </c>
      <c r="C6" s="299">
        <v>0.66</v>
      </c>
      <c r="D6" s="302" t="s">
        <v>50</v>
      </c>
      <c r="E6" s="27"/>
      <c r="F6" s="27"/>
      <c r="G6" s="27"/>
      <c r="H6" s="27"/>
      <c r="I6" s="27"/>
      <c r="J6" s="27"/>
      <c r="K6" s="27"/>
    </row>
    <row r="7" spans="1:11" ht="15.75" x14ac:dyDescent="0.25">
      <c r="A7" s="28"/>
      <c r="B7" s="31" t="s">
        <v>51</v>
      </c>
      <c r="C7" s="300"/>
      <c r="D7" s="303"/>
      <c r="E7" s="32"/>
      <c r="F7" s="32"/>
      <c r="G7" s="27"/>
      <c r="H7" s="27"/>
      <c r="I7" s="27"/>
      <c r="J7" s="27"/>
      <c r="K7" s="27"/>
    </row>
    <row r="8" spans="1:11" ht="16.5" thickBot="1" x14ac:dyDescent="0.3">
      <c r="A8" s="28"/>
      <c r="B8" s="33" t="s">
        <v>52</v>
      </c>
      <c r="C8" s="301"/>
      <c r="D8" s="304"/>
      <c r="E8" s="27"/>
      <c r="F8" s="27"/>
      <c r="G8" s="27"/>
      <c r="H8" s="27"/>
      <c r="I8" s="27"/>
      <c r="J8" s="27"/>
      <c r="K8" s="27"/>
    </row>
    <row r="9" spans="1:11" ht="15.75" x14ac:dyDescent="0.25">
      <c r="A9" s="28"/>
      <c r="B9" s="27"/>
      <c r="C9" s="27"/>
      <c r="D9" s="27"/>
      <c r="E9" s="27"/>
      <c r="F9" s="27"/>
      <c r="G9" s="27"/>
      <c r="H9" s="27"/>
      <c r="I9" s="27"/>
      <c r="J9" s="27"/>
      <c r="K9" s="27"/>
    </row>
    <row r="10" spans="1:11" ht="15.75" x14ac:dyDescent="0.25">
      <c r="A10" s="28" t="s">
        <v>53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11" spans="1:11" ht="15.75" x14ac:dyDescent="0.25">
      <c r="A11" s="28"/>
      <c r="B11" s="27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15.75" x14ac:dyDescent="0.25">
      <c r="A12" s="28"/>
      <c r="B12" s="34" t="s">
        <v>54</v>
      </c>
      <c r="C12" s="27"/>
      <c r="D12" s="27"/>
      <c r="E12" s="27"/>
      <c r="F12" s="27"/>
      <c r="G12" s="27"/>
      <c r="H12" s="27"/>
      <c r="I12" s="27"/>
      <c r="J12" s="27"/>
      <c r="K12" s="27"/>
    </row>
    <row r="13" spans="1:11" ht="15.75" x14ac:dyDescent="0.25">
      <c r="A13" s="28"/>
      <c r="B13" s="34" t="s">
        <v>55</v>
      </c>
      <c r="C13" s="27"/>
      <c r="D13" s="27"/>
      <c r="E13" s="27"/>
      <c r="F13" s="27"/>
      <c r="G13" s="27"/>
      <c r="H13" s="27"/>
      <c r="I13" s="27"/>
      <c r="J13" s="27"/>
      <c r="K13" s="27"/>
    </row>
    <row r="14" spans="1:11" ht="15.75" x14ac:dyDescent="0.25">
      <c r="A14" s="28"/>
      <c r="B14" s="34" t="s">
        <v>56</v>
      </c>
      <c r="C14" s="27"/>
      <c r="D14" s="27"/>
      <c r="E14" s="27"/>
      <c r="F14" s="27"/>
      <c r="G14" s="27"/>
      <c r="H14" s="27"/>
      <c r="I14" s="27"/>
      <c r="J14" s="27"/>
      <c r="K14" s="27"/>
    </row>
    <row r="15" spans="1:11" ht="15.75" x14ac:dyDescent="0.25">
      <c r="A15" s="28"/>
      <c r="B15" s="34" t="s">
        <v>57</v>
      </c>
      <c r="C15" s="27"/>
      <c r="D15" s="27"/>
      <c r="E15" s="27"/>
      <c r="F15" s="27"/>
      <c r="G15" s="27"/>
      <c r="H15" s="27"/>
      <c r="I15" s="27"/>
      <c r="J15" s="27"/>
      <c r="K15" s="27"/>
    </row>
    <row r="16" spans="1:11" ht="16.5" thickBot="1" x14ac:dyDescent="0.3">
      <c r="A16" s="28"/>
      <c r="B16" s="27"/>
      <c r="C16" s="27"/>
      <c r="D16" s="27"/>
      <c r="E16" s="27"/>
      <c r="F16" s="27"/>
      <c r="G16" s="27"/>
      <c r="H16" s="27"/>
      <c r="I16" s="27"/>
      <c r="J16" s="27"/>
      <c r="K16" s="27"/>
    </row>
    <row r="17" spans="1:11" s="38" customFormat="1" ht="16.5" thickBot="1" x14ac:dyDescent="0.3">
      <c r="A17" s="35"/>
      <c r="B17" s="34"/>
      <c r="C17" s="36" t="s">
        <v>0</v>
      </c>
      <c r="D17" s="37" t="s">
        <v>58</v>
      </c>
      <c r="E17" s="34"/>
      <c r="F17" s="34"/>
      <c r="G17" s="34"/>
      <c r="H17" s="34"/>
      <c r="I17" s="34"/>
      <c r="J17" s="34"/>
      <c r="K17" s="34"/>
    </row>
    <row r="18" spans="1:11" s="38" customFormat="1" ht="15.75" x14ac:dyDescent="0.25">
      <c r="A18" s="35"/>
      <c r="B18" s="34"/>
      <c r="C18" s="39">
        <v>35000</v>
      </c>
      <c r="D18" s="40">
        <v>75</v>
      </c>
      <c r="E18" s="41"/>
      <c r="F18" s="41"/>
      <c r="G18" s="41"/>
      <c r="H18" s="34"/>
      <c r="I18" s="34"/>
      <c r="J18" s="34"/>
      <c r="K18" s="34"/>
    </row>
    <row r="19" spans="1:11" s="38" customFormat="1" ht="15.75" x14ac:dyDescent="0.25">
      <c r="A19" s="35"/>
      <c r="B19" s="34"/>
      <c r="C19" s="39">
        <v>50000</v>
      </c>
      <c r="D19" s="40">
        <v>100</v>
      </c>
      <c r="E19" s="41"/>
      <c r="F19" s="41"/>
      <c r="G19" s="41"/>
      <c r="H19" s="34"/>
      <c r="I19" s="34"/>
      <c r="J19" s="34"/>
      <c r="K19" s="34"/>
    </row>
    <row r="20" spans="1:11" s="38" customFormat="1" ht="15.75" x14ac:dyDescent="0.25">
      <c r="A20" s="35"/>
      <c r="B20" s="34"/>
      <c r="C20" s="39">
        <v>60000</v>
      </c>
      <c r="D20" s="40">
        <v>120</v>
      </c>
      <c r="E20" s="41"/>
      <c r="F20" s="41"/>
      <c r="G20" s="41"/>
      <c r="H20" s="34"/>
      <c r="I20" s="34"/>
      <c r="J20" s="34"/>
      <c r="K20" s="34"/>
    </row>
    <row r="21" spans="1:11" s="38" customFormat="1" ht="15.75" x14ac:dyDescent="0.25">
      <c r="A21" s="35"/>
      <c r="B21" s="34"/>
      <c r="C21" s="39">
        <v>90000</v>
      </c>
      <c r="D21" s="40">
        <v>5</v>
      </c>
      <c r="E21" s="41"/>
      <c r="F21" s="41"/>
      <c r="G21" s="41"/>
      <c r="H21" s="34"/>
      <c r="I21" s="34"/>
      <c r="J21" s="34"/>
      <c r="K21" s="34"/>
    </row>
    <row r="22" spans="1:11" s="38" customFormat="1" ht="15.75" x14ac:dyDescent="0.25">
      <c r="A22" s="35"/>
      <c r="B22" s="34"/>
      <c r="C22" s="39">
        <v>105000</v>
      </c>
      <c r="D22" s="40">
        <v>20</v>
      </c>
      <c r="E22" s="41"/>
      <c r="F22" s="41"/>
      <c r="G22" s="41"/>
      <c r="H22" s="34"/>
      <c r="I22" s="34"/>
      <c r="J22" s="34"/>
      <c r="K22" s="34"/>
    </row>
    <row r="23" spans="1:11" s="38" customFormat="1" ht="16.5" thickBot="1" x14ac:dyDescent="0.3">
      <c r="A23" s="35"/>
      <c r="B23" s="34"/>
      <c r="C23" s="42">
        <v>120000</v>
      </c>
      <c r="D23" s="43">
        <v>5</v>
      </c>
      <c r="E23" s="41"/>
      <c r="F23" s="41"/>
      <c r="G23" s="41"/>
      <c r="H23" s="34"/>
      <c r="I23" s="34"/>
      <c r="J23" s="34"/>
      <c r="K23" s="34"/>
    </row>
    <row r="24" spans="1:11" s="38" customFormat="1" ht="15.75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</row>
    <row r="25" spans="1:11" ht="15.75" x14ac:dyDescent="0.25">
      <c r="A25" s="44" t="s">
        <v>59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36" spans="1:11" ht="15.75" x14ac:dyDescent="0.25">
      <c r="A36" s="44" t="s">
        <v>60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</row>
    <row r="37" spans="1:1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</row>
    <row r="38" spans="1:11" ht="15.75" x14ac:dyDescent="0.25">
      <c r="A38" s="28" t="s">
        <v>61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47" spans="1:11" ht="15.75" x14ac:dyDescent="0.25">
      <c r="A47" s="38"/>
    </row>
    <row r="48" spans="1:11" ht="15.75" x14ac:dyDescent="0.25">
      <c r="A48" s="45"/>
    </row>
    <row r="49" spans="1:11" ht="15.75" x14ac:dyDescent="0.25">
      <c r="A49" s="28" t="s">
        <v>62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</row>
    <row r="50" spans="1:11" ht="15.75" x14ac:dyDescent="0.25">
      <c r="A50" s="28" t="s">
        <v>63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</row>
    <row r="51" spans="1:11" ht="15.75" x14ac:dyDescent="0.25">
      <c r="A51" s="28"/>
      <c r="B51" s="27"/>
      <c r="C51" s="27"/>
      <c r="D51" s="27"/>
      <c r="E51" s="27"/>
      <c r="F51" s="27"/>
      <c r="G51" s="27"/>
      <c r="H51" s="27"/>
      <c r="I51" s="27"/>
      <c r="J51" s="27"/>
      <c r="K51" s="27"/>
    </row>
    <row r="52" spans="1:11" ht="15.75" x14ac:dyDescent="0.25">
      <c r="A52" s="28"/>
      <c r="B52" s="34" t="s">
        <v>64</v>
      </c>
      <c r="C52" s="27"/>
      <c r="D52" s="27"/>
      <c r="E52" s="27"/>
      <c r="F52" s="27"/>
      <c r="G52" s="27"/>
      <c r="H52" s="27"/>
      <c r="I52" s="27"/>
      <c r="J52" s="27"/>
      <c r="K52" s="27"/>
    </row>
    <row r="53" spans="1:11" ht="15.75" x14ac:dyDescent="0.25">
      <c r="A53" s="28"/>
      <c r="B53" s="34" t="s">
        <v>65</v>
      </c>
      <c r="C53" s="27"/>
      <c r="D53" s="27"/>
      <c r="E53" s="27"/>
      <c r="F53" s="27"/>
      <c r="G53" s="27"/>
      <c r="H53" s="27"/>
      <c r="I53" s="27"/>
      <c r="J53" s="27"/>
      <c r="K53" s="27"/>
    </row>
    <row r="54" spans="1:11" ht="16.5" thickBot="1" x14ac:dyDescent="0.3">
      <c r="A54" s="28"/>
      <c r="B54" s="34"/>
      <c r="C54" s="27"/>
      <c r="D54" s="27"/>
      <c r="E54" s="27"/>
      <c r="F54" s="27"/>
      <c r="G54" s="27"/>
      <c r="H54" s="27"/>
      <c r="I54" s="27"/>
      <c r="J54" s="27"/>
      <c r="K54" s="27"/>
    </row>
    <row r="55" spans="1:11" s="38" customFormat="1" ht="15.75" x14ac:dyDescent="0.25">
      <c r="A55" s="28"/>
      <c r="B55" s="34"/>
      <c r="C55" s="46" t="s">
        <v>66</v>
      </c>
      <c r="D55" s="47">
        <v>5.9499999999999997E-2</v>
      </c>
      <c r="E55" s="41"/>
      <c r="F55" s="34"/>
      <c r="G55" s="34"/>
      <c r="H55" s="34"/>
      <c r="I55" s="34"/>
      <c r="J55" s="34"/>
      <c r="K55" s="34"/>
    </row>
    <row r="56" spans="1:11" s="38" customFormat="1" ht="15.75" x14ac:dyDescent="0.25">
      <c r="A56" s="35"/>
      <c r="B56" s="34"/>
      <c r="C56" s="48" t="s">
        <v>67</v>
      </c>
      <c r="D56" s="49">
        <v>3500</v>
      </c>
      <c r="E56" s="41"/>
      <c r="F56" s="34"/>
      <c r="G56" s="34"/>
      <c r="H56" s="34"/>
      <c r="I56" s="34"/>
      <c r="J56" s="34"/>
      <c r="K56" s="34"/>
    </row>
    <row r="57" spans="1:11" s="38" customFormat="1" ht="16.5" thickBot="1" x14ac:dyDescent="0.3">
      <c r="A57" s="35"/>
      <c r="B57" s="34"/>
      <c r="C57" s="50" t="s">
        <v>68</v>
      </c>
      <c r="D57" s="51">
        <v>66600</v>
      </c>
      <c r="E57" s="41"/>
      <c r="F57" s="34"/>
      <c r="G57" s="34"/>
      <c r="H57" s="34"/>
      <c r="I57" s="34"/>
      <c r="J57" s="34"/>
      <c r="K57" s="34"/>
    </row>
    <row r="58" spans="1:11" s="38" customFormat="1" ht="15.75" x14ac:dyDescent="0.25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</row>
    <row r="59" spans="1:11" ht="15.75" x14ac:dyDescent="0.25">
      <c r="A59" s="44" t="s">
        <v>69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</row>
    <row r="60" spans="1:11" ht="15.75" x14ac:dyDescent="0.25">
      <c r="A60" s="38"/>
    </row>
    <row r="61" spans="1:11" ht="15.75" x14ac:dyDescent="0.25">
      <c r="A61" s="38"/>
    </row>
    <row r="62" spans="1:11" ht="15.75" x14ac:dyDescent="0.25">
      <c r="A62" s="38"/>
    </row>
  </sheetData>
  <mergeCells count="2">
    <mergeCell ref="C6:C8"/>
    <mergeCell ref="D6:D8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0EB82-AA60-4EF2-8422-FD60CA1D3313}">
  <sheetPr codeName="Sheet5"/>
  <dimension ref="C4:L85"/>
  <sheetViews>
    <sheetView zoomScale="75" zoomScaleNormal="75" workbookViewId="0"/>
  </sheetViews>
  <sheetFormatPr defaultColWidth="9.140625" defaultRowHeight="15" x14ac:dyDescent="0.25"/>
  <cols>
    <col min="1" max="4" width="9.140625" style="2"/>
    <col min="5" max="5" width="16" style="2" customWidth="1"/>
    <col min="6" max="6" width="16.42578125" style="2" customWidth="1"/>
    <col min="7" max="7" width="17.140625" style="2" customWidth="1"/>
    <col min="8" max="9" width="14.85546875" style="2" customWidth="1"/>
    <col min="10" max="10" width="16" style="2" customWidth="1"/>
    <col min="11" max="11" width="13.5703125" style="2" customWidth="1"/>
    <col min="12" max="12" width="18.140625" style="2" customWidth="1"/>
    <col min="13" max="16384" width="9.140625" style="2"/>
  </cols>
  <sheetData>
    <row r="4" spans="3:12" ht="45" x14ac:dyDescent="0.25">
      <c r="C4" s="2" t="s">
        <v>70</v>
      </c>
      <c r="E4" s="1" t="s">
        <v>0</v>
      </c>
      <c r="F4" s="1" t="s">
        <v>2</v>
      </c>
      <c r="G4" s="1" t="s">
        <v>9</v>
      </c>
      <c r="H4" s="1" t="s">
        <v>3</v>
      </c>
      <c r="I4" s="1"/>
      <c r="J4" s="1" t="s">
        <v>12</v>
      </c>
    </row>
    <row r="5" spans="3:12" x14ac:dyDescent="0.25">
      <c r="E5" s="3">
        <v>35000</v>
      </c>
      <c r="F5" s="4">
        <v>75</v>
      </c>
      <c r="G5" s="5">
        <f>MIN(E5*1.58%,952.74)</f>
        <v>553</v>
      </c>
      <c r="H5" s="5">
        <f>G5*1.4</f>
        <v>774.19999999999993</v>
      </c>
      <c r="I5" s="5"/>
      <c r="J5" s="6">
        <f>G5*1.163</f>
        <v>643.13900000000001</v>
      </c>
    </row>
    <row r="6" spans="3:12" x14ac:dyDescent="0.25">
      <c r="E6" s="7">
        <v>50000</v>
      </c>
      <c r="F6" s="4">
        <v>100</v>
      </c>
      <c r="G6" s="8">
        <f t="shared" ref="G6:G10" si="0">MIN(E6*1.58%,952.74)</f>
        <v>790.00000000000011</v>
      </c>
      <c r="H6" s="8">
        <f t="shared" ref="H6:H10" si="1">G6*1.4</f>
        <v>1106</v>
      </c>
      <c r="I6" s="8"/>
      <c r="J6" s="9">
        <f t="shared" ref="J6:J10" si="2">G6*1.163</f>
        <v>918.77000000000021</v>
      </c>
    </row>
    <row r="7" spans="3:12" x14ac:dyDescent="0.25">
      <c r="E7" s="7">
        <v>60000</v>
      </c>
      <c r="F7" s="4">
        <v>120</v>
      </c>
      <c r="G7" s="8">
        <f t="shared" si="0"/>
        <v>948.00000000000011</v>
      </c>
      <c r="H7" s="8">
        <f t="shared" si="1"/>
        <v>1327.2</v>
      </c>
      <c r="I7" s="8"/>
      <c r="J7" s="9">
        <f t="shared" si="2"/>
        <v>1102.5240000000001</v>
      </c>
    </row>
    <row r="8" spans="3:12" x14ac:dyDescent="0.25">
      <c r="E8" s="7">
        <v>90000</v>
      </c>
      <c r="F8" s="4">
        <v>5</v>
      </c>
      <c r="G8" s="8">
        <f t="shared" si="0"/>
        <v>952.74</v>
      </c>
      <c r="H8" s="8">
        <f t="shared" si="1"/>
        <v>1333.836</v>
      </c>
      <c r="I8" s="8"/>
      <c r="J8" s="9">
        <f t="shared" si="2"/>
        <v>1108.0366200000001</v>
      </c>
    </row>
    <row r="9" spans="3:12" x14ac:dyDescent="0.25">
      <c r="E9" s="7">
        <v>105000</v>
      </c>
      <c r="F9" s="4">
        <v>20</v>
      </c>
      <c r="G9" s="8">
        <f t="shared" si="0"/>
        <v>952.74</v>
      </c>
      <c r="H9" s="8">
        <f t="shared" si="1"/>
        <v>1333.836</v>
      </c>
      <c r="I9" s="8"/>
      <c r="J9" s="9">
        <f t="shared" si="2"/>
        <v>1108.0366200000001</v>
      </c>
    </row>
    <row r="10" spans="3:12" x14ac:dyDescent="0.25">
      <c r="E10" s="10">
        <v>120000</v>
      </c>
      <c r="F10" s="11">
        <v>5</v>
      </c>
      <c r="G10" s="12">
        <f t="shared" si="0"/>
        <v>952.74</v>
      </c>
      <c r="H10" s="12">
        <f t="shared" si="1"/>
        <v>1333.836</v>
      </c>
      <c r="I10" s="12"/>
      <c r="J10" s="13">
        <f t="shared" si="2"/>
        <v>1108.0366200000001</v>
      </c>
    </row>
    <row r="11" spans="3:12" x14ac:dyDescent="0.25">
      <c r="E11" s="14" t="s">
        <v>1</v>
      </c>
      <c r="F11" s="19">
        <f>SUM(F5:F10)</f>
        <v>325</v>
      </c>
      <c r="H11" s="15">
        <f>SUMPRODUCT($F$5:$F$10,H5:H10)</f>
        <v>367944.08</v>
      </c>
      <c r="I11" s="15"/>
      <c r="J11" s="15">
        <f>SUMPRODUCT($F$5:$F$10,J5:J10)</f>
        <v>305656.40360000008</v>
      </c>
      <c r="L11" s="16">
        <f>H11-J11</f>
        <v>62287.676399999938</v>
      </c>
    </row>
    <row r="12" spans="3:12" x14ac:dyDescent="0.25">
      <c r="E12" s="14"/>
      <c r="H12" s="15"/>
      <c r="I12" s="15"/>
      <c r="J12" s="15"/>
      <c r="L12" s="16"/>
    </row>
    <row r="13" spans="3:12" x14ac:dyDescent="0.25">
      <c r="E13" s="2" t="s">
        <v>10</v>
      </c>
      <c r="H13" s="15"/>
      <c r="I13" s="15"/>
      <c r="J13" s="15"/>
      <c r="L13" s="16"/>
    </row>
    <row r="14" spans="3:12" x14ac:dyDescent="0.25">
      <c r="E14" s="2" t="s">
        <v>11</v>
      </c>
      <c r="H14" s="15"/>
      <c r="I14" s="15"/>
      <c r="J14" s="15"/>
      <c r="L14" s="16"/>
    </row>
    <row r="15" spans="3:12" x14ac:dyDescent="0.25">
      <c r="E15" s="17" t="s">
        <v>13</v>
      </c>
      <c r="H15" s="15"/>
      <c r="I15" s="15"/>
      <c r="J15" s="15"/>
      <c r="L15" s="16"/>
    </row>
    <row r="16" spans="3:12" x14ac:dyDescent="0.25">
      <c r="L16" s="16">
        <f>L11*5/12</f>
        <v>25953.198499999973</v>
      </c>
    </row>
    <row r="17" spans="5:12" ht="45" x14ac:dyDescent="0.25">
      <c r="E17" s="1" t="s">
        <v>0</v>
      </c>
      <c r="F17" s="1" t="s">
        <v>2</v>
      </c>
      <c r="G17" s="1" t="s">
        <v>14</v>
      </c>
      <c r="H17" s="1" t="s">
        <v>15</v>
      </c>
      <c r="I17" s="1"/>
      <c r="J17" s="1" t="s">
        <v>16</v>
      </c>
      <c r="L17" s="16">
        <f>L11*7/12</f>
        <v>36334.477899999962</v>
      </c>
    </row>
    <row r="18" spans="5:12" x14ac:dyDescent="0.25">
      <c r="E18" s="3">
        <v>35000</v>
      </c>
      <c r="F18" s="4">
        <v>75</v>
      </c>
      <c r="G18" s="5">
        <f t="shared" ref="G18:G23" si="3">MIN(ROUND(E5/52*0.75,2),1000)</f>
        <v>504.81</v>
      </c>
      <c r="H18" s="5">
        <f>ROUND(G18*0.66/10,2)</f>
        <v>33.32</v>
      </c>
      <c r="I18" s="5"/>
      <c r="J18" s="6">
        <f>H18*12</f>
        <v>399.84000000000003</v>
      </c>
    </row>
    <row r="19" spans="5:12" x14ac:dyDescent="0.25">
      <c r="E19" s="7">
        <v>50000</v>
      </c>
      <c r="F19" s="4">
        <v>100</v>
      </c>
      <c r="G19" s="8">
        <f t="shared" si="3"/>
        <v>721.15</v>
      </c>
      <c r="H19" s="8">
        <f t="shared" ref="H19:H23" si="4">ROUND(G19*0.66/10,2)</f>
        <v>47.6</v>
      </c>
      <c r="I19" s="8"/>
      <c r="J19" s="9">
        <f t="shared" ref="J19:J23" si="5">H19*12</f>
        <v>571.20000000000005</v>
      </c>
      <c r="L19" s="16">
        <f>J24-L17</f>
        <v>156786.32210000002</v>
      </c>
    </row>
    <row r="20" spans="5:12" x14ac:dyDescent="0.25">
      <c r="E20" s="7">
        <v>60000</v>
      </c>
      <c r="F20" s="4">
        <v>120</v>
      </c>
      <c r="G20" s="8">
        <f t="shared" si="3"/>
        <v>865.38</v>
      </c>
      <c r="H20" s="8">
        <f t="shared" si="4"/>
        <v>57.12</v>
      </c>
      <c r="I20" s="8"/>
      <c r="J20" s="9">
        <f t="shared" si="5"/>
        <v>685.43999999999994</v>
      </c>
    </row>
    <row r="21" spans="5:12" x14ac:dyDescent="0.25">
      <c r="E21" s="7">
        <v>90000</v>
      </c>
      <c r="F21" s="4">
        <v>5</v>
      </c>
      <c r="G21" s="8">
        <f t="shared" si="3"/>
        <v>1000</v>
      </c>
      <c r="H21" s="8">
        <f t="shared" si="4"/>
        <v>66</v>
      </c>
      <c r="I21" s="8"/>
      <c r="J21" s="9">
        <f t="shared" si="5"/>
        <v>792</v>
      </c>
    </row>
    <row r="22" spans="5:12" x14ac:dyDescent="0.25">
      <c r="E22" s="7">
        <v>105000</v>
      </c>
      <c r="F22" s="4">
        <v>20</v>
      </c>
      <c r="G22" s="8">
        <f t="shared" si="3"/>
        <v>1000</v>
      </c>
      <c r="H22" s="8">
        <f t="shared" si="4"/>
        <v>66</v>
      </c>
      <c r="I22" s="8"/>
      <c r="J22" s="9">
        <f t="shared" si="5"/>
        <v>792</v>
      </c>
    </row>
    <row r="23" spans="5:12" x14ac:dyDescent="0.25">
      <c r="E23" s="10">
        <v>120000</v>
      </c>
      <c r="F23" s="11">
        <v>5</v>
      </c>
      <c r="G23" s="12">
        <f t="shared" si="3"/>
        <v>1000</v>
      </c>
      <c r="H23" s="12">
        <f t="shared" si="4"/>
        <v>66</v>
      </c>
      <c r="I23" s="12"/>
      <c r="J23" s="13">
        <f t="shared" si="5"/>
        <v>792</v>
      </c>
    </row>
    <row r="24" spans="5:12" x14ac:dyDescent="0.25">
      <c r="E24" s="2" t="s">
        <v>1</v>
      </c>
      <c r="F24" s="19">
        <f>SUM(F18:F23)</f>
        <v>325</v>
      </c>
      <c r="H24" s="15">
        <f>SUMPRODUCT($F$18:$F$23,H18:H23)</f>
        <v>16093.4</v>
      </c>
      <c r="I24" s="15"/>
      <c r="J24" s="15">
        <f>SUMPRODUCT($F$18:$F$23,J18:J23)</f>
        <v>193120.8</v>
      </c>
    </row>
    <row r="26" spans="5:12" x14ac:dyDescent="0.25">
      <c r="E26" s="2" t="s">
        <v>17</v>
      </c>
    </row>
    <row r="27" spans="5:12" x14ac:dyDescent="0.25">
      <c r="E27" s="2" t="s">
        <v>18</v>
      </c>
    </row>
    <row r="29" spans="5:12" x14ac:dyDescent="0.25">
      <c r="E29" s="2" t="s">
        <v>20</v>
      </c>
    </row>
    <row r="30" spans="5:12" x14ac:dyDescent="0.25">
      <c r="E30" s="2" t="s">
        <v>21</v>
      </c>
    </row>
    <row r="31" spans="5:12" ht="3.75" customHeight="1" x14ac:dyDescent="0.25"/>
    <row r="32" spans="5:12" x14ac:dyDescent="0.25">
      <c r="F32" s="18" t="s">
        <v>4</v>
      </c>
    </row>
    <row r="34" spans="3:6" x14ac:dyDescent="0.25">
      <c r="E34" s="2" t="s">
        <v>5</v>
      </c>
    </row>
    <row r="35" spans="3:6" x14ac:dyDescent="0.25">
      <c r="E35" s="2" t="s">
        <v>42</v>
      </c>
    </row>
    <row r="36" spans="3:6" ht="3.75" customHeight="1" x14ac:dyDescent="0.25"/>
    <row r="37" spans="3:6" x14ac:dyDescent="0.25">
      <c r="F37" s="18" t="s">
        <v>6</v>
      </c>
    </row>
    <row r="39" spans="3:6" x14ac:dyDescent="0.25">
      <c r="E39" s="2" t="s">
        <v>7</v>
      </c>
    </row>
    <row r="40" spans="3:6" x14ac:dyDescent="0.25">
      <c r="E40" s="2" t="s">
        <v>19</v>
      </c>
    </row>
    <row r="41" spans="3:6" ht="3.75" customHeight="1" x14ac:dyDescent="0.25"/>
    <row r="42" spans="3:6" x14ac:dyDescent="0.25">
      <c r="F42" s="18" t="s">
        <v>8</v>
      </c>
    </row>
    <row r="46" spans="3:6" x14ac:dyDescent="0.25">
      <c r="C46" s="2" t="s">
        <v>71</v>
      </c>
      <c r="E46" s="2" t="s">
        <v>22</v>
      </c>
    </row>
    <row r="47" spans="3:6" ht="6" customHeight="1" x14ac:dyDescent="0.25"/>
    <row r="48" spans="3:6" x14ac:dyDescent="0.25">
      <c r="F48" s="18" t="s">
        <v>23</v>
      </c>
    </row>
    <row r="51" spans="3:10" x14ac:dyDescent="0.25">
      <c r="C51" s="2" t="s">
        <v>72</v>
      </c>
    </row>
    <row r="52" spans="3:10" ht="30" x14ac:dyDescent="0.25">
      <c r="F52" s="1" t="s">
        <v>0</v>
      </c>
      <c r="G52" s="1" t="s">
        <v>26</v>
      </c>
      <c r="H52" s="1" t="s">
        <v>28</v>
      </c>
      <c r="I52" s="1" t="s">
        <v>27</v>
      </c>
      <c r="J52" s="1" t="s">
        <v>34</v>
      </c>
    </row>
    <row r="53" spans="3:10" x14ac:dyDescent="0.25">
      <c r="F53" s="3">
        <v>35000</v>
      </c>
      <c r="G53" s="6">
        <f t="shared" ref="G53:G58" si="6">(MIN(F53,66600)-3500)*5.95%</f>
        <v>1874.2500000000002</v>
      </c>
      <c r="H53" s="5">
        <f t="shared" ref="H53:H58" si="7">MIN(F53*1.58%,952.74)</f>
        <v>553</v>
      </c>
      <c r="I53" s="5">
        <f t="shared" ref="I53:I58" si="8">ROUND(F53*0.3,2)</f>
        <v>10500</v>
      </c>
      <c r="J53" s="6">
        <f>F53-G53-H53-I53</f>
        <v>22072.75</v>
      </c>
    </row>
    <row r="54" spans="3:10" x14ac:dyDescent="0.25">
      <c r="F54" s="7">
        <v>50000</v>
      </c>
      <c r="G54" s="9">
        <f t="shared" si="6"/>
        <v>2766.75</v>
      </c>
      <c r="H54" s="8">
        <f t="shared" si="7"/>
        <v>790.00000000000011</v>
      </c>
      <c r="I54" s="8">
        <f t="shared" si="8"/>
        <v>15000</v>
      </c>
      <c r="J54" s="9">
        <f t="shared" ref="J54:J58" si="9">F54-G54-H54-I54</f>
        <v>31443.25</v>
      </c>
    </row>
    <row r="55" spans="3:10" x14ac:dyDescent="0.25">
      <c r="F55" s="7">
        <v>60000</v>
      </c>
      <c r="G55" s="9">
        <f t="shared" si="6"/>
        <v>3361.7500000000005</v>
      </c>
      <c r="H55" s="8">
        <f t="shared" si="7"/>
        <v>948.00000000000011</v>
      </c>
      <c r="I55" s="8">
        <f t="shared" si="8"/>
        <v>18000</v>
      </c>
      <c r="J55" s="9">
        <f t="shared" si="9"/>
        <v>37690.25</v>
      </c>
    </row>
    <row r="56" spans="3:10" x14ac:dyDescent="0.25">
      <c r="F56" s="7">
        <v>90000</v>
      </c>
      <c r="G56" s="9">
        <f t="shared" si="6"/>
        <v>3754.4500000000003</v>
      </c>
      <c r="H56" s="8">
        <f t="shared" si="7"/>
        <v>952.74</v>
      </c>
      <c r="I56" s="8">
        <f t="shared" si="8"/>
        <v>27000</v>
      </c>
      <c r="J56" s="9">
        <f t="shared" si="9"/>
        <v>58292.81</v>
      </c>
    </row>
    <row r="57" spans="3:10" x14ac:dyDescent="0.25">
      <c r="F57" s="7">
        <v>105000</v>
      </c>
      <c r="G57" s="9">
        <f t="shared" si="6"/>
        <v>3754.4500000000003</v>
      </c>
      <c r="H57" s="8">
        <f t="shared" si="7"/>
        <v>952.74</v>
      </c>
      <c r="I57" s="8">
        <f t="shared" si="8"/>
        <v>31500</v>
      </c>
      <c r="J57" s="9">
        <f t="shared" si="9"/>
        <v>68792.81</v>
      </c>
    </row>
    <row r="58" spans="3:10" x14ac:dyDescent="0.25">
      <c r="F58" s="10">
        <v>120000</v>
      </c>
      <c r="G58" s="13">
        <f t="shared" si="6"/>
        <v>3754.4500000000003</v>
      </c>
      <c r="H58" s="12">
        <f t="shared" si="7"/>
        <v>952.74</v>
      </c>
      <c r="I58" s="12">
        <f t="shared" si="8"/>
        <v>36000</v>
      </c>
      <c r="J58" s="13">
        <f t="shared" si="9"/>
        <v>79292.81</v>
      </c>
    </row>
    <row r="59" spans="3:10" x14ac:dyDescent="0.25">
      <c r="F59" s="24"/>
      <c r="G59" s="16"/>
      <c r="H59" s="25"/>
      <c r="I59" s="25"/>
      <c r="J59" s="16"/>
    </row>
    <row r="60" spans="3:10" x14ac:dyDescent="0.25">
      <c r="E60" s="2" t="s">
        <v>35</v>
      </c>
      <c r="F60" s="24"/>
      <c r="G60" s="16"/>
      <c r="H60" s="25"/>
      <c r="I60" s="25"/>
      <c r="J60" s="16"/>
    </row>
    <row r="61" spans="3:10" x14ac:dyDescent="0.25">
      <c r="E61" s="2" t="s">
        <v>36</v>
      </c>
      <c r="F61" s="24"/>
      <c r="G61" s="16"/>
      <c r="H61" s="25"/>
      <c r="I61" s="25"/>
      <c r="J61" s="16"/>
    </row>
    <row r="62" spans="3:10" x14ac:dyDescent="0.25">
      <c r="E62" s="2" t="s">
        <v>37</v>
      </c>
      <c r="F62" s="24"/>
      <c r="G62" s="16"/>
      <c r="H62" s="25"/>
      <c r="I62" s="25"/>
      <c r="J62" s="16"/>
    </row>
    <row r="63" spans="3:10" x14ac:dyDescent="0.25">
      <c r="E63" s="2" t="s">
        <v>40</v>
      </c>
    </row>
    <row r="65" spans="5:10" ht="45" x14ac:dyDescent="0.25">
      <c r="E65" s="1" t="s">
        <v>24</v>
      </c>
      <c r="F65" s="1" t="s">
        <v>25</v>
      </c>
      <c r="G65" s="1" t="s">
        <v>29</v>
      </c>
      <c r="H65" s="1" t="s">
        <v>30</v>
      </c>
      <c r="I65" s="1" t="s">
        <v>31</v>
      </c>
      <c r="J65" s="1" t="s">
        <v>33</v>
      </c>
    </row>
    <row r="66" spans="5:10" x14ac:dyDescent="0.25">
      <c r="E66" s="6">
        <f>L16/E83</f>
        <v>79.855995384615298</v>
      </c>
      <c r="F66" s="6">
        <f t="shared" ref="F66:F71" si="10">F53+E66</f>
        <v>35079.855995384612</v>
      </c>
      <c r="G66" s="6">
        <f>(MIN(F66,66600)-3500)*5.95%</f>
        <v>1879.0014317253845</v>
      </c>
      <c r="H66" s="5">
        <f>MIN(F66*1.58%,952.74)</f>
        <v>554.26172472707697</v>
      </c>
      <c r="I66" s="5">
        <f>ROUND(F66*0.3,2)</f>
        <v>10523.96</v>
      </c>
      <c r="J66" s="6">
        <f>F66-G66-H66-I66</f>
        <v>22122.632838932157</v>
      </c>
    </row>
    <row r="67" spans="5:10" x14ac:dyDescent="0.25">
      <c r="E67" s="9">
        <f>E66</f>
        <v>79.855995384615298</v>
      </c>
      <c r="F67" s="9">
        <f t="shared" si="10"/>
        <v>50079.855995384612</v>
      </c>
      <c r="G67" s="9">
        <f t="shared" ref="G67:G71" si="11">(MIN(F67,66600)-3500)*5.95%</f>
        <v>2771.5014317253845</v>
      </c>
      <c r="H67" s="8">
        <f t="shared" ref="H67:H71" si="12">MIN(F67*1.58%,952.74)</f>
        <v>791.26172472707697</v>
      </c>
      <c r="I67" s="8">
        <f t="shared" ref="I67:I71" si="13">ROUND(F67*0.3,2)</f>
        <v>15023.96</v>
      </c>
      <c r="J67" s="9">
        <f t="shared" ref="J67:J71" si="14">F67-G67-H67-I67</f>
        <v>31493.132838932157</v>
      </c>
    </row>
    <row r="68" spans="5:10" x14ac:dyDescent="0.25">
      <c r="E68" s="9">
        <f>E67</f>
        <v>79.855995384615298</v>
      </c>
      <c r="F68" s="9">
        <f t="shared" si="10"/>
        <v>60079.855995384612</v>
      </c>
      <c r="G68" s="9">
        <f t="shared" si="11"/>
        <v>3366.5014317253845</v>
      </c>
      <c r="H68" s="8">
        <f t="shared" si="12"/>
        <v>949.26172472707697</v>
      </c>
      <c r="I68" s="8">
        <f t="shared" si="13"/>
        <v>18023.96</v>
      </c>
      <c r="J68" s="9">
        <f t="shared" si="14"/>
        <v>37740.132838932157</v>
      </c>
    </row>
    <row r="69" spans="5:10" x14ac:dyDescent="0.25">
      <c r="E69" s="9">
        <f>E68</f>
        <v>79.855995384615298</v>
      </c>
      <c r="F69" s="9">
        <f t="shared" si="10"/>
        <v>90079.855995384612</v>
      </c>
      <c r="G69" s="9">
        <f t="shared" si="11"/>
        <v>3754.4500000000003</v>
      </c>
      <c r="H69" s="8">
        <f t="shared" si="12"/>
        <v>952.74</v>
      </c>
      <c r="I69" s="8">
        <f t="shared" si="13"/>
        <v>27023.96</v>
      </c>
      <c r="J69" s="9">
        <f t="shared" si="14"/>
        <v>58348.705995384611</v>
      </c>
    </row>
    <row r="70" spans="5:10" x14ac:dyDescent="0.25">
      <c r="E70" s="9">
        <f>E69</f>
        <v>79.855995384615298</v>
      </c>
      <c r="F70" s="9">
        <f t="shared" si="10"/>
        <v>105079.85599538461</v>
      </c>
      <c r="G70" s="9">
        <f t="shared" si="11"/>
        <v>3754.4500000000003</v>
      </c>
      <c r="H70" s="8">
        <f t="shared" si="12"/>
        <v>952.74</v>
      </c>
      <c r="I70" s="8">
        <f t="shared" si="13"/>
        <v>31523.96</v>
      </c>
      <c r="J70" s="9">
        <f t="shared" si="14"/>
        <v>68848.705995384604</v>
      </c>
    </row>
    <row r="71" spans="5:10" x14ac:dyDescent="0.25">
      <c r="E71" s="13">
        <f>E70</f>
        <v>79.855995384615298</v>
      </c>
      <c r="F71" s="13">
        <f t="shared" si="10"/>
        <v>120079.85599538461</v>
      </c>
      <c r="G71" s="13">
        <f t="shared" si="11"/>
        <v>3754.4500000000003</v>
      </c>
      <c r="H71" s="12">
        <f t="shared" si="12"/>
        <v>952.74</v>
      </c>
      <c r="I71" s="12">
        <f t="shared" si="13"/>
        <v>36023.96</v>
      </c>
      <c r="J71" s="13">
        <f t="shared" si="14"/>
        <v>79348.705995384604</v>
      </c>
    </row>
    <row r="72" spans="5:10" x14ac:dyDescent="0.25">
      <c r="E72" s="16"/>
      <c r="F72" s="16"/>
      <c r="G72" s="16"/>
      <c r="H72" s="25"/>
      <c r="I72" s="25"/>
      <c r="J72" s="16"/>
    </row>
    <row r="73" spans="5:10" x14ac:dyDescent="0.25">
      <c r="E73" s="16" t="s">
        <v>38</v>
      </c>
      <c r="F73" s="16"/>
      <c r="G73" s="16"/>
      <c r="H73" s="25"/>
      <c r="I73" s="25"/>
      <c r="J73" s="16"/>
    </row>
    <row r="74" spans="5:10" x14ac:dyDescent="0.25">
      <c r="E74" s="16" t="s">
        <v>39</v>
      </c>
      <c r="F74" s="16"/>
      <c r="G74" s="16"/>
      <c r="H74" s="25"/>
      <c r="I74" s="25"/>
      <c r="J74" s="16"/>
    </row>
    <row r="76" spans="5:10" ht="45" x14ac:dyDescent="0.25">
      <c r="E76" s="1" t="s">
        <v>2</v>
      </c>
      <c r="F76" s="1" t="s">
        <v>34</v>
      </c>
      <c r="G76" s="1" t="s">
        <v>33</v>
      </c>
      <c r="H76" s="1" t="s">
        <v>32</v>
      </c>
    </row>
    <row r="77" spans="5:10" x14ac:dyDescent="0.25">
      <c r="E77" s="21">
        <v>75</v>
      </c>
      <c r="F77" s="6">
        <f t="shared" ref="F77:F82" si="15">J53</f>
        <v>22072.75</v>
      </c>
      <c r="G77" s="6">
        <f>J66</f>
        <v>22122.632838932157</v>
      </c>
      <c r="H77" s="6">
        <f t="shared" ref="H77:H82" si="16">J66-J53</f>
        <v>49.882838932157028</v>
      </c>
    </row>
    <row r="78" spans="5:10" x14ac:dyDescent="0.25">
      <c r="E78" s="22">
        <v>100</v>
      </c>
      <c r="F78" s="9">
        <f t="shared" si="15"/>
        <v>31443.25</v>
      </c>
      <c r="G78" s="9">
        <f t="shared" ref="G78:G82" si="17">J67</f>
        <v>31493.132838932157</v>
      </c>
      <c r="H78" s="9">
        <f t="shared" si="16"/>
        <v>49.882838932157028</v>
      </c>
    </row>
    <row r="79" spans="5:10" x14ac:dyDescent="0.25">
      <c r="E79" s="22">
        <v>120</v>
      </c>
      <c r="F79" s="9">
        <f t="shared" si="15"/>
        <v>37690.25</v>
      </c>
      <c r="G79" s="9">
        <f t="shared" si="17"/>
        <v>37740.132838932157</v>
      </c>
      <c r="H79" s="9">
        <f t="shared" si="16"/>
        <v>49.882838932157028</v>
      </c>
    </row>
    <row r="80" spans="5:10" x14ac:dyDescent="0.25">
      <c r="E80" s="22">
        <v>5</v>
      </c>
      <c r="F80" s="9">
        <f t="shared" si="15"/>
        <v>58292.81</v>
      </c>
      <c r="G80" s="9">
        <f t="shared" si="17"/>
        <v>58348.705995384611</v>
      </c>
      <c r="H80" s="9">
        <f t="shared" si="16"/>
        <v>55.895995384613343</v>
      </c>
    </row>
    <row r="81" spans="5:8" x14ac:dyDescent="0.25">
      <c r="E81" s="22">
        <v>20</v>
      </c>
      <c r="F81" s="9">
        <f t="shared" si="15"/>
        <v>68792.81</v>
      </c>
      <c r="G81" s="9">
        <f t="shared" si="17"/>
        <v>68848.705995384604</v>
      </c>
      <c r="H81" s="9">
        <f t="shared" si="16"/>
        <v>55.895995384606067</v>
      </c>
    </row>
    <row r="82" spans="5:8" x14ac:dyDescent="0.25">
      <c r="E82" s="23">
        <v>5</v>
      </c>
      <c r="F82" s="13">
        <f t="shared" si="15"/>
        <v>79292.81</v>
      </c>
      <c r="G82" s="13">
        <f t="shared" si="17"/>
        <v>79348.705995384604</v>
      </c>
      <c r="H82" s="13">
        <f t="shared" si="16"/>
        <v>55.895995384606067</v>
      </c>
    </row>
    <row r="83" spans="5:8" x14ac:dyDescent="0.25">
      <c r="E83" s="19">
        <f>SUM(E77:E82)</f>
        <v>325</v>
      </c>
      <c r="H83" s="20">
        <f>SUMPRODUCT(E77:E82,H77:H82)</f>
        <v>16392.317346524542</v>
      </c>
    </row>
    <row r="85" spans="5:8" x14ac:dyDescent="0.25">
      <c r="E85" s="2" t="s">
        <v>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556BB-4656-4270-BDD1-A5D36F0C4D93}">
  <sheetPr codeName="Sheet6"/>
  <dimension ref="A1:G67"/>
  <sheetViews>
    <sheetView zoomScale="75" zoomScaleNormal="75" workbookViewId="0"/>
  </sheetViews>
  <sheetFormatPr defaultColWidth="8.85546875" defaultRowHeight="15" x14ac:dyDescent="0.25"/>
  <cols>
    <col min="2" max="2" width="46.42578125" customWidth="1"/>
    <col min="3" max="3" width="54.42578125" customWidth="1"/>
    <col min="4" max="4" width="16.5703125" customWidth="1"/>
  </cols>
  <sheetData>
    <row r="1" spans="1:7" ht="22.5" x14ac:dyDescent="0.3">
      <c r="A1" s="26" t="s">
        <v>161</v>
      </c>
      <c r="B1" s="27"/>
      <c r="C1" s="27"/>
      <c r="D1" s="27"/>
      <c r="E1" s="27"/>
      <c r="F1" s="27"/>
      <c r="G1" s="27"/>
    </row>
    <row r="2" spans="1:7" ht="15.75" x14ac:dyDescent="0.25">
      <c r="A2" s="44" t="s">
        <v>160</v>
      </c>
      <c r="B2" s="27"/>
      <c r="C2" s="27"/>
      <c r="D2" s="27"/>
      <c r="E2" s="27"/>
      <c r="F2" s="27"/>
      <c r="G2" s="27"/>
    </row>
    <row r="3" spans="1:7" ht="15.75" x14ac:dyDescent="0.25">
      <c r="A3" s="44" t="s">
        <v>159</v>
      </c>
      <c r="B3" s="27"/>
      <c r="C3" s="27"/>
      <c r="D3" s="27"/>
      <c r="E3" s="27"/>
      <c r="F3" s="27"/>
      <c r="G3" s="27"/>
    </row>
    <row r="4" spans="1:7" ht="15.75" x14ac:dyDescent="0.25">
      <c r="A4" s="44"/>
      <c r="B4" s="27"/>
      <c r="C4" s="27"/>
      <c r="D4" s="27"/>
      <c r="E4" s="27"/>
      <c r="F4" s="27"/>
      <c r="G4" s="27"/>
    </row>
    <row r="5" spans="1:7" ht="15.75" x14ac:dyDescent="0.25">
      <c r="A5" s="44" t="s">
        <v>158</v>
      </c>
      <c r="B5" s="27"/>
      <c r="C5" s="27"/>
      <c r="D5" s="27"/>
      <c r="E5" s="27"/>
      <c r="F5" s="27"/>
      <c r="G5" s="27"/>
    </row>
    <row r="6" spans="1:7" ht="15.75" x14ac:dyDescent="0.25">
      <c r="A6" s="44"/>
      <c r="B6" s="27"/>
      <c r="C6" s="27"/>
      <c r="D6" s="27"/>
      <c r="E6" s="27"/>
      <c r="F6" s="27"/>
      <c r="G6" s="27"/>
    </row>
    <row r="7" spans="1:7" ht="15.75" x14ac:dyDescent="0.25">
      <c r="A7" s="90" t="s">
        <v>157</v>
      </c>
      <c r="B7" s="27"/>
      <c r="C7" s="27"/>
      <c r="D7" s="27"/>
      <c r="E7" s="27"/>
      <c r="F7" s="27"/>
      <c r="G7" s="27"/>
    </row>
    <row r="8" spans="1:7" ht="16.5" thickBot="1" x14ac:dyDescent="0.3">
      <c r="A8" s="90"/>
      <c r="B8" s="27"/>
      <c r="C8" s="27"/>
      <c r="D8" s="27"/>
      <c r="E8" s="27"/>
      <c r="F8" s="27"/>
      <c r="G8" s="27"/>
    </row>
    <row r="9" spans="1:7" ht="16.5" thickBot="1" x14ac:dyDescent="0.3">
      <c r="A9" s="28"/>
      <c r="B9" s="85" t="s">
        <v>156</v>
      </c>
      <c r="C9" s="85" t="s">
        <v>155</v>
      </c>
      <c r="D9" s="27"/>
      <c r="E9" s="27"/>
      <c r="F9" s="27"/>
      <c r="G9" s="27"/>
    </row>
    <row r="10" spans="1:7" ht="16.5" thickBot="1" x14ac:dyDescent="0.3">
      <c r="A10" s="28"/>
      <c r="B10" s="83" t="s">
        <v>154</v>
      </c>
      <c r="C10" s="85" t="s">
        <v>153</v>
      </c>
      <c r="D10" s="27"/>
      <c r="E10" s="27"/>
      <c r="F10" s="27"/>
      <c r="G10" s="27"/>
    </row>
    <row r="11" spans="1:7" ht="32.25" thickBot="1" x14ac:dyDescent="0.3">
      <c r="A11" s="28"/>
      <c r="B11" s="83" t="s">
        <v>152</v>
      </c>
      <c r="C11" s="89" t="s">
        <v>151</v>
      </c>
      <c r="D11" s="27"/>
      <c r="E11" s="27"/>
      <c r="F11" s="27"/>
      <c r="G11" s="27"/>
    </row>
    <row r="12" spans="1:7" ht="15.75" x14ac:dyDescent="0.25">
      <c r="A12" s="28"/>
      <c r="B12" s="28"/>
      <c r="C12" s="28"/>
      <c r="D12" s="28"/>
      <c r="E12" s="27"/>
      <c r="F12" s="27"/>
      <c r="G12" s="27"/>
    </row>
    <row r="13" spans="1:7" ht="15.75" x14ac:dyDescent="0.25">
      <c r="A13" s="27"/>
      <c r="B13" s="34" t="s">
        <v>150</v>
      </c>
      <c r="C13" s="27"/>
      <c r="D13" s="27"/>
      <c r="E13" s="27"/>
      <c r="F13" s="27"/>
      <c r="G13" s="27"/>
    </row>
    <row r="14" spans="1:7" ht="15.75" x14ac:dyDescent="0.25">
      <c r="A14" s="28"/>
      <c r="B14" s="28"/>
      <c r="C14" s="28"/>
      <c r="D14" s="28"/>
      <c r="E14" s="28"/>
      <c r="F14" s="28"/>
      <c r="G14" s="28"/>
    </row>
    <row r="15" spans="1:7" ht="15.75" x14ac:dyDescent="0.25">
      <c r="A15" s="44" t="s">
        <v>149</v>
      </c>
      <c r="B15" s="27"/>
      <c r="C15" s="27"/>
      <c r="D15" s="27"/>
      <c r="E15" s="27"/>
      <c r="F15" s="27"/>
      <c r="G15" s="27"/>
    </row>
    <row r="16" spans="1:7" ht="15.75" x14ac:dyDescent="0.25">
      <c r="A16" s="28"/>
      <c r="B16" s="28"/>
      <c r="C16" s="28"/>
      <c r="D16" s="28"/>
      <c r="E16" s="28"/>
      <c r="F16" s="28"/>
      <c r="G16" s="28"/>
    </row>
    <row r="17" spans="1:7" ht="15.75" x14ac:dyDescent="0.25">
      <c r="A17" s="28" t="s">
        <v>148</v>
      </c>
      <c r="B17" s="27"/>
      <c r="C17" s="27"/>
      <c r="D17" s="27"/>
      <c r="E17" s="27"/>
      <c r="F17" s="27"/>
      <c r="G17" s="27"/>
    </row>
    <row r="18" spans="1:7" ht="15.75" x14ac:dyDescent="0.25">
      <c r="A18" s="28" t="s">
        <v>145</v>
      </c>
      <c r="B18" s="27"/>
      <c r="C18" s="27"/>
      <c r="D18" s="27"/>
      <c r="E18" s="27"/>
      <c r="F18" s="27"/>
      <c r="G18" s="27"/>
    </row>
    <row r="28" spans="1:7" ht="15.75" x14ac:dyDescent="0.25">
      <c r="A28" s="45"/>
    </row>
    <row r="29" spans="1:7" ht="15.75" x14ac:dyDescent="0.25">
      <c r="A29" s="28" t="s">
        <v>147</v>
      </c>
      <c r="B29" s="27"/>
      <c r="C29" s="27"/>
      <c r="D29" s="27"/>
      <c r="E29" s="27"/>
      <c r="F29" s="27"/>
      <c r="G29" s="27"/>
    </row>
    <row r="30" spans="1:7" ht="15.75" x14ac:dyDescent="0.25">
      <c r="A30" s="28" t="s">
        <v>145</v>
      </c>
      <c r="B30" s="27"/>
      <c r="C30" s="27"/>
      <c r="D30" s="27"/>
      <c r="E30" s="27"/>
      <c r="F30" s="27"/>
      <c r="G30" s="27"/>
    </row>
    <row r="31" spans="1:7" ht="15.75" x14ac:dyDescent="0.25">
      <c r="A31" s="45"/>
    </row>
    <row r="32" spans="1:7" ht="15.75" x14ac:dyDescent="0.25">
      <c r="A32" s="45"/>
    </row>
    <row r="41" spans="1:7" ht="15.75" x14ac:dyDescent="0.25">
      <c r="A41" s="28" t="s">
        <v>146</v>
      </c>
      <c r="B41" s="27"/>
      <c r="C41" s="27"/>
      <c r="D41" s="27"/>
      <c r="E41" s="27"/>
      <c r="F41" s="27"/>
      <c r="G41" s="27"/>
    </row>
    <row r="42" spans="1:7" ht="15.75" x14ac:dyDescent="0.25">
      <c r="A42" s="28" t="s">
        <v>145</v>
      </c>
      <c r="B42" s="27"/>
      <c r="C42" s="27"/>
      <c r="D42" s="27"/>
      <c r="E42" s="27"/>
      <c r="F42" s="27"/>
      <c r="G42" s="27"/>
    </row>
    <row r="53" spans="1:7" ht="15.75" x14ac:dyDescent="0.25">
      <c r="A53" s="44" t="s">
        <v>144</v>
      </c>
      <c r="B53" s="27"/>
      <c r="C53" s="27"/>
      <c r="D53" s="27"/>
      <c r="E53" s="27"/>
      <c r="F53" s="27"/>
      <c r="G53" s="27"/>
    </row>
    <row r="54" spans="1:7" ht="15.75" thickBot="1" x14ac:dyDescent="0.3">
      <c r="A54" s="27"/>
      <c r="B54" s="27"/>
      <c r="C54" s="27"/>
      <c r="D54" s="27"/>
      <c r="E54" s="27"/>
      <c r="F54" s="27"/>
      <c r="G54" s="27"/>
    </row>
    <row r="55" spans="1:7" ht="16.5" thickBot="1" x14ac:dyDescent="0.3">
      <c r="A55" s="27"/>
      <c r="B55" s="88" t="s">
        <v>143</v>
      </c>
      <c r="C55" s="86">
        <v>2500000</v>
      </c>
      <c r="D55" s="80"/>
      <c r="E55" s="27"/>
      <c r="F55" s="27"/>
      <c r="G55" s="27"/>
    </row>
    <row r="56" spans="1:7" ht="16.5" thickBot="1" x14ac:dyDescent="0.3">
      <c r="A56" s="27"/>
      <c r="B56" s="87" t="s">
        <v>142</v>
      </c>
      <c r="C56" s="86">
        <v>200000</v>
      </c>
      <c r="D56" s="80"/>
      <c r="E56" s="27"/>
      <c r="F56" s="27"/>
      <c r="G56" s="27"/>
    </row>
    <row r="57" spans="1:7" ht="16.5" thickBot="1" x14ac:dyDescent="0.3">
      <c r="A57" s="27"/>
      <c r="B57" s="87" t="s">
        <v>141</v>
      </c>
      <c r="C57" s="86">
        <v>10000</v>
      </c>
      <c r="D57" s="80"/>
      <c r="E57" s="27"/>
      <c r="F57" s="27"/>
      <c r="G57" s="27"/>
    </row>
    <row r="58" spans="1:7" x14ac:dyDescent="0.25">
      <c r="A58" s="27"/>
      <c r="B58" s="27"/>
      <c r="C58" s="27"/>
      <c r="D58" s="27"/>
      <c r="E58" s="27"/>
      <c r="F58" s="27"/>
      <c r="G58" s="27"/>
    </row>
    <row r="59" spans="1:7" ht="15.75" x14ac:dyDescent="0.25">
      <c r="A59" s="44" t="s">
        <v>140</v>
      </c>
      <c r="B59" s="27"/>
      <c r="C59" s="27"/>
      <c r="D59" s="27"/>
      <c r="E59" s="27"/>
      <c r="F59" s="27"/>
      <c r="G59" s="27"/>
    </row>
    <row r="60" spans="1:7" ht="16.5" thickBot="1" x14ac:dyDescent="0.3">
      <c r="A60" s="44"/>
      <c r="B60" s="27"/>
      <c r="C60" s="80"/>
      <c r="D60" s="27"/>
      <c r="E60" s="27"/>
      <c r="F60" s="27"/>
      <c r="G60" s="27"/>
    </row>
    <row r="61" spans="1:7" ht="16.5" thickBot="1" x14ac:dyDescent="0.3">
      <c r="A61" s="28"/>
      <c r="B61" s="85"/>
      <c r="C61" s="37" t="s">
        <v>139</v>
      </c>
      <c r="D61" s="37" t="s">
        <v>138</v>
      </c>
      <c r="E61" s="27"/>
      <c r="F61" s="27"/>
      <c r="G61" s="27"/>
    </row>
    <row r="62" spans="1:7" ht="16.5" thickBot="1" x14ac:dyDescent="0.3">
      <c r="A62" s="28"/>
      <c r="B62" s="83" t="s">
        <v>137</v>
      </c>
      <c r="C62" s="82">
        <v>300000</v>
      </c>
      <c r="D62" s="84" t="s">
        <v>135</v>
      </c>
      <c r="E62" s="27"/>
      <c r="F62" s="80"/>
      <c r="G62" s="27"/>
    </row>
    <row r="63" spans="1:7" ht="16.5" thickBot="1" x14ac:dyDescent="0.3">
      <c r="A63" s="28"/>
      <c r="B63" s="83" t="s">
        <v>136</v>
      </c>
      <c r="C63" s="82">
        <v>150000</v>
      </c>
      <c r="D63" s="84" t="s">
        <v>135</v>
      </c>
      <c r="E63" s="27"/>
      <c r="F63" s="80"/>
      <c r="G63" s="27"/>
    </row>
    <row r="64" spans="1:7" ht="16.5" thickBot="1" x14ac:dyDescent="0.3">
      <c r="A64" s="28"/>
      <c r="B64" s="83" t="s">
        <v>134</v>
      </c>
      <c r="C64" s="82">
        <v>50000</v>
      </c>
      <c r="D64" s="84" t="s">
        <v>132</v>
      </c>
      <c r="E64" s="27"/>
      <c r="F64" s="80"/>
      <c r="G64" s="27"/>
    </row>
    <row r="65" spans="1:7" ht="16.5" thickBot="1" x14ac:dyDescent="0.3">
      <c r="A65" s="28"/>
      <c r="B65" s="83" t="s">
        <v>133</v>
      </c>
      <c r="C65" s="82">
        <v>200000</v>
      </c>
      <c r="D65" s="81" t="s">
        <v>132</v>
      </c>
      <c r="E65" s="27"/>
      <c r="F65" s="80"/>
      <c r="G65" s="27"/>
    </row>
    <row r="66" spans="1:7" ht="15.75" x14ac:dyDescent="0.25">
      <c r="A66" s="28"/>
      <c r="B66" s="28"/>
      <c r="C66" s="28"/>
      <c r="D66" s="28"/>
      <c r="E66" s="28"/>
      <c r="F66" s="28"/>
      <c r="G66" s="28"/>
    </row>
    <row r="67" spans="1:7" ht="15.75" x14ac:dyDescent="0.25">
      <c r="A67" s="44" t="s">
        <v>131</v>
      </c>
      <c r="B67" s="27"/>
      <c r="C67" s="27"/>
      <c r="D67" s="27"/>
      <c r="E67" s="27"/>
      <c r="F67" s="27"/>
      <c r="G67" s="2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5791-9C0E-47F4-B58A-A46253183E09}">
  <sheetPr codeName="Sheet7"/>
  <dimension ref="B1:J104"/>
  <sheetViews>
    <sheetView showGridLines="0" zoomScale="75" zoomScaleNormal="75" workbookViewId="0"/>
  </sheetViews>
  <sheetFormatPr defaultColWidth="11.42578125" defaultRowHeight="15" x14ac:dyDescent="0.25"/>
  <cols>
    <col min="1" max="1" width="5.5703125" customWidth="1"/>
    <col min="2" max="2" width="36.85546875" bestFit="1" customWidth="1"/>
    <col min="3" max="3" width="100.85546875" bestFit="1" customWidth="1"/>
    <col min="4" max="4" width="5.5703125" customWidth="1"/>
    <col min="5" max="5" width="19.42578125" customWidth="1"/>
    <col min="6" max="6" width="16.5703125" customWidth="1"/>
    <col min="7" max="7" width="5.5703125" customWidth="1"/>
    <col min="8" max="8" width="22.5703125" customWidth="1"/>
    <col min="9" max="9" width="12.42578125" customWidth="1"/>
  </cols>
  <sheetData>
    <row r="1" spans="2:10" ht="15.75" thickBot="1" x14ac:dyDescent="0.3"/>
    <row r="2" spans="2:10" ht="15.75" thickBot="1" x14ac:dyDescent="0.3">
      <c r="B2" s="305" t="s">
        <v>189</v>
      </c>
      <c r="C2" s="306"/>
      <c r="E2" s="307" t="s">
        <v>188</v>
      </c>
      <c r="F2" s="308"/>
      <c r="H2" s="310" t="s">
        <v>187</v>
      </c>
      <c r="I2" s="311"/>
    </row>
    <row r="3" spans="2:10" ht="16.5" thickBot="1" x14ac:dyDescent="0.3">
      <c r="B3" s="100" t="s">
        <v>186</v>
      </c>
      <c r="C3" s="100" t="s">
        <v>185</v>
      </c>
      <c r="E3" s="309"/>
      <c r="F3" s="308"/>
      <c r="H3" s="312"/>
      <c r="I3" s="313"/>
    </row>
    <row r="4" spans="2:10" ht="16.5" thickBot="1" x14ac:dyDescent="0.3">
      <c r="B4" s="100" t="s">
        <v>184</v>
      </c>
      <c r="C4" s="100" t="s">
        <v>183</v>
      </c>
      <c r="E4" s="307" t="s">
        <v>182</v>
      </c>
      <c r="F4" s="308"/>
      <c r="H4" s="307" t="s">
        <v>181</v>
      </c>
      <c r="I4" s="308"/>
    </row>
    <row r="5" spans="2:10" ht="16.5" thickBot="1" x14ac:dyDescent="0.3">
      <c r="B5" s="100" t="s">
        <v>180</v>
      </c>
      <c r="C5" s="100" t="s">
        <v>179</v>
      </c>
      <c r="E5" s="104" t="s">
        <v>178</v>
      </c>
      <c r="F5" s="104" t="s">
        <v>176</v>
      </c>
      <c r="H5" s="104" t="s">
        <v>177</v>
      </c>
      <c r="I5" s="104" t="s">
        <v>176</v>
      </c>
    </row>
    <row r="6" spans="2:10" ht="16.5" thickBot="1" x14ac:dyDescent="0.3">
      <c r="B6" s="100" t="s">
        <v>175</v>
      </c>
      <c r="C6" s="100" t="s">
        <v>174</v>
      </c>
      <c r="E6" s="102">
        <v>18</v>
      </c>
      <c r="F6" s="103">
        <v>1.4999999999999999E-4</v>
      </c>
      <c r="H6" s="102">
        <v>0</v>
      </c>
      <c r="I6" s="101">
        <v>0</v>
      </c>
      <c r="J6" s="92"/>
    </row>
    <row r="7" spans="2:10" ht="16.5" thickBot="1" x14ac:dyDescent="0.3">
      <c r="B7" s="100" t="s">
        <v>173</v>
      </c>
      <c r="C7" s="100" t="s">
        <v>172</v>
      </c>
      <c r="E7" s="96">
        <v>19</v>
      </c>
      <c r="F7" s="95">
        <v>1.7000000000000001E-4</v>
      </c>
      <c r="H7" s="96">
        <f t="shared" ref="H7:H35" si="0">H6+1</f>
        <v>1</v>
      </c>
      <c r="I7" s="99">
        <v>0.2</v>
      </c>
    </row>
    <row r="8" spans="2:10" ht="16.5" thickBot="1" x14ac:dyDescent="0.3">
      <c r="B8" s="100" t="s">
        <v>171</v>
      </c>
      <c r="C8" s="100" t="s">
        <v>169</v>
      </c>
      <c r="E8" s="96">
        <v>20</v>
      </c>
      <c r="F8" s="95">
        <v>1.8000000000000001E-4</v>
      </c>
      <c r="H8" s="96">
        <f t="shared" si="0"/>
        <v>2</v>
      </c>
      <c r="I8" s="99">
        <v>0.2</v>
      </c>
    </row>
    <row r="9" spans="2:10" ht="16.5" thickBot="1" x14ac:dyDescent="0.3">
      <c r="B9" s="100" t="s">
        <v>170</v>
      </c>
      <c r="C9" s="100" t="s">
        <v>169</v>
      </c>
      <c r="E9" s="96">
        <v>21</v>
      </c>
      <c r="F9" s="95">
        <v>1.9000000000000001E-4</v>
      </c>
      <c r="H9" s="96">
        <f t="shared" si="0"/>
        <v>3</v>
      </c>
      <c r="I9" s="99">
        <v>0.2</v>
      </c>
    </row>
    <row r="10" spans="2:10" ht="16.5" thickBot="1" x14ac:dyDescent="0.3">
      <c r="B10" s="100" t="s">
        <v>168</v>
      </c>
      <c r="C10" s="100" t="s">
        <v>167</v>
      </c>
      <c r="E10" s="96">
        <v>22</v>
      </c>
      <c r="F10" s="95">
        <v>2.0000000000000001E-4</v>
      </c>
      <c r="H10" s="96">
        <f t="shared" si="0"/>
        <v>4</v>
      </c>
      <c r="I10" s="99">
        <v>0.05</v>
      </c>
    </row>
    <row r="11" spans="2:10" ht="16.5" thickBot="1" x14ac:dyDescent="0.3">
      <c r="B11" s="100" t="s">
        <v>166</v>
      </c>
      <c r="C11" s="100" t="s">
        <v>165</v>
      </c>
      <c r="E11" s="96">
        <v>23</v>
      </c>
      <c r="F11" s="95">
        <v>2.2000000000000001E-4</v>
      </c>
      <c r="H11" s="96">
        <f t="shared" si="0"/>
        <v>5</v>
      </c>
      <c r="I11" s="99">
        <v>0.05</v>
      </c>
    </row>
    <row r="12" spans="2:10" ht="16.5" thickBot="1" x14ac:dyDescent="0.3">
      <c r="B12" s="100" t="s">
        <v>164</v>
      </c>
      <c r="C12" s="100" t="s">
        <v>163</v>
      </c>
      <c r="E12" s="96">
        <v>24</v>
      </c>
      <c r="F12" s="95">
        <v>2.3000000000000001E-4</v>
      </c>
      <c r="H12" s="96">
        <f t="shared" si="0"/>
        <v>6</v>
      </c>
      <c r="I12" s="99">
        <v>0.05</v>
      </c>
    </row>
    <row r="13" spans="2:10" x14ac:dyDescent="0.25">
      <c r="E13" s="96">
        <v>25</v>
      </c>
      <c r="F13" s="95">
        <v>2.4000000000000001E-4</v>
      </c>
      <c r="H13" s="96">
        <f t="shared" si="0"/>
        <v>7</v>
      </c>
      <c r="I13" s="99">
        <v>0.05</v>
      </c>
    </row>
    <row r="14" spans="2:10" x14ac:dyDescent="0.25">
      <c r="E14" s="96">
        <v>26</v>
      </c>
      <c r="F14" s="95">
        <v>2.5000000000000001E-4</v>
      </c>
      <c r="H14" s="96">
        <f t="shared" si="0"/>
        <v>8</v>
      </c>
      <c r="I14" s="99">
        <v>0.05</v>
      </c>
    </row>
    <row r="15" spans="2:10" x14ac:dyDescent="0.25">
      <c r="E15" s="96">
        <v>27</v>
      </c>
      <c r="F15" s="95">
        <v>2.7E-4</v>
      </c>
      <c r="H15" s="96">
        <f t="shared" si="0"/>
        <v>9</v>
      </c>
      <c r="I15" s="99">
        <v>0.05</v>
      </c>
    </row>
    <row r="16" spans="2:10" x14ac:dyDescent="0.25">
      <c r="E16" s="96">
        <v>28</v>
      </c>
      <c r="F16" s="95">
        <v>2.7E-4</v>
      </c>
      <c r="H16" s="96">
        <f t="shared" si="0"/>
        <v>10</v>
      </c>
      <c r="I16" s="99">
        <v>0.05</v>
      </c>
    </row>
    <row r="17" spans="2:9" x14ac:dyDescent="0.25">
      <c r="E17" s="96">
        <v>29</v>
      </c>
      <c r="F17" s="95">
        <v>2.7999999999999998E-4</v>
      </c>
      <c r="H17" s="96">
        <f t="shared" si="0"/>
        <v>11</v>
      </c>
      <c r="I17" s="99">
        <v>0.05</v>
      </c>
    </row>
    <row r="18" spans="2:9" x14ac:dyDescent="0.25">
      <c r="E18" s="96">
        <v>30</v>
      </c>
      <c r="F18" s="95">
        <v>2.9999999999999997E-4</v>
      </c>
      <c r="H18" s="96">
        <f t="shared" si="0"/>
        <v>12</v>
      </c>
      <c r="I18" s="99">
        <v>0.05</v>
      </c>
    </row>
    <row r="19" spans="2:9" x14ac:dyDescent="0.25">
      <c r="B19" s="92"/>
      <c r="C19" s="91"/>
      <c r="E19" s="96">
        <v>31</v>
      </c>
      <c r="F19" s="95">
        <v>3.1E-4</v>
      </c>
      <c r="H19" s="96">
        <f t="shared" si="0"/>
        <v>13</v>
      </c>
      <c r="I19" s="99">
        <v>0.05</v>
      </c>
    </row>
    <row r="20" spans="2:9" x14ac:dyDescent="0.25">
      <c r="B20" s="92"/>
      <c r="C20" s="91"/>
      <c r="E20" s="96">
        <v>32</v>
      </c>
      <c r="F20" s="95">
        <v>3.4000000000000002E-4</v>
      </c>
      <c r="H20" s="96">
        <f t="shared" si="0"/>
        <v>14</v>
      </c>
      <c r="I20" s="99">
        <v>0.05</v>
      </c>
    </row>
    <row r="21" spans="2:9" x14ac:dyDescent="0.25">
      <c r="B21" s="92"/>
      <c r="C21" s="91"/>
      <c r="E21" s="96">
        <v>33</v>
      </c>
      <c r="F21" s="95">
        <v>3.6000000000000002E-4</v>
      </c>
      <c r="H21" s="96">
        <f t="shared" si="0"/>
        <v>15</v>
      </c>
      <c r="I21" s="99">
        <v>0.05</v>
      </c>
    </row>
    <row r="22" spans="2:9" x14ac:dyDescent="0.25">
      <c r="B22" s="92"/>
      <c r="C22" s="91"/>
      <c r="E22" s="96">
        <v>34</v>
      </c>
      <c r="F22" s="95">
        <v>3.8999999999999999E-4</v>
      </c>
      <c r="H22" s="96">
        <f t="shared" si="0"/>
        <v>16</v>
      </c>
      <c r="I22" s="99">
        <v>0.03</v>
      </c>
    </row>
    <row r="23" spans="2:9" x14ac:dyDescent="0.25">
      <c r="B23" s="92"/>
      <c r="C23" s="91"/>
      <c r="E23" s="96">
        <v>35</v>
      </c>
      <c r="F23" s="95">
        <v>4.2000000000000002E-4</v>
      </c>
      <c r="H23" s="96">
        <f t="shared" si="0"/>
        <v>17</v>
      </c>
      <c r="I23" s="99">
        <v>0.03</v>
      </c>
    </row>
    <row r="24" spans="2:9" x14ac:dyDescent="0.25">
      <c r="B24" s="92"/>
      <c r="C24" s="91"/>
      <c r="E24" s="96">
        <v>36</v>
      </c>
      <c r="F24" s="95">
        <v>4.4999999999999999E-4</v>
      </c>
      <c r="H24" s="96">
        <f t="shared" si="0"/>
        <v>18</v>
      </c>
      <c r="I24" s="99">
        <v>0.03</v>
      </c>
    </row>
    <row r="25" spans="2:9" x14ac:dyDescent="0.25">
      <c r="B25" s="92"/>
      <c r="C25" s="91"/>
      <c r="E25" s="96">
        <v>37</v>
      </c>
      <c r="F25" s="95">
        <v>4.8000000000000001E-4</v>
      </c>
      <c r="H25" s="96">
        <f t="shared" si="0"/>
        <v>19</v>
      </c>
      <c r="I25" s="99">
        <v>0.03</v>
      </c>
    </row>
    <row r="26" spans="2:9" x14ac:dyDescent="0.25">
      <c r="B26" s="92"/>
      <c r="C26" s="91"/>
      <c r="E26" s="96">
        <v>38</v>
      </c>
      <c r="F26" s="95">
        <v>5.2999999999999998E-4</v>
      </c>
      <c r="H26" s="96">
        <f t="shared" si="0"/>
        <v>20</v>
      </c>
      <c r="I26" s="99">
        <v>0.03</v>
      </c>
    </row>
    <row r="27" spans="2:9" x14ac:dyDescent="0.25">
      <c r="B27" s="92"/>
      <c r="C27" s="91"/>
      <c r="E27" s="96">
        <v>39</v>
      </c>
      <c r="F27" s="95">
        <v>5.6999999999999998E-4</v>
      </c>
      <c r="H27" s="96">
        <f t="shared" si="0"/>
        <v>21</v>
      </c>
      <c r="I27" s="99">
        <v>0.01</v>
      </c>
    </row>
    <row r="28" spans="2:9" x14ac:dyDescent="0.25">
      <c r="B28" s="92"/>
      <c r="C28" s="91"/>
      <c r="E28" s="96">
        <v>40</v>
      </c>
      <c r="F28" s="95">
        <v>6.0999999999999997E-4</v>
      </c>
      <c r="H28" s="96">
        <f t="shared" si="0"/>
        <v>22</v>
      </c>
      <c r="I28" s="99">
        <v>0.01</v>
      </c>
    </row>
    <row r="29" spans="2:9" x14ac:dyDescent="0.25">
      <c r="B29" s="92"/>
      <c r="C29" s="91"/>
      <c r="E29" s="96">
        <v>41</v>
      </c>
      <c r="F29" s="95">
        <v>6.4999999999999997E-4</v>
      </c>
      <c r="H29" s="96">
        <f t="shared" si="0"/>
        <v>23</v>
      </c>
      <c r="I29" s="99">
        <v>0.01</v>
      </c>
    </row>
    <row r="30" spans="2:9" x14ac:dyDescent="0.25">
      <c r="B30" s="92"/>
      <c r="C30" s="91"/>
      <c r="E30" s="96">
        <v>42</v>
      </c>
      <c r="F30" s="95">
        <v>6.8999999999999997E-4</v>
      </c>
      <c r="H30" s="96">
        <f t="shared" si="0"/>
        <v>24</v>
      </c>
      <c r="I30" s="99">
        <v>0.01</v>
      </c>
    </row>
    <row r="31" spans="2:9" x14ac:dyDescent="0.25">
      <c r="B31" s="92"/>
      <c r="C31" s="91"/>
      <c r="E31" s="96">
        <v>43</v>
      </c>
      <c r="F31" s="95">
        <v>7.5000000000000002E-4</v>
      </c>
      <c r="H31" s="96">
        <f t="shared" si="0"/>
        <v>25</v>
      </c>
      <c r="I31" s="99">
        <v>0.01</v>
      </c>
    </row>
    <row r="32" spans="2:9" x14ac:dyDescent="0.25">
      <c r="B32" s="92"/>
      <c r="C32" s="91"/>
      <c r="E32" s="96">
        <v>44</v>
      </c>
      <c r="F32" s="95">
        <v>8.0000000000000004E-4</v>
      </c>
      <c r="H32" s="96">
        <f t="shared" si="0"/>
        <v>26</v>
      </c>
      <c r="I32" s="99">
        <v>0.01</v>
      </c>
    </row>
    <row r="33" spans="2:9" x14ac:dyDescent="0.25">
      <c r="B33" s="92"/>
      <c r="C33" s="91"/>
      <c r="E33" s="96">
        <v>45</v>
      </c>
      <c r="F33" s="95">
        <v>8.5999999999999998E-4</v>
      </c>
      <c r="H33" s="96">
        <f t="shared" si="0"/>
        <v>27</v>
      </c>
      <c r="I33" s="99">
        <v>0.01</v>
      </c>
    </row>
    <row r="34" spans="2:9" x14ac:dyDescent="0.25">
      <c r="B34" s="92"/>
      <c r="C34" s="91"/>
      <c r="E34" s="96">
        <v>46</v>
      </c>
      <c r="F34" s="95">
        <v>9.2000000000000003E-4</v>
      </c>
      <c r="H34" s="96">
        <f t="shared" si="0"/>
        <v>28</v>
      </c>
      <c r="I34" s="99">
        <v>0.01</v>
      </c>
    </row>
    <row r="35" spans="2:9" x14ac:dyDescent="0.25">
      <c r="B35" s="92"/>
      <c r="C35" s="91"/>
      <c r="E35" s="96">
        <v>47</v>
      </c>
      <c r="F35" s="95">
        <v>1.01E-3</v>
      </c>
      <c r="H35" s="96">
        <f t="shared" si="0"/>
        <v>29</v>
      </c>
      <c r="I35" s="99">
        <v>0.01</v>
      </c>
    </row>
    <row r="36" spans="2:9" ht="15.75" thickBot="1" x14ac:dyDescent="0.3">
      <c r="B36" s="92"/>
      <c r="C36" s="91"/>
      <c r="E36" s="96">
        <v>48</v>
      </c>
      <c r="F36" s="95">
        <v>1.09E-3</v>
      </c>
      <c r="H36" s="98" t="s">
        <v>162</v>
      </c>
      <c r="I36" s="97">
        <v>0</v>
      </c>
    </row>
    <row r="37" spans="2:9" x14ac:dyDescent="0.25">
      <c r="B37" s="92"/>
      <c r="C37" s="91"/>
      <c r="E37" s="96">
        <v>49</v>
      </c>
      <c r="F37" s="95">
        <v>1.1900000000000001E-3</v>
      </c>
    </row>
    <row r="38" spans="2:9" x14ac:dyDescent="0.25">
      <c r="B38" s="92"/>
      <c r="C38" s="91"/>
      <c r="E38" s="96">
        <v>50</v>
      </c>
      <c r="F38" s="95">
        <v>1.2899999999999999E-3</v>
      </c>
    </row>
    <row r="39" spans="2:9" x14ac:dyDescent="0.25">
      <c r="B39" s="92"/>
      <c r="C39" s="91"/>
      <c r="E39" s="96">
        <v>51</v>
      </c>
      <c r="F39" s="95">
        <v>1.41E-3</v>
      </c>
    </row>
    <row r="40" spans="2:9" x14ac:dyDescent="0.25">
      <c r="B40" s="92"/>
      <c r="C40" s="91"/>
      <c r="E40" s="96">
        <v>52</v>
      </c>
      <c r="F40" s="95">
        <v>1.5299999999999999E-3</v>
      </c>
    </row>
    <row r="41" spans="2:9" x14ac:dyDescent="0.25">
      <c r="B41" s="92"/>
      <c r="C41" s="91"/>
      <c r="E41" s="96">
        <v>53</v>
      </c>
      <c r="F41" s="95">
        <v>1.6800000000000001E-3</v>
      </c>
    </row>
    <row r="42" spans="2:9" x14ac:dyDescent="0.25">
      <c r="B42" s="92"/>
      <c r="C42" s="91"/>
      <c r="E42" s="96">
        <v>54</v>
      </c>
      <c r="F42" s="95">
        <v>1.8600000000000001E-3</v>
      </c>
    </row>
    <row r="43" spans="2:9" x14ac:dyDescent="0.25">
      <c r="B43" s="92"/>
      <c r="C43" s="91"/>
      <c r="E43" s="96">
        <v>55</v>
      </c>
      <c r="F43" s="95">
        <v>2.0699999999999998E-3</v>
      </c>
    </row>
    <row r="44" spans="2:9" x14ac:dyDescent="0.25">
      <c r="B44" s="92"/>
      <c r="C44" s="91"/>
      <c r="E44" s="96">
        <v>56</v>
      </c>
      <c r="F44" s="95">
        <v>2.31E-3</v>
      </c>
    </row>
    <row r="45" spans="2:9" x14ac:dyDescent="0.25">
      <c r="B45" s="92"/>
      <c r="C45" s="91"/>
      <c r="E45" s="96">
        <v>57</v>
      </c>
      <c r="F45" s="95">
        <v>2.5799999999999998E-3</v>
      </c>
    </row>
    <row r="46" spans="2:9" x14ac:dyDescent="0.25">
      <c r="B46" s="92"/>
      <c r="C46" s="91"/>
      <c r="E46" s="96">
        <v>58</v>
      </c>
      <c r="F46" s="95">
        <v>2.8700000000000002E-3</v>
      </c>
    </row>
    <row r="47" spans="2:9" x14ac:dyDescent="0.25">
      <c r="B47" s="92"/>
      <c r="C47" s="91"/>
      <c r="E47" s="96">
        <v>59</v>
      </c>
      <c r="F47" s="95">
        <v>3.1800000000000001E-3</v>
      </c>
    </row>
    <row r="48" spans="2:9" x14ac:dyDescent="0.25">
      <c r="B48" s="92"/>
      <c r="C48" s="91"/>
      <c r="E48" s="96">
        <v>60</v>
      </c>
      <c r="F48" s="95">
        <v>3.5000000000000001E-3</v>
      </c>
    </row>
    <row r="49" spans="2:6" x14ac:dyDescent="0.25">
      <c r="B49" s="92"/>
      <c r="C49" s="91"/>
      <c r="E49" s="96">
        <v>61</v>
      </c>
      <c r="F49" s="95">
        <v>3.8400000000000001E-3</v>
      </c>
    </row>
    <row r="50" spans="2:6" x14ac:dyDescent="0.25">
      <c r="B50" s="92"/>
      <c r="C50" s="91"/>
      <c r="E50" s="96">
        <v>62</v>
      </c>
      <c r="F50" s="95">
        <v>4.2100000000000002E-3</v>
      </c>
    </row>
    <row r="51" spans="2:6" x14ac:dyDescent="0.25">
      <c r="B51" s="92"/>
      <c r="C51" s="91"/>
      <c r="E51" s="96">
        <v>63</v>
      </c>
      <c r="F51" s="95">
        <v>4.64E-3</v>
      </c>
    </row>
    <row r="52" spans="2:6" x14ac:dyDescent="0.25">
      <c r="B52" s="92"/>
      <c r="C52" s="91"/>
      <c r="E52" s="96">
        <v>64</v>
      </c>
      <c r="F52" s="95">
        <v>5.11E-3</v>
      </c>
    </row>
    <row r="53" spans="2:6" x14ac:dyDescent="0.25">
      <c r="B53" s="92"/>
      <c r="C53" s="91"/>
      <c r="E53" s="96">
        <v>65</v>
      </c>
      <c r="F53" s="95">
        <v>5.62E-3</v>
      </c>
    </row>
    <row r="54" spans="2:6" x14ac:dyDescent="0.25">
      <c r="B54" s="92"/>
      <c r="C54" s="91"/>
      <c r="E54" s="96">
        <v>66</v>
      </c>
      <c r="F54" s="95">
        <v>6.1999999999999998E-3</v>
      </c>
    </row>
    <row r="55" spans="2:6" x14ac:dyDescent="0.25">
      <c r="B55" s="92"/>
      <c r="C55" s="91"/>
      <c r="E55" s="96">
        <v>67</v>
      </c>
      <c r="F55" s="95">
        <v>6.8599999999999998E-3</v>
      </c>
    </row>
    <row r="56" spans="2:6" x14ac:dyDescent="0.25">
      <c r="B56" s="92"/>
      <c r="C56" s="91"/>
      <c r="E56" s="96">
        <v>68</v>
      </c>
      <c r="F56" s="95">
        <v>7.6099999999999996E-3</v>
      </c>
    </row>
    <row r="57" spans="2:6" x14ac:dyDescent="0.25">
      <c r="B57" s="92"/>
      <c r="C57" s="91"/>
      <c r="E57" s="96">
        <v>69</v>
      </c>
      <c r="F57" s="95">
        <v>8.4399999999999996E-3</v>
      </c>
    </row>
    <row r="58" spans="2:6" x14ac:dyDescent="0.25">
      <c r="B58" s="92"/>
      <c r="C58" s="91"/>
      <c r="E58" s="96">
        <v>70</v>
      </c>
      <c r="F58" s="95">
        <v>9.3399999999999993E-3</v>
      </c>
    </row>
    <row r="59" spans="2:6" x14ac:dyDescent="0.25">
      <c r="B59" s="92"/>
      <c r="C59" s="91"/>
      <c r="E59" s="96">
        <v>71</v>
      </c>
      <c r="F59" s="95">
        <v>1.031E-2</v>
      </c>
    </row>
    <row r="60" spans="2:6" x14ac:dyDescent="0.25">
      <c r="B60" s="92"/>
      <c r="C60" s="91"/>
      <c r="E60" s="96">
        <v>72</v>
      </c>
      <c r="F60" s="95">
        <v>1.1339999999999999E-2</v>
      </c>
    </row>
    <row r="61" spans="2:6" x14ac:dyDescent="0.25">
      <c r="B61" s="92"/>
      <c r="C61" s="91"/>
      <c r="E61" s="96">
        <v>73</v>
      </c>
      <c r="F61" s="95">
        <v>1.244E-2</v>
      </c>
    </row>
    <row r="62" spans="2:6" x14ac:dyDescent="0.25">
      <c r="B62" s="92"/>
      <c r="C62" s="91"/>
      <c r="E62" s="96">
        <v>74</v>
      </c>
      <c r="F62" s="95">
        <v>1.366E-2</v>
      </c>
    </row>
    <row r="63" spans="2:6" x14ac:dyDescent="0.25">
      <c r="B63" s="92"/>
      <c r="C63" s="91"/>
      <c r="E63" s="96">
        <v>75</v>
      </c>
      <c r="F63" s="95">
        <v>1.502E-2</v>
      </c>
    </row>
    <row r="64" spans="2:6" x14ac:dyDescent="0.25">
      <c r="B64" s="92"/>
      <c r="C64" s="91"/>
      <c r="E64" s="96">
        <v>76</v>
      </c>
      <c r="F64" s="95">
        <v>1.6559999999999998E-2</v>
      </c>
    </row>
    <row r="65" spans="2:6" x14ac:dyDescent="0.25">
      <c r="B65" s="92"/>
      <c r="C65" s="91"/>
      <c r="E65" s="96">
        <v>77</v>
      </c>
      <c r="F65" s="95">
        <v>1.8339999999999999E-2</v>
      </c>
    </row>
    <row r="66" spans="2:6" x14ac:dyDescent="0.25">
      <c r="B66" s="92"/>
      <c r="C66" s="91"/>
      <c r="E66" s="96">
        <v>78</v>
      </c>
      <c r="F66" s="95">
        <v>2.0410000000000001E-2</v>
      </c>
    </row>
    <row r="67" spans="2:6" x14ac:dyDescent="0.25">
      <c r="B67" s="92"/>
      <c r="C67" s="91"/>
      <c r="E67" s="96">
        <v>79</v>
      </c>
      <c r="F67" s="95">
        <v>2.2839999999999999E-2</v>
      </c>
    </row>
    <row r="68" spans="2:6" x14ac:dyDescent="0.25">
      <c r="B68" s="92"/>
      <c r="C68" s="91"/>
      <c r="E68" s="96">
        <v>80</v>
      </c>
      <c r="F68" s="95">
        <v>2.571E-2</v>
      </c>
    </row>
    <row r="69" spans="2:6" x14ac:dyDescent="0.25">
      <c r="B69" s="92"/>
      <c r="C69" s="91"/>
      <c r="E69" s="96">
        <v>81</v>
      </c>
      <c r="F69" s="95">
        <v>2.913E-2</v>
      </c>
    </row>
    <row r="70" spans="2:6" x14ac:dyDescent="0.25">
      <c r="B70" s="92"/>
      <c r="C70" s="91"/>
      <c r="E70" s="96">
        <v>82</v>
      </c>
      <c r="F70" s="95">
        <v>3.32E-2</v>
      </c>
    </row>
    <row r="71" spans="2:6" x14ac:dyDescent="0.25">
      <c r="B71" s="92"/>
      <c r="C71" s="91"/>
      <c r="E71" s="96">
        <v>83</v>
      </c>
      <c r="F71" s="95">
        <v>3.805E-2</v>
      </c>
    </row>
    <row r="72" spans="2:6" x14ac:dyDescent="0.25">
      <c r="B72" s="92"/>
      <c r="C72" s="91"/>
      <c r="E72" s="96">
        <v>84</v>
      </c>
      <c r="F72" s="95">
        <v>4.3770000000000003E-2</v>
      </c>
    </row>
    <row r="73" spans="2:6" x14ac:dyDescent="0.25">
      <c r="B73" s="92"/>
      <c r="C73" s="91"/>
      <c r="E73" s="96">
        <v>85</v>
      </c>
      <c r="F73" s="95">
        <v>5.0500000000000003E-2</v>
      </c>
    </row>
    <row r="74" spans="2:6" x14ac:dyDescent="0.25">
      <c r="B74" s="92"/>
      <c r="C74" s="91"/>
      <c r="E74" s="96">
        <v>86</v>
      </c>
      <c r="F74" s="95">
        <v>5.8319999999999997E-2</v>
      </c>
    </row>
    <row r="75" spans="2:6" x14ac:dyDescent="0.25">
      <c r="B75" s="92"/>
      <c r="C75" s="91"/>
      <c r="E75" s="96">
        <v>87</v>
      </c>
      <c r="F75" s="95">
        <v>6.7339999999999997E-2</v>
      </c>
    </row>
    <row r="76" spans="2:6" x14ac:dyDescent="0.25">
      <c r="B76" s="92"/>
      <c r="C76" s="91"/>
      <c r="E76" s="96">
        <v>88</v>
      </c>
      <c r="F76" s="95">
        <v>7.7649999999999997E-2</v>
      </c>
    </row>
    <row r="77" spans="2:6" x14ac:dyDescent="0.25">
      <c r="B77" s="92"/>
      <c r="C77" s="91"/>
      <c r="E77" s="96">
        <v>89</v>
      </c>
      <c r="F77" s="95">
        <v>8.9319999999999997E-2</v>
      </c>
    </row>
    <row r="78" spans="2:6" x14ac:dyDescent="0.25">
      <c r="B78" s="92"/>
      <c r="C78" s="91"/>
      <c r="E78" s="96">
        <v>90</v>
      </c>
      <c r="F78" s="95">
        <v>0.10238</v>
      </c>
    </row>
    <row r="79" spans="2:6" x14ac:dyDescent="0.25">
      <c r="B79" s="92"/>
      <c r="C79" s="91"/>
      <c r="E79" s="96">
        <v>91</v>
      </c>
      <c r="F79" s="95">
        <v>0.11683</v>
      </c>
    </row>
    <row r="80" spans="2:6" x14ac:dyDescent="0.25">
      <c r="B80" s="92"/>
      <c r="C80" s="91"/>
      <c r="E80" s="96">
        <v>92</v>
      </c>
      <c r="F80" s="95">
        <v>0.13261000000000001</v>
      </c>
    </row>
    <row r="81" spans="2:6" x14ac:dyDescent="0.25">
      <c r="B81" s="92"/>
      <c r="C81" s="91"/>
      <c r="E81" s="96">
        <v>93</v>
      </c>
      <c r="F81" s="95">
        <v>0.14960999999999999</v>
      </c>
    </row>
    <row r="82" spans="2:6" x14ac:dyDescent="0.25">
      <c r="B82" s="92"/>
      <c r="C82" s="91"/>
      <c r="E82" s="96">
        <v>94</v>
      </c>
      <c r="F82" s="95">
        <v>0.16771</v>
      </c>
    </row>
    <row r="83" spans="2:6" x14ac:dyDescent="0.25">
      <c r="B83" s="92"/>
      <c r="C83" s="91"/>
      <c r="E83" s="96">
        <v>95</v>
      </c>
      <c r="F83" s="95">
        <v>0.18670999999999999</v>
      </c>
    </row>
    <row r="84" spans="2:6" x14ac:dyDescent="0.25">
      <c r="B84" s="92"/>
      <c r="C84" s="91"/>
      <c r="E84" s="96">
        <v>96</v>
      </c>
      <c r="F84" s="95">
        <v>0.20644000000000001</v>
      </c>
    </row>
    <row r="85" spans="2:6" x14ac:dyDescent="0.25">
      <c r="B85" s="92"/>
      <c r="C85" s="91"/>
      <c r="E85" s="96">
        <v>97</v>
      </c>
      <c r="F85" s="95">
        <v>0.22670000000000001</v>
      </c>
    </row>
    <row r="86" spans="2:6" x14ac:dyDescent="0.25">
      <c r="B86" s="92"/>
      <c r="C86" s="91"/>
      <c r="E86" s="96">
        <v>98</v>
      </c>
      <c r="F86" s="95">
        <v>0.24728</v>
      </c>
    </row>
    <row r="87" spans="2:6" x14ac:dyDescent="0.25">
      <c r="B87" s="92"/>
      <c r="C87" s="91"/>
      <c r="E87" s="96">
        <v>99</v>
      </c>
      <c r="F87" s="95">
        <v>0.26871</v>
      </c>
    </row>
    <row r="88" spans="2:6" x14ac:dyDescent="0.25">
      <c r="B88" s="92"/>
      <c r="C88" s="91"/>
      <c r="E88" s="96">
        <v>100</v>
      </c>
      <c r="F88" s="95">
        <v>0.29127999999999998</v>
      </c>
    </row>
    <row r="89" spans="2:6" x14ac:dyDescent="0.25">
      <c r="B89" s="92"/>
      <c r="C89" s="91"/>
      <c r="E89" s="96">
        <v>101</v>
      </c>
      <c r="F89" s="95">
        <v>0.31508000000000003</v>
      </c>
    </row>
    <row r="90" spans="2:6" x14ac:dyDescent="0.25">
      <c r="B90" s="92"/>
      <c r="C90" s="91"/>
      <c r="E90" s="96">
        <v>102</v>
      </c>
      <c r="F90" s="95">
        <v>0.33994999999999997</v>
      </c>
    </row>
    <row r="91" spans="2:6" x14ac:dyDescent="0.25">
      <c r="B91" s="92"/>
      <c r="C91" s="91"/>
      <c r="E91" s="96">
        <v>103</v>
      </c>
      <c r="F91" s="95">
        <v>0.36552000000000001</v>
      </c>
    </row>
    <row r="92" spans="2:6" x14ac:dyDescent="0.25">
      <c r="B92" s="92"/>
      <c r="C92" s="91"/>
      <c r="E92" s="96">
        <v>104</v>
      </c>
      <c r="F92" s="95">
        <v>0.39119999999999999</v>
      </c>
    </row>
    <row r="93" spans="2:6" x14ac:dyDescent="0.25">
      <c r="B93" s="92"/>
      <c r="C93" s="91"/>
      <c r="E93" s="96">
        <v>105</v>
      </c>
      <c r="F93" s="95">
        <v>0.41615999999999997</v>
      </c>
    </row>
    <row r="94" spans="2:6" x14ac:dyDescent="0.25">
      <c r="B94" s="92"/>
      <c r="C94" s="91"/>
      <c r="E94" s="96">
        <v>106</v>
      </c>
      <c r="F94" s="95">
        <v>0.43936999999999998</v>
      </c>
    </row>
    <row r="95" spans="2:6" x14ac:dyDescent="0.25">
      <c r="B95" s="92"/>
      <c r="C95" s="91"/>
      <c r="E95" s="96">
        <v>107</v>
      </c>
      <c r="F95" s="95">
        <v>0.45956000000000002</v>
      </c>
    </row>
    <row r="96" spans="2:6" x14ac:dyDescent="0.25">
      <c r="B96" s="92"/>
      <c r="C96" s="91"/>
      <c r="E96" s="96">
        <v>108</v>
      </c>
      <c r="F96" s="95">
        <v>0.47972999999999999</v>
      </c>
    </row>
    <row r="97" spans="2:6" x14ac:dyDescent="0.25">
      <c r="B97" s="92"/>
      <c r="C97" s="91"/>
      <c r="E97" s="96">
        <v>109</v>
      </c>
      <c r="F97" s="95">
        <v>0.50988</v>
      </c>
    </row>
    <row r="98" spans="2:6" x14ac:dyDescent="0.25">
      <c r="B98" s="92"/>
      <c r="C98" s="91"/>
      <c r="E98" s="96">
        <v>110</v>
      </c>
      <c r="F98" s="95">
        <v>0.53</v>
      </c>
    </row>
    <row r="99" spans="2:6" x14ac:dyDescent="0.25">
      <c r="B99" s="92"/>
      <c r="C99" s="91"/>
      <c r="E99" s="96">
        <v>111</v>
      </c>
      <c r="F99" s="95">
        <v>0.55000000000000004</v>
      </c>
    </row>
    <row r="100" spans="2:6" x14ac:dyDescent="0.25">
      <c r="B100" s="92"/>
      <c r="C100" s="91"/>
      <c r="E100" s="96">
        <v>112</v>
      </c>
      <c r="F100" s="95">
        <v>0.56999999999999995</v>
      </c>
    </row>
    <row r="101" spans="2:6" x14ac:dyDescent="0.25">
      <c r="B101" s="92"/>
      <c r="C101" s="91"/>
      <c r="E101" s="96">
        <v>113</v>
      </c>
      <c r="F101" s="95">
        <v>0.59</v>
      </c>
    </row>
    <row r="102" spans="2:6" x14ac:dyDescent="0.25">
      <c r="B102" s="92"/>
      <c r="C102" s="91"/>
      <c r="E102" s="96">
        <v>114</v>
      </c>
      <c r="F102" s="95">
        <v>0.61</v>
      </c>
    </row>
    <row r="103" spans="2:6" ht="15.75" thickBot="1" x14ac:dyDescent="0.3">
      <c r="B103" s="92"/>
      <c r="C103" s="91"/>
      <c r="E103" s="94">
        <v>115</v>
      </c>
      <c r="F103" s="93">
        <v>1</v>
      </c>
    </row>
    <row r="104" spans="2:6" x14ac:dyDescent="0.25">
      <c r="B104" s="92"/>
      <c r="C104" s="91"/>
    </row>
  </sheetData>
  <mergeCells count="5">
    <mergeCell ref="B2:C2"/>
    <mergeCell ref="E2:F3"/>
    <mergeCell ref="H2:I3"/>
    <mergeCell ref="E4:F4"/>
    <mergeCell ref="H4:I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Q1</vt:lpstr>
      <vt:lpstr>Exhibit 1</vt:lpstr>
      <vt:lpstr>Exhibit 2</vt:lpstr>
      <vt:lpstr>(c)</vt:lpstr>
      <vt:lpstr>Question 2</vt:lpstr>
      <vt:lpstr>Q4</vt:lpstr>
      <vt:lpstr>Solution</vt:lpstr>
      <vt:lpstr>Q5</vt:lpstr>
      <vt:lpstr>Data for Q5</vt:lpstr>
      <vt:lpstr>Answer (c) </vt:lpstr>
      <vt:lpstr>Answer (d)</vt:lpstr>
      <vt:lpstr>Q6</vt:lpstr>
      <vt:lpstr>Solution (2)</vt:lpstr>
      <vt:lpstr>Q7</vt:lpstr>
      <vt:lpstr>Solution (3)</vt:lpstr>
      <vt:lpstr>Q8</vt:lpstr>
      <vt:lpstr>Solution (4)</vt:lpstr>
      <vt:lpstr>'Q5'!_Hlk101539631</vt:lpstr>
      <vt:lpstr>'Q1'!Print_Area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Wada, Christopher S</dc:creator>
  <cp:lastModifiedBy>Aleshia Zionce</cp:lastModifiedBy>
  <dcterms:created xsi:type="dcterms:W3CDTF">2022-07-09T17:07:45Z</dcterms:created>
  <dcterms:modified xsi:type="dcterms:W3CDTF">2024-08-16T16:03:54Z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d0d896c-7307-4e3f-87b0-7d1d5d997a8c_Enabled">
    <vt:lpwstr>true</vt:lpwstr>
  </property>
  <property fmtid="{D5CDD505-2E9C-101B-9397-08002B2CF9AE}" pid="3" name="MSIP_Label_0d0d896c-7307-4e3f-87b0-7d1d5d997a8c_SetDate">
    <vt:lpwstr>2022-07-17T20:55:05Z</vt:lpwstr>
  </property>
  <property fmtid="{D5CDD505-2E9C-101B-9397-08002B2CF9AE}" pid="4" name="MSIP_Label_0d0d896c-7307-4e3f-87b0-7d1d5d997a8c_Method">
    <vt:lpwstr>Privileged</vt:lpwstr>
  </property>
  <property fmtid="{D5CDD505-2E9C-101B-9397-08002B2CF9AE}" pid="5" name="MSIP_Label_0d0d896c-7307-4e3f-87b0-7d1d5d997a8c_Name">
    <vt:lpwstr>Public</vt:lpwstr>
  </property>
  <property fmtid="{D5CDD505-2E9C-101B-9397-08002B2CF9AE}" pid="6" name="MSIP_Label_0d0d896c-7307-4e3f-87b0-7d1d5d997a8c_SiteId">
    <vt:lpwstr>3425dff1-3121-4de4-a918-893fc94ebbbc</vt:lpwstr>
  </property>
  <property fmtid="{D5CDD505-2E9C-101B-9397-08002B2CF9AE}" pid="7" name="MSIP_Label_0d0d896c-7307-4e3f-87b0-7d1d5d997a8c_ActionId">
    <vt:lpwstr>47fe49b6-3cb6-4b6c-9909-f81992e09feb</vt:lpwstr>
  </property>
  <property fmtid="{D5CDD505-2E9C-101B-9397-08002B2CF9AE}" pid="8" name="MSIP_Label_0d0d896c-7307-4e3f-87b0-7d1d5d997a8c_ContentBits">
    <vt:lpwstr>0</vt:lpwstr>
  </property>
  <property fmtid="{D5CDD505-2E9C-101B-9397-08002B2CF9AE}" pid="9" name="MSIP_Label_90c2fedb-0da6-4717-8531-d16a1b9930f4_Enabled">
    <vt:lpwstr>true</vt:lpwstr>
  </property>
  <property fmtid="{D5CDD505-2E9C-101B-9397-08002B2CF9AE}" pid="10" name="MSIP_Label_90c2fedb-0da6-4717-8531-d16a1b9930f4_SetDate">
    <vt:lpwstr>2024-06-04T19:53:21Z</vt:lpwstr>
  </property>
  <property fmtid="{D5CDD505-2E9C-101B-9397-08002B2CF9AE}" pid="11" name="MSIP_Label_90c2fedb-0da6-4717-8531-d16a1b9930f4_Method">
    <vt:lpwstr>Standard</vt:lpwstr>
  </property>
  <property fmtid="{D5CDD505-2E9C-101B-9397-08002B2CF9AE}" pid="12" name="MSIP_Label_90c2fedb-0da6-4717-8531-d16a1b9930f4_Name">
    <vt:lpwstr>90c2fedb-0da6-4717-8531-d16a1b9930f4</vt:lpwstr>
  </property>
  <property fmtid="{D5CDD505-2E9C-101B-9397-08002B2CF9AE}" pid="13" name="MSIP_Label_90c2fedb-0da6-4717-8531-d16a1b9930f4_SiteId">
    <vt:lpwstr>45597f60-6e37-4be7-acfb-4c9e23b261ea</vt:lpwstr>
  </property>
  <property fmtid="{D5CDD505-2E9C-101B-9397-08002B2CF9AE}" pid="14" name="MSIP_Label_90c2fedb-0da6-4717-8531-d16a1b9930f4_ActionId">
    <vt:lpwstr>edc2e1e2-d75a-4312-892f-89ad9b72f7ae</vt:lpwstr>
  </property>
  <property fmtid="{D5CDD505-2E9C-101B-9397-08002B2CF9AE}" pid="15" name="MSIP_Label_90c2fedb-0da6-4717-8531-d16a1b9930f4_ContentBits">
    <vt:lpwstr>0</vt:lpwstr>
  </property>
  <property fmtid="{D5CDD505-2E9C-101B-9397-08002B2CF9AE}" pid="16" name="SV_QUERY_LIST_4F35BF76-6C0D-4D9B-82B2-816C12CF3733">
    <vt:lpwstr>empty_477D106A-C0D6-4607-AEBD-E2C9D60EA279</vt:lpwstr>
  </property>
  <property fmtid="{D5CDD505-2E9C-101B-9397-08002B2CF9AE}" pid="17" name="SV_HIDDEN_GRID_QUERY_LIST_4F35BF76-6C0D-4D9B-82B2-816C12CF3733">
    <vt:lpwstr>empty_477D106A-C0D6-4607-AEBD-E2C9D60EA279</vt:lpwstr>
  </property>
</Properties>
</file>