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customProperty2.bin" ContentType="application/vnd.openxmlformats-officedocument.spreadsheetml.customProperty"/>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Q:\Aleshia\Fall 2024 Solutions\"/>
    </mc:Choice>
  </mc:AlternateContent>
  <xr:revisionPtr revIDLastSave="0" documentId="8_{D01489CF-EFEA-4F57-ACC3-A18E670DE62B}" xr6:coauthVersionLast="47" xr6:coauthVersionMax="47" xr10:uidLastSave="{00000000-0000-0000-0000-000000000000}"/>
  <bookViews>
    <workbookView xWindow="28830" yWindow="240" windowWidth="20460" windowHeight="10335" tabRatio="602" firstSheet="1" activeTab="4" xr2:uid="{00000000-000D-0000-FFFF-FFFF00000000}"/>
  </bookViews>
  <sheets>
    <sheet name="Question 3" sheetId="1" r:id="rId1"/>
    <sheet name="Question 4" sheetId="2" r:id="rId2"/>
    <sheet name="Question" sheetId="3" r:id="rId3"/>
    <sheet name="Rubric" sheetId="4" r:id="rId4"/>
    <sheet name="Question 6" sheetId="5" r:id="rId5"/>
  </sheets>
  <definedNames>
    <definedName name="_Hlk6488088" localSheetId="4">'Question 6'!$C$41</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 i="5" l="1"/>
  <c r="O8" i="5"/>
  <c r="O9" i="5"/>
  <c r="O15" i="5" s="1"/>
  <c r="O11" i="5"/>
  <c r="O12" i="5"/>
  <c r="O13" i="5" s="1"/>
  <c r="O14" i="5"/>
  <c r="O24" i="5"/>
  <c r="O25" i="5"/>
  <c r="O26" i="5" s="1"/>
  <c r="O30" i="5"/>
  <c r="P30" i="5"/>
  <c r="O31" i="5"/>
  <c r="P31" i="5"/>
  <c r="O32" i="5"/>
  <c r="O55" i="5" s="1"/>
  <c r="P32" i="5"/>
  <c r="O37" i="5" s="1"/>
  <c r="P38" i="5" s="1"/>
  <c r="Q70" i="5" s="1"/>
  <c r="O70" i="5" s="1"/>
  <c r="O38" i="5"/>
  <c r="P42" i="5"/>
  <c r="T42" i="5" s="1"/>
  <c r="R42" i="5"/>
  <c r="Z42" i="5" s="1"/>
  <c r="S42" i="5"/>
  <c r="V42" i="5"/>
  <c r="W42" i="5"/>
  <c r="X42" i="5"/>
  <c r="Y42" i="5"/>
  <c r="Q43" i="5"/>
  <c r="Q44" i="5" s="1"/>
  <c r="S43" i="5"/>
  <c r="U43" i="5"/>
  <c r="V43" i="5"/>
  <c r="V50" i="5" s="1"/>
  <c r="W43" i="5"/>
  <c r="X43" i="5"/>
  <c r="X50" i="5" s="1"/>
  <c r="Y43" i="5"/>
  <c r="S44" i="5"/>
  <c r="V44" i="5"/>
  <c r="V51" i="5" s="1"/>
  <c r="W44" i="5"/>
  <c r="X44" i="5"/>
  <c r="X51" i="5" s="1"/>
  <c r="Y44" i="5"/>
  <c r="Y51" i="5" s="1"/>
  <c r="P49" i="5"/>
  <c r="R49" i="5"/>
  <c r="S49" i="5"/>
  <c r="T49" i="5"/>
  <c r="V49" i="5"/>
  <c r="U50" i="5" s="1"/>
  <c r="W49" i="5"/>
  <c r="X49" i="5"/>
  <c r="Y49" i="5"/>
  <c r="P50" i="5"/>
  <c r="T50" i="5" s="1"/>
  <c r="Q50" i="5"/>
  <c r="Q51" i="5" s="1"/>
  <c r="R50" i="5"/>
  <c r="S50" i="5"/>
  <c r="W50" i="5"/>
  <c r="Y50" i="5"/>
  <c r="P51" i="5"/>
  <c r="R51" i="5" s="1"/>
  <c r="S51" i="5"/>
  <c r="W51" i="5"/>
  <c r="O58" i="5"/>
  <c r="O62" i="5"/>
  <c r="P62" i="5"/>
  <c r="Q62" i="5"/>
  <c r="Q66" i="5" s="1"/>
  <c r="Q63" i="5"/>
  <c r="O63" i="5" s="1"/>
  <c r="O64" i="5"/>
  <c r="P64" i="5"/>
  <c r="P65" i="5"/>
  <c r="Q65" i="5"/>
  <c r="P66" i="5"/>
  <c r="P67" i="5"/>
  <c r="O69" i="5"/>
  <c r="P73" i="5"/>
  <c r="O73" i="5" s="1"/>
  <c r="P74" i="5"/>
  <c r="O74" i="5" s="1"/>
  <c r="Q77" i="5"/>
  <c r="Z50" i="5" l="1"/>
  <c r="U51" i="5"/>
  <c r="O66" i="5"/>
  <c r="Q67" i="5"/>
  <c r="O67" i="5" s="1"/>
  <c r="O16" i="5"/>
  <c r="O17" i="5"/>
  <c r="P43" i="5"/>
  <c r="P44" i="5"/>
  <c r="T51" i="5"/>
  <c r="Z49" i="5"/>
  <c r="U44" i="5"/>
  <c r="D50" i="4"/>
  <c r="F50" i="4"/>
  <c r="V85" i="4" s="1"/>
  <c r="D51" i="4"/>
  <c r="F51" i="4"/>
  <c r="V86" i="4" s="1"/>
  <c r="D52" i="4"/>
  <c r="F52" i="4"/>
  <c r="V87" i="4" s="1"/>
  <c r="D53" i="4"/>
  <c r="F53" i="4"/>
  <c r="D54" i="4"/>
  <c r="F54" i="4"/>
  <c r="V89" i="4" s="1"/>
  <c r="C55" i="4"/>
  <c r="C56" i="4" s="1"/>
  <c r="D55" i="4"/>
  <c r="E55" i="4"/>
  <c r="F55" i="4" s="1"/>
  <c r="V90" i="4" s="1"/>
  <c r="E56" i="4"/>
  <c r="E57" i="4" s="1"/>
  <c r="F57" i="4" s="1"/>
  <c r="V92" i="4" s="1"/>
  <c r="F56" i="4"/>
  <c r="V91" i="4" s="1"/>
  <c r="D69" i="4"/>
  <c r="F69" i="4"/>
  <c r="W85" i="4" s="1"/>
  <c r="D70" i="4"/>
  <c r="F70" i="4"/>
  <c r="W86" i="4" s="1"/>
  <c r="D71" i="4"/>
  <c r="F71" i="4"/>
  <c r="W87" i="4" s="1"/>
  <c r="D72" i="4"/>
  <c r="F72" i="4"/>
  <c r="W88" i="4" s="1"/>
  <c r="D73" i="4"/>
  <c r="F73" i="4"/>
  <c r="W89" i="4" s="1"/>
  <c r="C74" i="4"/>
  <c r="D74" i="4" s="1"/>
  <c r="E74" i="4"/>
  <c r="E75" i="4" s="1"/>
  <c r="F74" i="4"/>
  <c r="W90" i="4" s="1"/>
  <c r="L79" i="4"/>
  <c r="T79" i="4"/>
  <c r="L80" i="4"/>
  <c r="L81" i="4" s="1"/>
  <c r="M85" i="4" s="1"/>
  <c r="T80" i="4"/>
  <c r="O81" i="4"/>
  <c r="W81" i="4"/>
  <c r="L82" i="4"/>
  <c r="T82" i="4"/>
  <c r="S85" i="4"/>
  <c r="S86" i="4"/>
  <c r="S87" i="4" s="1"/>
  <c r="S88" i="4" s="1"/>
  <c r="S89" i="4" s="1"/>
  <c r="S90" i="4" s="1"/>
  <c r="S91" i="4" s="1"/>
  <c r="S92" i="4" s="1"/>
  <c r="T86" i="4"/>
  <c r="N87" i="4"/>
  <c r="N88" i="4"/>
  <c r="V88" i="4"/>
  <c r="D48" i="3"/>
  <c r="F48" i="3"/>
  <c r="D49" i="3"/>
  <c r="F49" i="3"/>
  <c r="D50" i="3"/>
  <c r="F50" i="3"/>
  <c r="D51" i="3"/>
  <c r="F51" i="3"/>
  <c r="D52" i="3"/>
  <c r="F52" i="3"/>
  <c r="C53" i="3"/>
  <c r="D53" i="3"/>
  <c r="E53" i="3"/>
  <c r="F53" i="3" s="1"/>
  <c r="C54" i="3"/>
  <c r="D54" i="3" s="1"/>
  <c r="E54" i="3"/>
  <c r="F54" i="3" s="1"/>
  <c r="D67" i="3"/>
  <c r="F67" i="3"/>
  <c r="D68" i="3"/>
  <c r="F68" i="3"/>
  <c r="D69" i="3"/>
  <c r="F69" i="3"/>
  <c r="D70" i="3"/>
  <c r="F70" i="3"/>
  <c r="D71" i="3"/>
  <c r="F71" i="3"/>
  <c r="C72" i="3"/>
  <c r="D72" i="3" s="1"/>
  <c r="E72" i="3"/>
  <c r="F72" i="3"/>
  <c r="C73" i="3"/>
  <c r="D73" i="3"/>
  <c r="E73" i="3"/>
  <c r="F73" i="3"/>
  <c r="C74" i="3"/>
  <c r="C75" i="3" s="1"/>
  <c r="D74" i="3"/>
  <c r="E74" i="3"/>
  <c r="F74" i="3" s="1"/>
  <c r="R44" i="5" l="1"/>
  <c r="Z44" i="5" s="1"/>
  <c r="T44" i="5"/>
  <c r="R43" i="5"/>
  <c r="T43" i="5"/>
  <c r="O19" i="5"/>
  <c r="P75" i="5"/>
  <c r="O75" i="5" s="1"/>
  <c r="P77" i="5"/>
  <c r="O20" i="5"/>
  <c r="Z51" i="5"/>
  <c r="Z52" i="5"/>
  <c r="O57" i="5" s="1"/>
  <c r="P58" i="5" s="1"/>
  <c r="Q72" i="5" s="1"/>
  <c r="O72" i="5" s="1"/>
  <c r="T81" i="4"/>
  <c r="N89" i="4"/>
  <c r="U89" i="4"/>
  <c r="U92" i="4"/>
  <c r="U88" i="4"/>
  <c r="U91" i="4"/>
  <c r="U87" i="4"/>
  <c r="U90" i="4"/>
  <c r="E76" i="4"/>
  <c r="F76" i="4" s="1"/>
  <c r="W92" i="4" s="1"/>
  <c r="F75" i="4"/>
  <c r="W91" i="4" s="1"/>
  <c r="U86" i="4"/>
  <c r="C57" i="4"/>
  <c r="D56" i="4"/>
  <c r="T85" i="4"/>
  <c r="U85" i="4" s="1"/>
  <c r="C75" i="4"/>
  <c r="D75" i="3"/>
  <c r="C76" i="3"/>
  <c r="E55" i="3"/>
  <c r="F55" i="3" s="1"/>
  <c r="C55" i="3"/>
  <c r="P76" i="5" l="1"/>
  <c r="O77" i="5"/>
  <c r="Z43" i="5"/>
  <c r="Z45" i="5" s="1"/>
  <c r="O56" i="5" s="1"/>
  <c r="Y86" i="4"/>
  <c r="X86" i="4"/>
  <c r="X90" i="4"/>
  <c r="Y90" i="4"/>
  <c r="X87" i="4"/>
  <c r="Y87" i="4"/>
  <c r="W79" i="4" s="1"/>
  <c r="C58" i="4"/>
  <c r="D57" i="4"/>
  <c r="Y88" i="4"/>
  <c r="X88" i="4"/>
  <c r="Y92" i="4"/>
  <c r="X92" i="4"/>
  <c r="X89" i="4"/>
  <c r="Y89" i="4"/>
  <c r="X85" i="4"/>
  <c r="W77" i="4" s="1"/>
  <c r="Y85" i="4"/>
  <c r="W78" i="4" s="1"/>
  <c r="W80" i="4" s="1"/>
  <c r="Y91" i="4"/>
  <c r="X91" i="4"/>
  <c r="C76" i="4"/>
  <c r="D75" i="4"/>
  <c r="D55" i="3"/>
  <c r="C56" i="3"/>
  <c r="C77" i="3"/>
  <c r="D76" i="3"/>
  <c r="P57" i="5" l="1"/>
  <c r="Q71" i="5" s="1"/>
  <c r="O71" i="5" s="1"/>
  <c r="P56" i="5"/>
  <c r="Q68" i="5" s="1"/>
  <c r="D58" i="4"/>
  <c r="C59" i="4"/>
  <c r="W82" i="4"/>
  <c r="N93" i="4" s="1"/>
  <c r="D76" i="4"/>
  <c r="C77" i="4"/>
  <c r="D77" i="3"/>
  <c r="C78" i="3"/>
  <c r="D56" i="3"/>
  <c r="C57" i="3"/>
  <c r="O68" i="5" l="1"/>
  <c r="Q76" i="5"/>
  <c r="O76" i="5" s="1"/>
  <c r="D59" i="4"/>
  <c r="C60" i="4"/>
  <c r="C78" i="4"/>
  <c r="D77" i="4"/>
  <c r="D57" i="3"/>
  <c r="C58" i="3"/>
  <c r="C79" i="3"/>
  <c r="D78" i="3"/>
  <c r="D78" i="4" l="1"/>
  <c r="C79" i="4"/>
  <c r="C61" i="4"/>
  <c r="D60" i="4"/>
  <c r="D79" i="3"/>
  <c r="C80" i="3"/>
  <c r="C59" i="3"/>
  <c r="D58" i="3"/>
  <c r="C62" i="4" l="1"/>
  <c r="D61" i="4"/>
  <c r="D79" i="4"/>
  <c r="C80" i="4"/>
  <c r="D59" i="3"/>
  <c r="C60" i="3"/>
  <c r="D80" i="3"/>
  <c r="C81" i="3"/>
  <c r="D80" i="4" l="1"/>
  <c r="C81" i="4"/>
  <c r="C63" i="4"/>
  <c r="D62" i="4"/>
  <c r="D60" i="3"/>
  <c r="C61" i="3"/>
  <c r="D81" i="3"/>
  <c r="C82" i="3"/>
  <c r="D82" i="3" s="1"/>
  <c r="D63" i="4" l="1"/>
  <c r="C64" i="4"/>
  <c r="C82" i="4"/>
  <c r="D81" i="4"/>
  <c r="D61" i="3"/>
  <c r="C62" i="3"/>
  <c r="C83" i="4" l="1"/>
  <c r="D82" i="4"/>
  <c r="D64" i="4"/>
  <c r="C65" i="4"/>
  <c r="D65" i="4" s="1"/>
  <c r="N85" i="4" s="1"/>
  <c r="P85" i="4" s="1"/>
  <c r="O77" i="4" s="1"/>
  <c r="C63" i="3"/>
  <c r="D63" i="3" s="1"/>
  <c r="D62" i="3"/>
  <c r="D83" i="4" l="1"/>
  <c r="C84" i="4"/>
  <c r="D84" i="4" s="1"/>
  <c r="O85" i="4" s="1"/>
  <c r="Q85" i="4" s="1"/>
  <c r="L2" i="2"/>
  <c r="O7" i="2"/>
  <c r="P7" i="2"/>
  <c r="R7" i="2"/>
  <c r="S7" i="2"/>
  <c r="T7" i="2"/>
  <c r="U7" i="2"/>
  <c r="V7" i="2"/>
  <c r="W7" i="2"/>
  <c r="X7" i="2"/>
  <c r="Y7" i="2"/>
  <c r="Z7" i="2"/>
  <c r="AA7" i="2"/>
  <c r="AC7" i="2"/>
  <c r="AL7" i="2"/>
  <c r="AM7" i="2"/>
  <c r="AP7" i="2"/>
  <c r="AQ7" i="2"/>
  <c r="AR7" i="2"/>
  <c r="AS7" i="2"/>
  <c r="AT7" i="2"/>
  <c r="AU7" i="2"/>
  <c r="BA7" i="2"/>
  <c r="O8" i="2"/>
  <c r="P8" i="2"/>
  <c r="Q8" i="2"/>
  <c r="Q9" i="2" s="1"/>
  <c r="AC9" i="2" s="1"/>
  <c r="R8" i="2"/>
  <c r="W8" i="2"/>
  <c r="Y8" i="2"/>
  <c r="AL8" i="2"/>
  <c r="AM8" i="2"/>
  <c r="AN8" i="2"/>
  <c r="AO8" i="2"/>
  <c r="AO9" i="2" s="1"/>
  <c r="AP8" i="2"/>
  <c r="AQ8" i="2" s="1"/>
  <c r="AR8" i="2"/>
  <c r="AT8" i="2"/>
  <c r="AV8" i="2"/>
  <c r="BA8" i="2"/>
  <c r="O9" i="2"/>
  <c r="O10" i="2" s="1"/>
  <c r="O11" i="2" s="1"/>
  <c r="O12" i="2" s="1"/>
  <c r="O13" i="2" s="1"/>
  <c r="O14" i="2" s="1"/>
  <c r="O15" i="2" s="1"/>
  <c r="O16" i="2" s="1"/>
  <c r="O17" i="2" s="1"/>
  <c r="O18" i="2" s="1"/>
  <c r="O19" i="2" s="1"/>
  <c r="O20" i="2" s="1"/>
  <c r="R9" i="2"/>
  <c r="W9" i="2"/>
  <c r="Y9" i="2"/>
  <c r="AL9" i="2"/>
  <c r="AL10" i="2" s="1"/>
  <c r="AL11" i="2" s="1"/>
  <c r="AM9" i="2"/>
  <c r="AN9" i="2"/>
  <c r="AN10" i="2" s="1"/>
  <c r="AT9" i="2"/>
  <c r="AV9" i="2"/>
  <c r="BA9" i="2"/>
  <c r="W10" i="2"/>
  <c r="Y10" i="2"/>
  <c r="AT10" i="2"/>
  <c r="AV10" i="2"/>
  <c r="BA10" i="2"/>
  <c r="W11" i="2"/>
  <c r="Y11" i="2"/>
  <c r="AN11" i="2"/>
  <c r="BA11" i="2" s="1"/>
  <c r="AT11" i="2"/>
  <c r="AV11" i="2"/>
  <c r="W12" i="2"/>
  <c r="Y12" i="2"/>
  <c r="AL12" i="2"/>
  <c r="AT12" i="2"/>
  <c r="AV12" i="2"/>
  <c r="W13" i="2"/>
  <c r="Y13" i="2"/>
  <c r="AL13" i="2"/>
  <c r="AL14" i="2" s="1"/>
  <c r="AL15" i="2" s="1"/>
  <c r="AL16" i="2" s="1"/>
  <c r="AL17" i="2" s="1"/>
  <c r="AL18" i="2" s="1"/>
  <c r="AL19" i="2" s="1"/>
  <c r="AL20" i="2" s="1"/>
  <c r="AL21" i="2" s="1"/>
  <c r="AL22" i="2" s="1"/>
  <c r="AT13" i="2"/>
  <c r="AV13" i="2"/>
  <c r="W14" i="2"/>
  <c r="Y14" i="2"/>
  <c r="AT14" i="2"/>
  <c r="W15" i="2"/>
  <c r="Y15" i="2"/>
  <c r="AT15" i="2"/>
  <c r="AV15" i="2"/>
  <c r="W16" i="2"/>
  <c r="Y16" i="2"/>
  <c r="AT16" i="2"/>
  <c r="AV16" i="2"/>
  <c r="W17" i="2"/>
  <c r="Y17" i="2"/>
  <c r="AT17" i="2"/>
  <c r="AV17" i="2"/>
  <c r="W18" i="2"/>
  <c r="Y18" i="2"/>
  <c r="AT18" i="2"/>
  <c r="AV18" i="2"/>
  <c r="W19" i="2"/>
  <c r="Y19" i="2"/>
  <c r="AT19" i="2"/>
  <c r="W20" i="2"/>
  <c r="Y20" i="2"/>
  <c r="AT20" i="2"/>
  <c r="AV20" i="2"/>
  <c r="O21" i="2"/>
  <c r="O22" i="2" s="1"/>
  <c r="O23" i="2" s="1"/>
  <c r="O24" i="2" s="1"/>
  <c r="O25" i="2" s="1"/>
  <c r="O26" i="2" s="1"/>
  <c r="O27" i="2" s="1"/>
  <c r="W21" i="2"/>
  <c r="Y21" i="2"/>
  <c r="AT21" i="2"/>
  <c r="AV21" i="2"/>
  <c r="W22" i="2"/>
  <c r="Y22" i="2"/>
  <c r="AT22" i="2"/>
  <c r="AV22" i="2"/>
  <c r="W23" i="2"/>
  <c r="Y23" i="2"/>
  <c r="W24" i="2"/>
  <c r="Y24" i="2"/>
  <c r="W25" i="2"/>
  <c r="Y25" i="2"/>
  <c r="W26" i="2"/>
  <c r="Y26" i="2"/>
  <c r="W27" i="2"/>
  <c r="Y27" i="2"/>
  <c r="O28" i="2"/>
  <c r="O29" i="2" s="1"/>
  <c r="O30" i="2" s="1"/>
  <c r="O31" i="2" s="1"/>
  <c r="W28" i="2"/>
  <c r="Y28" i="2"/>
  <c r="W29" i="2"/>
  <c r="Y29" i="2"/>
  <c r="W30" i="2"/>
  <c r="Y30" i="2"/>
  <c r="W31" i="2"/>
  <c r="Y31" i="2"/>
  <c r="O32" i="2"/>
  <c r="O33" i="2" s="1"/>
  <c r="W32" i="2"/>
  <c r="Y32" i="2"/>
  <c r="W33" i="2"/>
  <c r="Y33" i="2"/>
  <c r="O45" i="2"/>
  <c r="P45" i="2"/>
  <c r="R45" i="2"/>
  <c r="S45" i="2"/>
  <c r="V45" i="2"/>
  <c r="W45" i="2"/>
  <c r="X45" i="2"/>
  <c r="Y45" i="2"/>
  <c r="Z45" i="2"/>
  <c r="AA45" i="2"/>
  <c r="AC45" i="2"/>
  <c r="AL45" i="2"/>
  <c r="AM45" i="2"/>
  <c r="AN45" i="2"/>
  <c r="AN46" i="2" s="1"/>
  <c r="AN47" i="2" s="1"/>
  <c r="AN48" i="2" s="1"/>
  <c r="AN49" i="2" s="1"/>
  <c r="AN50" i="2" s="1"/>
  <c r="AN51" i="2" s="1"/>
  <c r="AN52" i="2" s="1"/>
  <c r="AN53" i="2" s="1"/>
  <c r="AN54" i="2" s="1"/>
  <c r="AN55" i="2" s="1"/>
  <c r="AN56" i="2" s="1"/>
  <c r="AN57" i="2" s="1"/>
  <c r="AN58" i="2" s="1"/>
  <c r="AN59" i="2" s="1"/>
  <c r="AN60" i="2" s="1"/>
  <c r="AO45" i="2"/>
  <c r="AS45" i="2"/>
  <c r="AT45" i="2"/>
  <c r="AU45" i="2"/>
  <c r="O46" i="2"/>
  <c r="O47" i="2" s="1"/>
  <c r="O48" i="2" s="1"/>
  <c r="O49" i="2" s="1"/>
  <c r="O50" i="2" s="1"/>
  <c r="O51" i="2" s="1"/>
  <c r="O52" i="2" s="1"/>
  <c r="O53" i="2" s="1"/>
  <c r="O54" i="2" s="1"/>
  <c r="O55" i="2" s="1"/>
  <c r="O56" i="2" s="1"/>
  <c r="P46" i="2"/>
  <c r="Q46" i="2"/>
  <c r="W46" i="2"/>
  <c r="Y46" i="2"/>
  <c r="AA46" i="2"/>
  <c r="AL46" i="2"/>
  <c r="AL47" i="2" s="1"/>
  <c r="AL48" i="2" s="1"/>
  <c r="AL49" i="2" s="1"/>
  <c r="AL50" i="2" s="1"/>
  <c r="AL51" i="2" s="1"/>
  <c r="AL52" i="2" s="1"/>
  <c r="AL53" i="2" s="1"/>
  <c r="AL54" i="2" s="1"/>
  <c r="AL55" i="2" s="1"/>
  <c r="AL56" i="2" s="1"/>
  <c r="AL57" i="2" s="1"/>
  <c r="AL58" i="2" s="1"/>
  <c r="AL59" i="2" s="1"/>
  <c r="AL60" i="2" s="1"/>
  <c r="AT46" i="2"/>
  <c r="AV46" i="2"/>
  <c r="Q47" i="2"/>
  <c r="W47" i="2"/>
  <c r="Y47" i="2"/>
  <c r="AT47" i="2"/>
  <c r="Q48" i="2"/>
  <c r="Q49" i="2" s="1"/>
  <c r="Q50" i="2" s="1"/>
  <c r="Q51" i="2" s="1"/>
  <c r="Q52" i="2" s="1"/>
  <c r="W48" i="2"/>
  <c r="Y48" i="2"/>
  <c r="AT48" i="2"/>
  <c r="AV48" i="2"/>
  <c r="W49" i="2"/>
  <c r="Y49" i="2"/>
  <c r="AT49" i="2"/>
  <c r="AV49" i="2"/>
  <c r="W50" i="2"/>
  <c r="Y50" i="2"/>
  <c r="AT50" i="2"/>
  <c r="W51" i="2"/>
  <c r="Y51" i="2"/>
  <c r="AT51" i="2"/>
  <c r="AV51" i="2"/>
  <c r="W52" i="2"/>
  <c r="Y52" i="2"/>
  <c r="AT52" i="2"/>
  <c r="AV52" i="2"/>
  <c r="Q53" i="2"/>
  <c r="W53" i="2"/>
  <c r="Y53" i="2"/>
  <c r="AT53" i="2"/>
  <c r="AV53" i="2"/>
  <c r="Q54" i="2"/>
  <c r="Q55" i="2" s="1"/>
  <c r="Q56" i="2" s="1"/>
  <c r="Q57" i="2" s="1"/>
  <c r="Q58" i="2" s="1"/>
  <c r="Q59" i="2" s="1"/>
  <c r="Q60" i="2" s="1"/>
  <c r="Q61" i="2" s="1"/>
  <c r="Q62" i="2" s="1"/>
  <c r="Q63" i="2" s="1"/>
  <c r="Q64" i="2" s="1"/>
  <c r="Q65" i="2" s="1"/>
  <c r="Q66" i="2" s="1"/>
  <c r="Q67" i="2" s="1"/>
  <c r="Q68" i="2" s="1"/>
  <c r="Q69" i="2" s="1"/>
  <c r="Q70" i="2" s="1"/>
  <c r="Q71" i="2" s="1"/>
  <c r="W54" i="2"/>
  <c r="Y54" i="2"/>
  <c r="AT54" i="2"/>
  <c r="AV54" i="2"/>
  <c r="W55" i="2"/>
  <c r="Y55" i="2"/>
  <c r="AT55" i="2"/>
  <c r="W56" i="2"/>
  <c r="Y56" i="2"/>
  <c r="AT56" i="2"/>
  <c r="AV56" i="2"/>
  <c r="O57" i="2"/>
  <c r="O58" i="2" s="1"/>
  <c r="O59" i="2" s="1"/>
  <c r="O60" i="2" s="1"/>
  <c r="O61" i="2" s="1"/>
  <c r="O62" i="2" s="1"/>
  <c r="O63" i="2" s="1"/>
  <c r="O64" i="2" s="1"/>
  <c r="O65" i="2" s="1"/>
  <c r="O66" i="2" s="1"/>
  <c r="O67" i="2" s="1"/>
  <c r="O68" i="2" s="1"/>
  <c r="O69" i="2" s="1"/>
  <c r="O70" i="2" s="1"/>
  <c r="O71" i="2" s="1"/>
  <c r="W57" i="2"/>
  <c r="Y57" i="2"/>
  <c r="AT57" i="2"/>
  <c r="AV57" i="2"/>
  <c r="W58" i="2"/>
  <c r="Y58" i="2"/>
  <c r="AT58" i="2"/>
  <c r="AV58" i="2"/>
  <c r="W59" i="2"/>
  <c r="Y59" i="2"/>
  <c r="AT59" i="2"/>
  <c r="AV59" i="2"/>
  <c r="W60" i="2"/>
  <c r="Y60" i="2"/>
  <c r="AT60" i="2"/>
  <c r="AV60" i="2"/>
  <c r="W61" i="2"/>
  <c r="Y61" i="2"/>
  <c r="W62" i="2"/>
  <c r="Y62" i="2"/>
  <c r="W63" i="2"/>
  <c r="Y63" i="2"/>
  <c r="W64" i="2"/>
  <c r="Y64" i="2"/>
  <c r="W65" i="2"/>
  <c r="Y65" i="2"/>
  <c r="W66" i="2"/>
  <c r="Y66" i="2"/>
  <c r="W67" i="2"/>
  <c r="Y67" i="2"/>
  <c r="W68" i="2"/>
  <c r="Y68" i="2"/>
  <c r="W69" i="2"/>
  <c r="Y69" i="2"/>
  <c r="W70" i="2"/>
  <c r="Y70" i="2"/>
  <c r="W71" i="2"/>
  <c r="Y71" i="2"/>
  <c r="O78" i="4" l="1"/>
  <c r="O80" i="4" s="1"/>
  <c r="O82" i="4" s="1"/>
  <c r="N92" i="4" s="1"/>
  <c r="N94" i="4" s="1"/>
  <c r="N96" i="4" s="1"/>
  <c r="O79" i="4"/>
  <c r="S8" i="2"/>
  <c r="T8" i="2" s="1"/>
  <c r="Z8" i="2"/>
  <c r="P9" i="2"/>
  <c r="V8" i="2"/>
  <c r="X8" i="2"/>
  <c r="AA8" i="2"/>
  <c r="T45" i="2"/>
  <c r="U45" i="2"/>
  <c r="AF45" i="2" s="1"/>
  <c r="R46" i="2"/>
  <c r="AR45" i="2"/>
  <c r="AO46" i="2"/>
  <c r="AD7" i="2"/>
  <c r="AF7" i="2" s="1"/>
  <c r="AB8" i="2"/>
  <c r="AW45" i="2"/>
  <c r="AX45" i="2"/>
  <c r="BC45" i="2" s="1"/>
  <c r="AZ45" i="2"/>
  <c r="AP45" i="2"/>
  <c r="AQ45" i="2" s="1"/>
  <c r="AM46" i="2"/>
  <c r="AW9" i="2"/>
  <c r="AX9" i="2"/>
  <c r="AP9" i="2"/>
  <c r="AQ9" i="2" s="1"/>
  <c r="AS9" i="2"/>
  <c r="AM10" i="2"/>
  <c r="AU9" i="2"/>
  <c r="AO10" i="2"/>
  <c r="AR9" i="2"/>
  <c r="X46" i="2"/>
  <c r="P47" i="2"/>
  <c r="Z46" i="2"/>
  <c r="AC46" i="2"/>
  <c r="V46" i="2"/>
  <c r="S46" i="2"/>
  <c r="Q10" i="2"/>
  <c r="AB46" i="2"/>
  <c r="AC8" i="2"/>
  <c r="U9" i="2"/>
  <c r="R10" i="2"/>
  <c r="AW8" i="2"/>
  <c r="AX8" i="2"/>
  <c r="AU8" i="2"/>
  <c r="AS8" i="2"/>
  <c r="AE45" i="2"/>
  <c r="AN12" i="2"/>
  <c r="AV7" i="2"/>
  <c r="AV47" i="2"/>
  <c r="AW7" i="2"/>
  <c r="AX7" i="2"/>
  <c r="AV19" i="2"/>
  <c r="AV45" i="2"/>
  <c r="AV50" i="2"/>
  <c r="AV14" i="2"/>
  <c r="AV55" i="2"/>
  <c r="AE7" i="2"/>
  <c r="AG7" i="2" s="1"/>
  <c r="U8" i="2"/>
  <c r="K205" i="1"/>
  <c r="K206" i="1"/>
  <c r="K210" i="1"/>
  <c r="K223" i="1"/>
  <c r="E173" i="1"/>
  <c r="W59" i="1"/>
  <c r="AH7" i="2" l="1"/>
  <c r="AC47" i="2"/>
  <c r="V47" i="2"/>
  <c r="Z47" i="2"/>
  <c r="AA47" i="2"/>
  <c r="P48" i="2"/>
  <c r="S47" i="2"/>
  <c r="T47" i="2" s="1"/>
  <c r="X47" i="2"/>
  <c r="BB45" i="2"/>
  <c r="AY46" i="2"/>
  <c r="AE8" i="2"/>
  <c r="AG8" i="2" s="1"/>
  <c r="AI8" i="2" s="1"/>
  <c r="AB9" i="2"/>
  <c r="AD8" i="2"/>
  <c r="AF8" i="2" s="1"/>
  <c r="AH8" i="2" s="1"/>
  <c r="AI7" i="2"/>
  <c r="AR10" i="2"/>
  <c r="AO11" i="2"/>
  <c r="AO47" i="2"/>
  <c r="AR46" i="2"/>
  <c r="U10" i="2"/>
  <c r="R11" i="2"/>
  <c r="AW10" i="2"/>
  <c r="AX10" i="2"/>
  <c r="AM11" i="2"/>
  <c r="AU10" i="2"/>
  <c r="AP10" i="2"/>
  <c r="AQ10" i="2" s="1"/>
  <c r="AS10" i="2"/>
  <c r="U46" i="2"/>
  <c r="AF46" i="2" s="1"/>
  <c r="R47" i="2"/>
  <c r="AD45" i="2"/>
  <c r="AB47" i="2"/>
  <c r="BC7" i="2"/>
  <c r="BE7" i="2" s="1"/>
  <c r="AY8" i="2"/>
  <c r="BB7" i="2"/>
  <c r="BD7" i="2" s="1"/>
  <c r="AC10" i="2"/>
  <c r="Q11" i="2"/>
  <c r="T46" i="2"/>
  <c r="AE46" i="2" s="1"/>
  <c r="AP46" i="2"/>
  <c r="AQ46" i="2" s="1"/>
  <c r="AU46" i="2"/>
  <c r="AX46" i="2"/>
  <c r="AW46" i="2"/>
  <c r="AZ46" i="2"/>
  <c r="AM47" i="2"/>
  <c r="AS46" i="2"/>
  <c r="S9" i="2"/>
  <c r="T9" i="2" s="1"/>
  <c r="Z9" i="2"/>
  <c r="P10" i="2"/>
  <c r="V9" i="2"/>
  <c r="AA9" i="2"/>
  <c r="X9" i="2"/>
  <c r="AN13" i="2"/>
  <c r="BA12" i="2"/>
  <c r="L221" i="1"/>
  <c r="L222" i="1" s="1"/>
  <c r="L207" i="1"/>
  <c r="L206" i="1"/>
  <c r="L205" i="1"/>
  <c r="E250" i="1"/>
  <c r="E249" i="1"/>
  <c r="E247" i="1"/>
  <c r="E245" i="1"/>
  <c r="E240" i="1"/>
  <c r="O246" i="1"/>
  <c r="L247" i="1"/>
  <c r="L246" i="1"/>
  <c r="K246" i="1"/>
  <c r="E236" i="1"/>
  <c r="K249" i="1"/>
  <c r="L212" i="1"/>
  <c r="K212" i="1"/>
  <c r="Q12" i="2" l="1"/>
  <c r="AC11" i="2"/>
  <c r="AW11" i="2"/>
  <c r="AX11" i="2"/>
  <c r="AP11" i="2"/>
  <c r="AQ11" i="2" s="1"/>
  <c r="AS11" i="2"/>
  <c r="AM12" i="2"/>
  <c r="AU11" i="2"/>
  <c r="S10" i="2"/>
  <c r="T10" i="2" s="1"/>
  <c r="P11" i="2"/>
  <c r="X10" i="2"/>
  <c r="Z10" i="2"/>
  <c r="AA10" i="2"/>
  <c r="V10" i="2"/>
  <c r="U11" i="2"/>
  <c r="R12" i="2"/>
  <c r="AD9" i="2"/>
  <c r="AF9" i="2" s="1"/>
  <c r="AB10" i="2"/>
  <c r="AE9" i="2"/>
  <c r="AG9" i="2" s="1"/>
  <c r="AI9" i="2" s="1"/>
  <c r="AN14" i="2"/>
  <c r="BA13" i="2"/>
  <c r="BB46" i="2"/>
  <c r="AY47" i="2"/>
  <c r="BA45" i="2"/>
  <c r="BC46" i="2"/>
  <c r="BF7" i="2"/>
  <c r="AY9" i="2"/>
  <c r="BB8" i="2"/>
  <c r="BD8" i="2" s="1"/>
  <c r="BF8" i="2" s="1"/>
  <c r="BC8" i="2"/>
  <c r="BE8" i="2" s="1"/>
  <c r="BG8" i="2" s="1"/>
  <c r="BG7" i="2"/>
  <c r="V48" i="2"/>
  <c r="P49" i="2"/>
  <c r="AC48" i="2"/>
  <c r="Z48" i="2"/>
  <c r="AA48" i="2"/>
  <c r="S48" i="2"/>
  <c r="T48" i="2" s="1"/>
  <c r="X48" i="2"/>
  <c r="AF47" i="2"/>
  <c r="AB48" i="2"/>
  <c r="AE47" i="2"/>
  <c r="AD46" i="2"/>
  <c r="AO48" i="2"/>
  <c r="AR47" i="2"/>
  <c r="AW47" i="2"/>
  <c r="AM48" i="2"/>
  <c r="AZ47" i="2"/>
  <c r="AP47" i="2"/>
  <c r="AQ47" i="2" s="1"/>
  <c r="AX47" i="2"/>
  <c r="AU47" i="2"/>
  <c r="AS47" i="2"/>
  <c r="AO12" i="2"/>
  <c r="AR11" i="2"/>
  <c r="R48" i="2"/>
  <c r="U47" i="2"/>
  <c r="K248" i="1"/>
  <c r="K251" i="1" s="1"/>
  <c r="AD47" i="2" l="1"/>
  <c r="AB49" i="2"/>
  <c r="AE48" i="2"/>
  <c r="Q13" i="2"/>
  <c r="AC12" i="2"/>
  <c r="AR12" i="2"/>
  <c r="AO13" i="2"/>
  <c r="BB47" i="2"/>
  <c r="BA46" i="2"/>
  <c r="AY48" i="2"/>
  <c r="BC47" i="2"/>
  <c r="S11" i="2"/>
  <c r="T11" i="2" s="1"/>
  <c r="AA11" i="2"/>
  <c r="V11" i="2"/>
  <c r="P12" i="2"/>
  <c r="Z11" i="2"/>
  <c r="X11" i="2"/>
  <c r="AA49" i="2"/>
  <c r="S49" i="2"/>
  <c r="X49" i="2"/>
  <c r="V49" i="2"/>
  <c r="P50" i="2"/>
  <c r="AC49" i="2"/>
  <c r="Z49" i="2"/>
  <c r="AZ48" i="2"/>
  <c r="AM49" i="2"/>
  <c r="AU48" i="2"/>
  <c r="AW48" i="2"/>
  <c r="AX48" i="2"/>
  <c r="AS48" i="2"/>
  <c r="AP48" i="2"/>
  <c r="AQ48" i="2" s="1"/>
  <c r="AN15" i="2"/>
  <c r="BA14" i="2"/>
  <c r="AW12" i="2"/>
  <c r="AX12" i="2"/>
  <c r="AM13" i="2"/>
  <c r="AP12" i="2"/>
  <c r="AQ12" i="2" s="1"/>
  <c r="AS12" i="2"/>
  <c r="AU12" i="2"/>
  <c r="AD10" i="2"/>
  <c r="AF10" i="2" s="1"/>
  <c r="AH10" i="2" s="1"/>
  <c r="AE10" i="2"/>
  <c r="AG10" i="2" s="1"/>
  <c r="AI10" i="2" s="1"/>
  <c r="AB11" i="2"/>
  <c r="AR48" i="2"/>
  <c r="AO49" i="2"/>
  <c r="AH9" i="2"/>
  <c r="U48" i="2"/>
  <c r="AF48" i="2" s="1"/>
  <c r="R49" i="2"/>
  <c r="AY10" i="2"/>
  <c r="BB9" i="2"/>
  <c r="BD9" i="2" s="1"/>
  <c r="BC9" i="2"/>
  <c r="BE9" i="2" s="1"/>
  <c r="U12" i="2"/>
  <c r="R13" i="2"/>
  <c r="K250" i="1"/>
  <c r="AW13" i="2" l="1"/>
  <c r="AX13" i="2"/>
  <c r="AU13" i="2"/>
  <c r="AS13" i="2"/>
  <c r="AM14" i="2"/>
  <c r="AP13" i="2"/>
  <c r="AQ13" i="2" s="1"/>
  <c r="T49" i="2"/>
  <c r="AE49" i="2" s="1"/>
  <c r="AR13" i="2"/>
  <c r="AO14" i="2"/>
  <c r="AR49" i="2"/>
  <c r="AO50" i="2"/>
  <c r="AN16" i="2"/>
  <c r="BA15" i="2"/>
  <c r="AD48" i="2"/>
  <c r="AB50" i="2"/>
  <c r="BF9" i="2"/>
  <c r="BG9" i="2"/>
  <c r="AY11" i="2"/>
  <c r="BC10" i="2"/>
  <c r="BE10" i="2" s="1"/>
  <c r="BG10" i="2" s="1"/>
  <c r="BB10" i="2"/>
  <c r="BD10" i="2" s="1"/>
  <c r="BF10" i="2" s="1"/>
  <c r="R50" i="2"/>
  <c r="U49" i="2"/>
  <c r="AF49" i="2" s="1"/>
  <c r="S50" i="2"/>
  <c r="AA50" i="2"/>
  <c r="AC50" i="2"/>
  <c r="P51" i="2"/>
  <c r="X50" i="2"/>
  <c r="Z50" i="2"/>
  <c r="V50" i="2"/>
  <c r="AD11" i="2"/>
  <c r="AF11" i="2" s="1"/>
  <c r="AE11" i="2"/>
  <c r="AG11" i="2" s="1"/>
  <c r="AB12" i="2"/>
  <c r="S12" i="2"/>
  <c r="T12" i="2" s="1"/>
  <c r="V12" i="2"/>
  <c r="P13" i="2"/>
  <c r="X12" i="2"/>
  <c r="Z12" i="2"/>
  <c r="AA12" i="2"/>
  <c r="Q14" i="2"/>
  <c r="AC13" i="2"/>
  <c r="U13" i="2"/>
  <c r="R14" i="2"/>
  <c r="BB48" i="2"/>
  <c r="BC48" i="2"/>
  <c r="BA47" i="2"/>
  <c r="AY49" i="2"/>
  <c r="AU49" i="2"/>
  <c r="AM50" i="2"/>
  <c r="AZ49" i="2"/>
  <c r="AX49" i="2"/>
  <c r="AW49" i="2"/>
  <c r="AP49" i="2"/>
  <c r="AQ49" i="2" s="1"/>
  <c r="AS49" i="2"/>
  <c r="Q10" i="1"/>
  <c r="Q9" i="1"/>
  <c r="K214" i="1" s="1"/>
  <c r="R68" i="1"/>
  <c r="Q68" i="1"/>
  <c r="R64" i="1"/>
  <c r="T64" i="1" s="1"/>
  <c r="P11" i="1" s="1"/>
  <c r="E182" i="1" s="1"/>
  <c r="Q64" i="1"/>
  <c r="N98" i="1"/>
  <c r="N99" i="1"/>
  <c r="N100" i="1"/>
  <c r="N101" i="1"/>
  <c r="N102" i="1"/>
  <c r="N97" i="1"/>
  <c r="M98" i="1"/>
  <c r="M99" i="1"/>
  <c r="M100" i="1"/>
  <c r="M101" i="1"/>
  <c r="M102" i="1"/>
  <c r="M97" i="1"/>
  <c r="O81" i="1"/>
  <c r="O82" i="1"/>
  <c r="O83" i="1"/>
  <c r="O84" i="1"/>
  <c r="O85" i="1"/>
  <c r="O86" i="1"/>
  <c r="O87" i="1"/>
  <c r="O88" i="1"/>
  <c r="O89" i="1"/>
  <c r="O90" i="1"/>
  <c r="O80" i="1"/>
  <c r="N81" i="1"/>
  <c r="N82" i="1"/>
  <c r="N83" i="1"/>
  <c r="N84" i="1"/>
  <c r="N85" i="1"/>
  <c r="N86" i="1"/>
  <c r="N87" i="1"/>
  <c r="N88" i="1"/>
  <c r="N89" i="1"/>
  <c r="N90" i="1"/>
  <c r="N80" i="1"/>
  <c r="L80" i="1"/>
  <c r="J81" i="1"/>
  <c r="J82" i="1" s="1"/>
  <c r="J83" i="1" s="1"/>
  <c r="J84" i="1" s="1"/>
  <c r="J85" i="1" s="1"/>
  <c r="J86" i="1" s="1"/>
  <c r="J87" i="1" s="1"/>
  <c r="J88" i="1" s="1"/>
  <c r="J89" i="1" s="1"/>
  <c r="J90" i="1" s="1"/>
  <c r="L90" i="1" s="1"/>
  <c r="K77" i="1"/>
  <c r="K75" i="1"/>
  <c r="K74" i="1"/>
  <c r="K76" i="1" s="1"/>
  <c r="E179" i="1"/>
  <c r="E189" i="1" s="1"/>
  <c r="E166" i="1"/>
  <c r="M68" i="1"/>
  <c r="L68" i="1"/>
  <c r="M64" i="1"/>
  <c r="L64" i="1"/>
  <c r="V59" i="1"/>
  <c r="U59" i="1"/>
  <c r="V44" i="1"/>
  <c r="U44" i="1"/>
  <c r="V41" i="1"/>
  <c r="U41" i="1"/>
  <c r="K68" i="1"/>
  <c r="K64" i="1"/>
  <c r="O16" i="1"/>
  <c r="W54" i="1" s="1"/>
  <c r="AR50" i="2" l="1"/>
  <c r="AO51" i="2"/>
  <c r="AI11" i="2"/>
  <c r="Z51" i="2"/>
  <c r="AA51" i="2"/>
  <c r="V51" i="2"/>
  <c r="X51" i="2"/>
  <c r="AC51" i="2"/>
  <c r="P52" i="2"/>
  <c r="S51" i="2"/>
  <c r="T51" i="2" s="1"/>
  <c r="AW14" i="2"/>
  <c r="AX14" i="2"/>
  <c r="AS14" i="2"/>
  <c r="AM15" i="2"/>
  <c r="AP14" i="2"/>
  <c r="AQ14" i="2" s="1"/>
  <c r="AU14" i="2"/>
  <c r="AC14" i="2"/>
  <c r="Q15" i="2"/>
  <c r="AF50" i="2"/>
  <c r="AD49" i="2"/>
  <c r="AB51" i="2"/>
  <c r="T50" i="2"/>
  <c r="AE50" i="2" s="1"/>
  <c r="AD12" i="2"/>
  <c r="AF12" i="2" s="1"/>
  <c r="AH12" i="2" s="1"/>
  <c r="AE12" i="2"/>
  <c r="AG12" i="2" s="1"/>
  <c r="AI12" i="2" s="1"/>
  <c r="AB13" i="2"/>
  <c r="AO15" i="2"/>
  <c r="AR14" i="2"/>
  <c r="AH11" i="2"/>
  <c r="U14" i="2"/>
  <c r="R15" i="2"/>
  <c r="AZ50" i="2"/>
  <c r="AU50" i="2"/>
  <c r="AS50" i="2"/>
  <c r="AW50" i="2"/>
  <c r="AX50" i="2"/>
  <c r="AM51" i="2"/>
  <c r="AP50" i="2"/>
  <c r="AQ50" i="2" s="1"/>
  <c r="S13" i="2"/>
  <c r="T13" i="2" s="1"/>
  <c r="P14" i="2"/>
  <c r="X13" i="2"/>
  <c r="AA13" i="2"/>
  <c r="V13" i="2"/>
  <c r="Z13" i="2"/>
  <c r="U50" i="2"/>
  <c r="R51" i="2"/>
  <c r="BC49" i="2"/>
  <c r="AY50" i="2"/>
  <c r="BA48" i="2"/>
  <c r="BB49" i="2"/>
  <c r="AY12" i="2"/>
  <c r="BB11" i="2"/>
  <c r="BD11" i="2" s="1"/>
  <c r="BC11" i="2"/>
  <c r="BE11" i="2" s="1"/>
  <c r="BG11" i="2" s="1"/>
  <c r="BA16" i="2"/>
  <c r="AN17" i="2"/>
  <c r="S64" i="1"/>
  <c r="O11" i="1" s="1"/>
  <c r="E192" i="1" s="1"/>
  <c r="L89" i="1"/>
  <c r="L81" i="1"/>
  <c r="S68" i="1"/>
  <c r="O12" i="1" s="1"/>
  <c r="E193" i="1" s="1"/>
  <c r="T68" i="1"/>
  <c r="P12" i="1" s="1"/>
  <c r="E183" i="1" s="1"/>
  <c r="L88" i="1"/>
  <c r="L87" i="1"/>
  <c r="L86" i="1"/>
  <c r="L85" i="1"/>
  <c r="L84" i="1"/>
  <c r="L83" i="1"/>
  <c r="L82" i="1"/>
  <c r="N68" i="1"/>
  <c r="K12" i="1" s="1"/>
  <c r="E171" i="1" s="1"/>
  <c r="N64" i="1"/>
  <c r="W22" i="1"/>
  <c r="AE13" i="2" l="1"/>
  <c r="AG13" i="2" s="1"/>
  <c r="AI13" i="2" s="1"/>
  <c r="AB14" i="2"/>
  <c r="AD13" i="2"/>
  <c r="AF13" i="2" s="1"/>
  <c r="AH13" i="2" s="1"/>
  <c r="AY51" i="2"/>
  <c r="BA49" i="2"/>
  <c r="BB50" i="2"/>
  <c r="BC50" i="2"/>
  <c r="BF11" i="2"/>
  <c r="AD50" i="2"/>
  <c r="AF51" i="2"/>
  <c r="AB52" i="2"/>
  <c r="AE51" i="2"/>
  <c r="X52" i="2"/>
  <c r="AA52" i="2"/>
  <c r="S52" i="2"/>
  <c r="P53" i="2"/>
  <c r="Z52" i="2"/>
  <c r="V52" i="2"/>
  <c r="AC52" i="2"/>
  <c r="R52" i="2"/>
  <c r="U51" i="2"/>
  <c r="U15" i="2"/>
  <c r="R16" i="2"/>
  <c r="Q16" i="2"/>
  <c r="AC15" i="2"/>
  <c r="BA17" i="2"/>
  <c r="AN18" i="2"/>
  <c r="AW15" i="2"/>
  <c r="AX15" i="2"/>
  <c r="AP15" i="2"/>
  <c r="AQ15" i="2" s="1"/>
  <c r="AS15" i="2"/>
  <c r="AM16" i="2"/>
  <c r="AU15" i="2"/>
  <c r="S14" i="2"/>
  <c r="T14" i="2" s="1"/>
  <c r="Z14" i="2"/>
  <c r="AA14" i="2"/>
  <c r="P15" i="2"/>
  <c r="V14" i="2"/>
  <c r="X14" i="2"/>
  <c r="AR15" i="2"/>
  <c r="AO16" i="2"/>
  <c r="AO52" i="2"/>
  <c r="AR51" i="2"/>
  <c r="AY13" i="2"/>
  <c r="BB12" i="2"/>
  <c r="BD12" i="2" s="1"/>
  <c r="BF12" i="2" s="1"/>
  <c r="BC12" i="2"/>
  <c r="BE12" i="2" s="1"/>
  <c r="BG12" i="2" s="1"/>
  <c r="AS51" i="2"/>
  <c r="AU51" i="2"/>
  <c r="AX51" i="2"/>
  <c r="AM52" i="2"/>
  <c r="AZ51" i="2"/>
  <c r="AP51" i="2"/>
  <c r="AQ51" i="2" s="1"/>
  <c r="AW51" i="2"/>
  <c r="K172" i="1"/>
  <c r="K171" i="1"/>
  <c r="K170" i="1"/>
  <c r="K98" i="1"/>
  <c r="K99" i="1" s="1"/>
  <c r="K100" i="1" s="1"/>
  <c r="K101" i="1" s="1"/>
  <c r="K102" i="1" s="1"/>
  <c r="J97" i="1"/>
  <c r="J98" i="1" s="1"/>
  <c r="J99" i="1" s="1"/>
  <c r="J100" i="1" s="1"/>
  <c r="J101" i="1" s="1"/>
  <c r="J102" i="1" s="1"/>
  <c r="N22" i="1"/>
  <c r="T23" i="1"/>
  <c r="T24" i="1" s="1"/>
  <c r="T25" i="1" s="1"/>
  <c r="T26" i="1" s="1"/>
  <c r="T27" i="1" s="1"/>
  <c r="T28" i="1" s="1"/>
  <c r="T29" i="1" s="1"/>
  <c r="T30" i="1" s="1"/>
  <c r="T31" i="1" s="1"/>
  <c r="T32" i="1" s="1"/>
  <c r="T33" i="1" s="1"/>
  <c r="T34" i="1" s="1"/>
  <c r="T35" i="1" s="1"/>
  <c r="T36" i="1" s="1"/>
  <c r="T37" i="1" s="1"/>
  <c r="T38" i="1" s="1"/>
  <c r="T39" i="1" s="1"/>
  <c r="T40" i="1" s="1"/>
  <c r="T41" i="1" s="1"/>
  <c r="T42" i="1" s="1"/>
  <c r="T43" i="1" s="1"/>
  <c r="T44" i="1" s="1"/>
  <c r="L23" i="1"/>
  <c r="L24" i="1" s="1"/>
  <c r="L25" i="1" s="1"/>
  <c r="L26" i="1" s="1"/>
  <c r="L27" i="1" s="1"/>
  <c r="L28" i="1" s="1"/>
  <c r="L29" i="1" s="1"/>
  <c r="L30" i="1" s="1"/>
  <c r="L31" i="1" s="1"/>
  <c r="L32" i="1" s="1"/>
  <c r="L33" i="1" s="1"/>
  <c r="L34" i="1" s="1"/>
  <c r="L35" i="1" s="1"/>
  <c r="L36" i="1" s="1"/>
  <c r="L37" i="1" s="1"/>
  <c r="L38" i="1" s="1"/>
  <c r="L39" i="1" s="1"/>
  <c r="L40" i="1" s="1"/>
  <c r="L41" i="1" s="1"/>
  <c r="L42" i="1" s="1"/>
  <c r="L43" i="1" s="1"/>
  <c r="L44" i="1" s="1"/>
  <c r="K23" i="1"/>
  <c r="K24" i="1" s="1"/>
  <c r="K25" i="1" s="1"/>
  <c r="K26" i="1" s="1"/>
  <c r="K27" i="1" s="1"/>
  <c r="K28" i="1" s="1"/>
  <c r="K29" i="1" s="1"/>
  <c r="K30" i="1" s="1"/>
  <c r="K31" i="1" s="1"/>
  <c r="K32" i="1" s="1"/>
  <c r="K33" i="1" s="1"/>
  <c r="K34" i="1" s="1"/>
  <c r="K35" i="1" s="1"/>
  <c r="K36" i="1" s="1"/>
  <c r="K37" i="1" s="1"/>
  <c r="K38" i="1" s="1"/>
  <c r="K39" i="1" s="1"/>
  <c r="K40" i="1" s="1"/>
  <c r="K41" i="1" s="1"/>
  <c r="K42" i="1" s="1"/>
  <c r="K43" i="1" s="1"/>
  <c r="K44" i="1" s="1"/>
  <c r="J23" i="1"/>
  <c r="W23" i="1" s="1"/>
  <c r="M22" i="1"/>
  <c r="R9" i="1" s="1"/>
  <c r="T55" i="1"/>
  <c r="T56" i="1" s="1"/>
  <c r="L55" i="1"/>
  <c r="L56" i="1" s="1"/>
  <c r="L57" i="1" s="1"/>
  <c r="L58" i="1" s="1"/>
  <c r="L59" i="1" s="1"/>
  <c r="J55" i="1"/>
  <c r="W55" i="1" s="1"/>
  <c r="K55" i="1"/>
  <c r="K56" i="1" s="1"/>
  <c r="K57" i="1" s="1"/>
  <c r="K58" i="1" s="1"/>
  <c r="K59" i="1" s="1"/>
  <c r="N54" i="1"/>
  <c r="O54" i="1" s="1"/>
  <c r="P54" i="1" s="1"/>
  <c r="M54" i="1"/>
  <c r="R10" i="1" s="1"/>
  <c r="AC16" i="2" l="1"/>
  <c r="Q17" i="2"/>
  <c r="AW16" i="2"/>
  <c r="AX16" i="2"/>
  <c r="AS16" i="2"/>
  <c r="AU16" i="2"/>
  <c r="AP16" i="2"/>
  <c r="AQ16" i="2" s="1"/>
  <c r="AM17" i="2"/>
  <c r="U52" i="2"/>
  <c r="AF52" i="2" s="1"/>
  <c r="R53" i="2"/>
  <c r="X53" i="2"/>
  <c r="AA53" i="2"/>
  <c r="AC53" i="2"/>
  <c r="V53" i="2"/>
  <c r="Z53" i="2"/>
  <c r="P54" i="2"/>
  <c r="S53" i="2"/>
  <c r="T52" i="2"/>
  <c r="AE52" i="2"/>
  <c r="AD51" i="2"/>
  <c r="AB53" i="2"/>
  <c r="U16" i="2"/>
  <c r="R17" i="2"/>
  <c r="AY14" i="2"/>
  <c r="BB13" i="2"/>
  <c r="BD13" i="2" s="1"/>
  <c r="BF13" i="2" s="1"/>
  <c r="BC13" i="2"/>
  <c r="BE13" i="2" s="1"/>
  <c r="AO53" i="2"/>
  <c r="AR52" i="2"/>
  <c r="AR16" i="2"/>
  <c r="AO17" i="2"/>
  <c r="BA50" i="2"/>
  <c r="AY52" i="2"/>
  <c r="BC51" i="2"/>
  <c r="BB51" i="2"/>
  <c r="S15" i="2"/>
  <c r="T15" i="2" s="1"/>
  <c r="X15" i="2"/>
  <c r="P16" i="2"/>
  <c r="Z15" i="2"/>
  <c r="V15" i="2"/>
  <c r="AA15" i="2"/>
  <c r="BA18" i="2"/>
  <c r="AN19" i="2"/>
  <c r="AD14" i="2"/>
  <c r="AF14" i="2" s="1"/>
  <c r="AB15" i="2"/>
  <c r="AE14" i="2"/>
  <c r="AG14" i="2" s="1"/>
  <c r="AI14" i="2" s="1"/>
  <c r="AU52" i="2"/>
  <c r="AX52" i="2"/>
  <c r="AP52" i="2"/>
  <c r="AQ52" i="2" s="1"/>
  <c r="AS52" i="2"/>
  <c r="AM53" i="2"/>
  <c r="AZ52" i="2"/>
  <c r="AW52" i="2"/>
  <c r="O22" i="1"/>
  <c r="P22" i="1" s="1"/>
  <c r="K87" i="1"/>
  <c r="M87" i="1" s="1"/>
  <c r="K88" i="1"/>
  <c r="M88" i="1" s="1"/>
  <c r="K84" i="1"/>
  <c r="M84" i="1" s="1"/>
  <c r="K81" i="1"/>
  <c r="M81" i="1" s="1"/>
  <c r="K89" i="1"/>
  <c r="M89" i="1" s="1"/>
  <c r="K90" i="1"/>
  <c r="M90" i="1" s="1"/>
  <c r="K82" i="1"/>
  <c r="M82" i="1" s="1"/>
  <c r="K86" i="1"/>
  <c r="M86" i="1" s="1"/>
  <c r="K83" i="1"/>
  <c r="M83" i="1" s="1"/>
  <c r="K80" i="1"/>
  <c r="M80" i="1" s="1"/>
  <c r="K85" i="1"/>
  <c r="M85" i="1" s="1"/>
  <c r="L98" i="1"/>
  <c r="L97" i="1"/>
  <c r="L214" i="1"/>
  <c r="J56" i="1"/>
  <c r="O64" i="1"/>
  <c r="K11" i="1" s="1"/>
  <c r="E170" i="1" s="1"/>
  <c r="P64" i="1"/>
  <c r="L11" i="1" s="1"/>
  <c r="O68" i="1"/>
  <c r="L12" i="1" s="1"/>
  <c r="K173" i="1"/>
  <c r="L102" i="1"/>
  <c r="M23" i="1"/>
  <c r="M24" i="1" s="1"/>
  <c r="N25" i="1" s="1"/>
  <c r="O25" i="1" s="1"/>
  <c r="P25" i="1" s="1"/>
  <c r="N23" i="1"/>
  <c r="O23" i="1" s="1"/>
  <c r="P23" i="1" s="1"/>
  <c r="L99" i="1"/>
  <c r="L100" i="1"/>
  <c r="L101" i="1"/>
  <c r="T57" i="1"/>
  <c r="T58" i="1" s="1"/>
  <c r="T59" i="1" s="1"/>
  <c r="N55" i="1"/>
  <c r="O55" i="1" s="1"/>
  <c r="P55" i="1" s="1"/>
  <c r="M55" i="1"/>
  <c r="M56" i="1" s="1"/>
  <c r="J24" i="1"/>
  <c r="W24" i="1" s="1"/>
  <c r="AY15" i="2" l="1"/>
  <c r="BC14" i="2"/>
  <c r="BE14" i="2" s="1"/>
  <c r="BG14" i="2" s="1"/>
  <c r="BB14" i="2"/>
  <c r="BD14" i="2" s="1"/>
  <c r="BF14" i="2" s="1"/>
  <c r="R54" i="2"/>
  <c r="U53" i="2"/>
  <c r="AU53" i="2"/>
  <c r="AM54" i="2"/>
  <c r="AX53" i="2"/>
  <c r="AW53" i="2"/>
  <c r="AP53" i="2"/>
  <c r="AQ53" i="2" s="1"/>
  <c r="AS53" i="2"/>
  <c r="AZ53" i="2"/>
  <c r="BC52" i="2"/>
  <c r="AY53" i="2"/>
  <c r="BB52" i="2"/>
  <c r="BA51" i="2"/>
  <c r="S16" i="2"/>
  <c r="T16" i="2" s="1"/>
  <c r="V16" i="2"/>
  <c r="X16" i="2"/>
  <c r="Z16" i="2"/>
  <c r="P17" i="2"/>
  <c r="AA16" i="2"/>
  <c r="U17" i="2"/>
  <c r="R18" i="2"/>
  <c r="AF53" i="2"/>
  <c r="AB54" i="2"/>
  <c r="AD52" i="2"/>
  <c r="AW17" i="2"/>
  <c r="AX17" i="2"/>
  <c r="AM18" i="2"/>
  <c r="AU17" i="2"/>
  <c r="AP17" i="2"/>
  <c r="AQ17" i="2" s="1"/>
  <c r="AS17" i="2"/>
  <c r="AE15" i="2"/>
  <c r="AG15" i="2" s="1"/>
  <c r="AI15" i="2" s="1"/>
  <c r="AD15" i="2"/>
  <c r="AF15" i="2" s="1"/>
  <c r="AH15" i="2" s="1"/>
  <c r="AB16" i="2"/>
  <c r="AR17" i="2"/>
  <c r="AO18" i="2"/>
  <c r="T53" i="2"/>
  <c r="AE53" i="2" s="1"/>
  <c r="AH14" i="2"/>
  <c r="X54" i="2"/>
  <c r="AC54" i="2"/>
  <c r="P55" i="2"/>
  <c r="V54" i="2"/>
  <c r="Z54" i="2"/>
  <c r="AA54" i="2"/>
  <c r="S54" i="2"/>
  <c r="T54" i="2" s="1"/>
  <c r="BA19" i="2"/>
  <c r="AN20" i="2"/>
  <c r="AO54" i="2"/>
  <c r="AR53" i="2"/>
  <c r="Q18" i="2"/>
  <c r="AC17" i="2"/>
  <c r="BG13" i="2"/>
  <c r="P99" i="1"/>
  <c r="O99" i="1"/>
  <c r="Q82" i="1"/>
  <c r="P82" i="1"/>
  <c r="Q90" i="1"/>
  <c r="P90" i="1"/>
  <c r="Q81" i="1"/>
  <c r="P81" i="1"/>
  <c r="Q85" i="1"/>
  <c r="Q74" i="1" s="1"/>
  <c r="P85" i="1"/>
  <c r="P74" i="1" s="1"/>
  <c r="Q84" i="1"/>
  <c r="P84" i="1"/>
  <c r="Q89" i="1"/>
  <c r="P89" i="1"/>
  <c r="Q80" i="1"/>
  <c r="P80" i="1"/>
  <c r="Q88" i="1"/>
  <c r="P88" i="1"/>
  <c r="O97" i="1"/>
  <c r="P97" i="1"/>
  <c r="O102" i="1"/>
  <c r="O10" i="1" s="1"/>
  <c r="P102" i="1"/>
  <c r="P10" i="1" s="1"/>
  <c r="P98" i="1"/>
  <c r="O98" i="1"/>
  <c r="O101" i="1"/>
  <c r="P101" i="1"/>
  <c r="Q83" i="1"/>
  <c r="P83" i="1"/>
  <c r="Q87" i="1"/>
  <c r="P87" i="1"/>
  <c r="P100" i="1"/>
  <c r="O100" i="1"/>
  <c r="Q86" i="1"/>
  <c r="P86" i="1"/>
  <c r="J57" i="1"/>
  <c r="W57" i="1" s="1"/>
  <c r="W56" i="1"/>
  <c r="N24" i="1"/>
  <c r="O24" i="1" s="1"/>
  <c r="P24" i="1" s="1"/>
  <c r="N56" i="1"/>
  <c r="O56" i="1" s="1"/>
  <c r="P56" i="1" s="1"/>
  <c r="J25" i="1"/>
  <c r="W25" i="1" s="1"/>
  <c r="M25" i="1"/>
  <c r="J2" i="1"/>
  <c r="J1" i="1"/>
  <c r="E238" i="1"/>
  <c r="BA52" i="2" l="1"/>
  <c r="BB53" i="2"/>
  <c r="AY54" i="2"/>
  <c r="BC53" i="2"/>
  <c r="AC18" i="2"/>
  <c r="Q19" i="2"/>
  <c r="Z55" i="2"/>
  <c r="AC55" i="2"/>
  <c r="X55" i="2"/>
  <c r="V55" i="2"/>
  <c r="P56" i="2"/>
  <c r="S55" i="2"/>
  <c r="T55" i="2" s="1"/>
  <c r="AA55" i="2"/>
  <c r="AW18" i="2"/>
  <c r="AX18" i="2"/>
  <c r="AP18" i="2"/>
  <c r="AQ18" i="2" s="1"/>
  <c r="AM19" i="2"/>
  <c r="AU18" i="2"/>
  <c r="AS18" i="2"/>
  <c r="AD53" i="2"/>
  <c r="AB55" i="2"/>
  <c r="AE54" i="2"/>
  <c r="AF54" i="2"/>
  <c r="AR54" i="2"/>
  <c r="AO55" i="2"/>
  <c r="AR18" i="2"/>
  <c r="AO19" i="2"/>
  <c r="U18" i="2"/>
  <c r="R19" i="2"/>
  <c r="AN21" i="2"/>
  <c r="BA20" i="2"/>
  <c r="AD16" i="2"/>
  <c r="AF16" i="2" s="1"/>
  <c r="AH16" i="2" s="1"/>
  <c r="AB17" i="2"/>
  <c r="AE16" i="2"/>
  <c r="AG16" i="2" s="1"/>
  <c r="AI16" i="2" s="1"/>
  <c r="S17" i="2"/>
  <c r="T17" i="2" s="1"/>
  <c r="X17" i="2"/>
  <c r="AA17" i="2"/>
  <c r="Z17" i="2"/>
  <c r="V17" i="2"/>
  <c r="P18" i="2"/>
  <c r="AP54" i="2"/>
  <c r="AQ54" i="2" s="1"/>
  <c r="AW54" i="2"/>
  <c r="AU54" i="2"/>
  <c r="AM55" i="2"/>
  <c r="AS54" i="2"/>
  <c r="AX54" i="2"/>
  <c r="AZ54" i="2"/>
  <c r="R55" i="2"/>
  <c r="U54" i="2"/>
  <c r="AY16" i="2"/>
  <c r="BB15" i="2"/>
  <c r="BD15" i="2" s="1"/>
  <c r="BF15" i="2" s="1"/>
  <c r="BC15" i="2"/>
  <c r="BE15" i="2" s="1"/>
  <c r="BG15" i="2" s="1"/>
  <c r="Q73" i="1"/>
  <c r="Q75" i="1" s="1"/>
  <c r="P9" i="1" s="1"/>
  <c r="Q91" i="1"/>
  <c r="P73" i="1"/>
  <c r="P75" i="1" s="1"/>
  <c r="O9" i="1" s="1"/>
  <c r="P91" i="1"/>
  <c r="J58" i="1"/>
  <c r="N57" i="1"/>
  <c r="O57" i="1" s="1"/>
  <c r="P57" i="1" s="1"/>
  <c r="M57" i="1"/>
  <c r="M58" i="1" s="1"/>
  <c r="J26" i="1"/>
  <c r="W26" i="1" s="1"/>
  <c r="M26" i="1"/>
  <c r="N26" i="1"/>
  <c r="O26" i="1" s="1"/>
  <c r="P26" i="1" s="1"/>
  <c r="XFD107" i="1"/>
  <c r="AW19" i="2" l="1"/>
  <c r="AX19" i="2"/>
  <c r="AP19" i="2"/>
  <c r="AQ19" i="2" s="1"/>
  <c r="AU19" i="2"/>
  <c r="AM20" i="2"/>
  <c r="AS19" i="2"/>
  <c r="AO20" i="2"/>
  <c r="AR19" i="2"/>
  <c r="S18" i="2"/>
  <c r="T18" i="2" s="1"/>
  <c r="Z18" i="2"/>
  <c r="AA18" i="2"/>
  <c r="P19" i="2"/>
  <c r="V18" i="2"/>
  <c r="X18" i="2"/>
  <c r="AR55" i="2"/>
  <c r="AO56" i="2"/>
  <c r="V56" i="2"/>
  <c r="Z56" i="2"/>
  <c r="X56" i="2"/>
  <c r="AC56" i="2"/>
  <c r="P57" i="2"/>
  <c r="S56" i="2"/>
  <c r="AA56" i="2"/>
  <c r="AY17" i="2"/>
  <c r="BB16" i="2"/>
  <c r="BD16" i="2" s="1"/>
  <c r="BF16" i="2" s="1"/>
  <c r="BC16" i="2"/>
  <c r="BE16" i="2" s="1"/>
  <c r="BG16" i="2" s="1"/>
  <c r="AD54" i="2"/>
  <c r="AE55" i="2"/>
  <c r="AF55" i="2"/>
  <c r="AB56" i="2"/>
  <c r="R56" i="2"/>
  <c r="U55" i="2"/>
  <c r="AC19" i="2"/>
  <c r="Q20" i="2"/>
  <c r="AD17" i="2"/>
  <c r="AF17" i="2" s="1"/>
  <c r="AH17" i="2" s="1"/>
  <c r="AB18" i="2"/>
  <c r="AE17" i="2"/>
  <c r="AG17" i="2" s="1"/>
  <c r="AI17" i="2" s="1"/>
  <c r="BA53" i="2"/>
  <c r="BC54" i="2"/>
  <c r="BB54" i="2"/>
  <c r="AY55" i="2"/>
  <c r="AS55" i="2"/>
  <c r="AX55" i="2"/>
  <c r="AU55" i="2"/>
  <c r="AW55" i="2"/>
  <c r="AZ55" i="2"/>
  <c r="AM56" i="2"/>
  <c r="AP55" i="2"/>
  <c r="AQ55" i="2" s="1"/>
  <c r="BA21" i="2"/>
  <c r="AN22" i="2"/>
  <c r="BA22" i="2" s="1"/>
  <c r="U19" i="2"/>
  <c r="R20" i="2"/>
  <c r="E191" i="1"/>
  <c r="O13" i="1"/>
  <c r="E181" i="1"/>
  <c r="P13" i="1"/>
  <c r="J59" i="1"/>
  <c r="W58" i="1"/>
  <c r="N58" i="1"/>
  <c r="O58" i="1" s="1"/>
  <c r="P58" i="1" s="1"/>
  <c r="N27" i="1"/>
  <c r="O27" i="1" s="1"/>
  <c r="P27" i="1" s="1"/>
  <c r="M27" i="1"/>
  <c r="N59" i="1"/>
  <c r="O59" i="1" s="1"/>
  <c r="P59" i="1" s="1"/>
  <c r="J27" i="1"/>
  <c r="W27" i="1" s="1"/>
  <c r="AR56" i="2" l="1"/>
  <c r="AO57" i="2"/>
  <c r="BA54" i="2"/>
  <c r="AY56" i="2"/>
  <c r="BB55" i="2"/>
  <c r="BC55" i="2"/>
  <c r="AE18" i="2"/>
  <c r="AG18" i="2" s="1"/>
  <c r="AI18" i="2" s="1"/>
  <c r="AB19" i="2"/>
  <c r="AD18" i="2"/>
  <c r="AF18" i="2" s="1"/>
  <c r="AH18" i="2" s="1"/>
  <c r="U56" i="2"/>
  <c r="R57" i="2"/>
  <c r="AF56" i="2"/>
  <c r="AD55" i="2"/>
  <c r="AB57" i="2"/>
  <c r="S19" i="2"/>
  <c r="T19" i="2" s="1"/>
  <c r="AA19" i="2"/>
  <c r="P20" i="2"/>
  <c r="X19" i="2"/>
  <c r="Z19" i="2"/>
  <c r="V19" i="2"/>
  <c r="U20" i="2"/>
  <c r="R21" i="2"/>
  <c r="AY18" i="2"/>
  <c r="BC17" i="2"/>
  <c r="BE17" i="2" s="1"/>
  <c r="BG17" i="2" s="1"/>
  <c r="BB17" i="2"/>
  <c r="BD17" i="2" s="1"/>
  <c r="BF17" i="2" s="1"/>
  <c r="T56" i="2"/>
  <c r="AE56" i="2" s="1"/>
  <c r="X57" i="2"/>
  <c r="P58" i="2"/>
  <c r="AA57" i="2"/>
  <c r="AC57" i="2"/>
  <c r="S57" i="2"/>
  <c r="V57" i="2"/>
  <c r="Z57" i="2"/>
  <c r="AO21" i="2"/>
  <c r="AR20" i="2"/>
  <c r="Q21" i="2"/>
  <c r="AC20" i="2"/>
  <c r="AM57" i="2"/>
  <c r="AS56" i="2"/>
  <c r="AP56" i="2"/>
  <c r="AQ56" i="2" s="1"/>
  <c r="AW56" i="2"/>
  <c r="AX56" i="2"/>
  <c r="AU56" i="2"/>
  <c r="AZ56" i="2"/>
  <c r="AW20" i="2"/>
  <c r="AX20" i="2"/>
  <c r="AP20" i="2"/>
  <c r="AQ20" i="2" s="1"/>
  <c r="AS20" i="2"/>
  <c r="AU20" i="2"/>
  <c r="AM21" i="2"/>
  <c r="Y59" i="1"/>
  <c r="Y56" i="1"/>
  <c r="X56" i="1"/>
  <c r="X59" i="1"/>
  <c r="X60" i="1" s="1"/>
  <c r="J28" i="1"/>
  <c r="W28" i="1" s="1"/>
  <c r="M28" i="1"/>
  <c r="N28" i="1"/>
  <c r="O28" i="1" s="1"/>
  <c r="P28" i="1" s="1"/>
  <c r="AP57" i="2" l="1"/>
  <c r="AQ57" i="2" s="1"/>
  <c r="AW57" i="2"/>
  <c r="AZ57" i="2"/>
  <c r="AM58" i="2"/>
  <c r="AX57" i="2"/>
  <c r="AS57" i="2"/>
  <c r="AU57" i="2"/>
  <c r="R58" i="2"/>
  <c r="U57" i="2"/>
  <c r="AF57" i="2" s="1"/>
  <c r="AY19" i="2"/>
  <c r="BB18" i="2"/>
  <c r="BD18" i="2" s="1"/>
  <c r="BF18" i="2" s="1"/>
  <c r="BC18" i="2"/>
  <c r="BE18" i="2" s="1"/>
  <c r="BG18" i="2" s="1"/>
  <c r="AW21" i="2"/>
  <c r="AX21" i="2"/>
  <c r="AU21" i="2"/>
  <c r="AS21" i="2"/>
  <c r="AM22" i="2"/>
  <c r="AP21" i="2"/>
  <c r="AQ21" i="2" s="1"/>
  <c r="U21" i="2"/>
  <c r="R22" i="2"/>
  <c r="S20" i="2"/>
  <c r="T20" i="2" s="1"/>
  <c r="X20" i="2"/>
  <c r="P21" i="2"/>
  <c r="AA20" i="2"/>
  <c r="V20" i="2"/>
  <c r="Z20" i="2"/>
  <c r="AC21" i="2"/>
  <c r="Q22" i="2"/>
  <c r="AB20" i="2"/>
  <c r="AE19" i="2"/>
  <c r="AG19" i="2" s="1"/>
  <c r="AI19" i="2" s="1"/>
  <c r="AD19" i="2"/>
  <c r="AF19" i="2" s="1"/>
  <c r="AH19" i="2" s="1"/>
  <c r="AR21" i="2"/>
  <c r="AO22" i="2"/>
  <c r="AR22" i="2" s="1"/>
  <c r="T57" i="2"/>
  <c r="BB56" i="2"/>
  <c r="AY57" i="2"/>
  <c r="BA55" i="2"/>
  <c r="BC56" i="2"/>
  <c r="AO58" i="2"/>
  <c r="AR57" i="2"/>
  <c r="S58" i="2"/>
  <c r="T58" i="2" s="1"/>
  <c r="AC58" i="2"/>
  <c r="Z58" i="2"/>
  <c r="AA58" i="2"/>
  <c r="P59" i="2"/>
  <c r="V58" i="2"/>
  <c r="X58" i="2"/>
  <c r="AD56" i="2"/>
  <c r="AB58" i="2"/>
  <c r="AE57" i="2"/>
  <c r="Y60" i="1"/>
  <c r="L10" i="1" s="1"/>
  <c r="X61" i="1"/>
  <c r="M10" i="1" s="1"/>
  <c r="K10" i="1"/>
  <c r="M29" i="1"/>
  <c r="J29" i="1"/>
  <c r="W29" i="1" s="1"/>
  <c r="N29" i="1"/>
  <c r="O29" i="1" s="1"/>
  <c r="P29" i="1" s="1"/>
  <c r="AO59" i="2" l="1"/>
  <c r="AR58" i="2"/>
  <c r="AY20" i="2"/>
  <c r="BC19" i="2"/>
  <c r="BE19" i="2" s="1"/>
  <c r="BG19" i="2" s="1"/>
  <c r="BB19" i="2"/>
  <c r="BD19" i="2" s="1"/>
  <c r="BF19" i="2" s="1"/>
  <c r="S21" i="2"/>
  <c r="T21" i="2" s="1"/>
  <c r="V21" i="2"/>
  <c r="Z21" i="2"/>
  <c r="P22" i="2"/>
  <c r="AA21" i="2"/>
  <c r="X21" i="2"/>
  <c r="BB57" i="2"/>
  <c r="AY58" i="2"/>
  <c r="BC57" i="2"/>
  <c r="BA56" i="2"/>
  <c r="R59" i="2"/>
  <c r="U58" i="2"/>
  <c r="AF58" i="2" s="1"/>
  <c r="U22" i="2"/>
  <c r="R23" i="2"/>
  <c r="AW58" i="2"/>
  <c r="AZ58" i="2"/>
  <c r="AP58" i="2"/>
  <c r="AQ58" i="2" s="1"/>
  <c r="AM59" i="2"/>
  <c r="AS58" i="2"/>
  <c r="AU58" i="2"/>
  <c r="AX58" i="2"/>
  <c r="AC22" i="2"/>
  <c r="Q23" i="2"/>
  <c r="AD57" i="2"/>
  <c r="AB59" i="2"/>
  <c r="AE58" i="2"/>
  <c r="AW22" i="2"/>
  <c r="AX22" i="2"/>
  <c r="AU22" i="2"/>
  <c r="AS22" i="2"/>
  <c r="AP22" i="2"/>
  <c r="AQ22" i="2" s="1"/>
  <c r="V59" i="2"/>
  <c r="Z59" i="2"/>
  <c r="P60" i="2"/>
  <c r="AA59" i="2"/>
  <c r="AC59" i="2"/>
  <c r="X59" i="2"/>
  <c r="S59" i="2"/>
  <c r="T59" i="2" s="1"/>
  <c r="AE20" i="2"/>
  <c r="AG20" i="2" s="1"/>
  <c r="AI20" i="2" s="1"/>
  <c r="AD20" i="2"/>
  <c r="AF20" i="2" s="1"/>
  <c r="AH20" i="2" s="1"/>
  <c r="AB21" i="2"/>
  <c r="Y61" i="1"/>
  <c r="N10" i="1" s="1"/>
  <c r="J30" i="1"/>
  <c r="W30" i="1" s="1"/>
  <c r="M30" i="1"/>
  <c r="N30" i="1"/>
  <c r="O30" i="1" s="1"/>
  <c r="P30" i="1" s="1"/>
  <c r="E184" i="1"/>
  <c r="E187" i="1" s="1"/>
  <c r="BB58" i="2" l="1"/>
  <c r="BA57" i="2"/>
  <c r="BC58" i="2"/>
  <c r="AY59" i="2"/>
  <c r="AY21" i="2"/>
  <c r="BC20" i="2"/>
  <c r="BE20" i="2" s="1"/>
  <c r="BG20" i="2" s="1"/>
  <c r="BB20" i="2"/>
  <c r="BD20" i="2" s="1"/>
  <c r="BF20" i="2" s="1"/>
  <c r="AC23" i="2"/>
  <c r="Q24" i="2"/>
  <c r="AD58" i="2"/>
  <c r="AB60" i="2"/>
  <c r="AE59" i="2"/>
  <c r="AF59" i="2"/>
  <c r="R60" i="2"/>
  <c r="U59" i="2"/>
  <c r="AR59" i="2"/>
  <c r="AO60" i="2"/>
  <c r="AR60" i="2" s="1"/>
  <c r="V60" i="2"/>
  <c r="S60" i="2"/>
  <c r="X60" i="2"/>
  <c r="AA60" i="2"/>
  <c r="P61" i="2"/>
  <c r="AC60" i="2"/>
  <c r="Z60" i="2"/>
  <c r="AU59" i="2"/>
  <c r="AM60" i="2"/>
  <c r="AP59" i="2"/>
  <c r="AQ59" i="2" s="1"/>
  <c r="AS59" i="2"/>
  <c r="AW59" i="2"/>
  <c r="AX59" i="2"/>
  <c r="AZ59" i="2"/>
  <c r="S22" i="2"/>
  <c r="T22" i="2" s="1"/>
  <c r="X22" i="2"/>
  <c r="Z22" i="2"/>
  <c r="V22" i="2"/>
  <c r="AA22" i="2"/>
  <c r="P23" i="2"/>
  <c r="AB22" i="2"/>
  <c r="AE21" i="2"/>
  <c r="AG21" i="2" s="1"/>
  <c r="AI21" i="2" s="1"/>
  <c r="AD21" i="2"/>
  <c r="AF21" i="2" s="1"/>
  <c r="AH21" i="2" s="1"/>
  <c r="U23" i="2"/>
  <c r="R24" i="2"/>
  <c r="J31" i="1"/>
  <c r="W31" i="1" s="1"/>
  <c r="M31" i="1"/>
  <c r="N31" i="1"/>
  <c r="O31" i="1" s="1"/>
  <c r="P31" i="1" s="1"/>
  <c r="E186" i="1"/>
  <c r="R25" i="2" l="1"/>
  <c r="U24" i="2"/>
  <c r="R61" i="2"/>
  <c r="U60" i="2"/>
  <c r="AU60" i="2"/>
  <c r="AX60" i="2"/>
  <c r="AP60" i="2"/>
  <c r="AQ60" i="2" s="1"/>
  <c r="AW60" i="2"/>
  <c r="AZ60" i="2"/>
  <c r="BA60" i="2" s="1"/>
  <c r="AS60" i="2"/>
  <c r="AE60" i="2"/>
  <c r="AD59" i="2"/>
  <c r="AB61" i="2"/>
  <c r="AF60" i="2"/>
  <c r="AE22" i="2"/>
  <c r="AG22" i="2" s="1"/>
  <c r="AI22" i="2" s="1"/>
  <c r="AB23" i="2"/>
  <c r="AD22" i="2"/>
  <c r="AF22" i="2" s="1"/>
  <c r="AH22" i="2" s="1"/>
  <c r="S23" i="2"/>
  <c r="T23" i="2" s="1"/>
  <c r="Z23" i="2"/>
  <c r="X23" i="2"/>
  <c r="AA23" i="2"/>
  <c r="P24" i="2"/>
  <c r="V23" i="2"/>
  <c r="AC24" i="2"/>
  <c r="Q25" i="2"/>
  <c r="P62" i="2"/>
  <c r="V61" i="2"/>
  <c r="AA61" i="2"/>
  <c r="AC61" i="2"/>
  <c r="X61" i="2"/>
  <c r="Z61" i="2"/>
  <c r="S61" i="2"/>
  <c r="T61" i="2" s="1"/>
  <c r="T60" i="2"/>
  <c r="AY22" i="2"/>
  <c r="BB21" i="2"/>
  <c r="BD21" i="2" s="1"/>
  <c r="BF21" i="2" s="1"/>
  <c r="BC21" i="2"/>
  <c r="BE21" i="2" s="1"/>
  <c r="BG21" i="2" s="1"/>
  <c r="BC59" i="2"/>
  <c r="BA58" i="2"/>
  <c r="BB59" i="2"/>
  <c r="AY60" i="2"/>
  <c r="M32" i="1"/>
  <c r="N32" i="1"/>
  <c r="O32" i="1" s="1"/>
  <c r="P32" i="1" s="1"/>
  <c r="J32" i="1"/>
  <c r="W32" i="1" s="1"/>
  <c r="E194" i="1"/>
  <c r="AE61" i="2" l="1"/>
  <c r="AB62" i="2"/>
  <c r="AD60" i="2"/>
  <c r="AC25" i="2"/>
  <c r="Q26" i="2"/>
  <c r="BB22" i="2"/>
  <c r="BD22" i="2" s="1"/>
  <c r="BC22" i="2"/>
  <c r="BE22" i="2" s="1"/>
  <c r="BC60" i="2"/>
  <c r="BC61" i="2" s="1"/>
  <c r="BA59" i="2"/>
  <c r="BA61" i="2" s="1"/>
  <c r="BB60" i="2"/>
  <c r="BB61" i="2" s="1"/>
  <c r="AM62" i="2" s="1"/>
  <c r="AA62" i="2"/>
  <c r="AC62" i="2"/>
  <c r="Z62" i="2"/>
  <c r="S62" i="2"/>
  <c r="P63" i="2"/>
  <c r="X62" i="2"/>
  <c r="V62" i="2"/>
  <c r="V24" i="2"/>
  <c r="X24" i="2"/>
  <c r="P25" i="2"/>
  <c r="S24" i="2"/>
  <c r="T24" i="2" s="1"/>
  <c r="Z24" i="2"/>
  <c r="AA24" i="2"/>
  <c r="U61" i="2"/>
  <c r="AF61" i="2" s="1"/>
  <c r="R62" i="2"/>
  <c r="AD23" i="2"/>
  <c r="AF23" i="2" s="1"/>
  <c r="AH23" i="2" s="1"/>
  <c r="AE23" i="2"/>
  <c r="AG23" i="2" s="1"/>
  <c r="AI23" i="2" s="1"/>
  <c r="AB24" i="2"/>
  <c r="U25" i="2"/>
  <c r="R26" i="2"/>
  <c r="E197" i="1"/>
  <c r="L243" i="1"/>
  <c r="O251" i="1" s="1"/>
  <c r="J33" i="1"/>
  <c r="W33" i="1" s="1"/>
  <c r="M33" i="1"/>
  <c r="N33" i="1"/>
  <c r="O33" i="1" s="1"/>
  <c r="P33" i="1" s="1"/>
  <c r="E196" i="1"/>
  <c r="U62" i="2" l="1"/>
  <c r="R63" i="2"/>
  <c r="AM63" i="2"/>
  <c r="Z25" i="2"/>
  <c r="X25" i="2"/>
  <c r="AA25" i="2"/>
  <c r="V25" i="2"/>
  <c r="P26" i="2"/>
  <c r="S25" i="2"/>
  <c r="T25" i="2" s="1"/>
  <c r="BG22" i="2"/>
  <c r="BG23" i="2" s="1"/>
  <c r="BE23" i="2"/>
  <c r="BF22" i="2"/>
  <c r="BF23" i="2" s="1"/>
  <c r="AM25" i="2" s="1"/>
  <c r="BD23" i="2"/>
  <c r="AM24" i="2" s="1"/>
  <c r="AC26" i="2"/>
  <c r="Q27" i="2"/>
  <c r="U26" i="2"/>
  <c r="R27" i="2"/>
  <c r="AB25" i="2"/>
  <c r="AE24" i="2"/>
  <c r="AG24" i="2" s="1"/>
  <c r="AI24" i="2" s="1"/>
  <c r="AD24" i="2"/>
  <c r="AF24" i="2" s="1"/>
  <c r="AH24" i="2" s="1"/>
  <c r="X63" i="2"/>
  <c r="S63" i="2"/>
  <c r="T63" i="2" s="1"/>
  <c r="P64" i="2"/>
  <c r="V63" i="2"/>
  <c r="Z63" i="2"/>
  <c r="AA63" i="2"/>
  <c r="AC63" i="2"/>
  <c r="AD61" i="2"/>
  <c r="AF62" i="2"/>
  <c r="AE62" i="2"/>
  <c r="AB63" i="2"/>
  <c r="T62" i="2"/>
  <c r="M34" i="1"/>
  <c r="N34" i="1"/>
  <c r="O34" i="1" s="1"/>
  <c r="P34" i="1" s="1"/>
  <c r="J34" i="1"/>
  <c r="W34" i="1" s="1"/>
  <c r="V26" i="2" l="1"/>
  <c r="X26" i="2"/>
  <c r="AA26" i="2"/>
  <c r="P27" i="2"/>
  <c r="S26" i="2"/>
  <c r="T26" i="2" s="1"/>
  <c r="Z26" i="2"/>
  <c r="AD25" i="2"/>
  <c r="AF25" i="2" s="1"/>
  <c r="AH25" i="2" s="1"/>
  <c r="AB26" i="2"/>
  <c r="AE25" i="2"/>
  <c r="AG25" i="2" s="1"/>
  <c r="AI25" i="2" s="1"/>
  <c r="AD62" i="2"/>
  <c r="AE63" i="2"/>
  <c r="AF63" i="2"/>
  <c r="AB64" i="2"/>
  <c r="U27" i="2"/>
  <c r="R28" i="2"/>
  <c r="P65" i="2"/>
  <c r="S64" i="2"/>
  <c r="T64" i="2" s="1"/>
  <c r="V64" i="2"/>
  <c r="X64" i="2"/>
  <c r="Z64" i="2"/>
  <c r="AA64" i="2"/>
  <c r="AC64" i="2"/>
  <c r="U63" i="2"/>
  <c r="R64" i="2"/>
  <c r="AC27" i="2"/>
  <c r="Q28" i="2"/>
  <c r="J35" i="1"/>
  <c r="W35" i="1" s="1"/>
  <c r="M35" i="1"/>
  <c r="N35" i="1"/>
  <c r="O35" i="1" s="1"/>
  <c r="P35" i="1" s="1"/>
  <c r="P66" i="2" l="1"/>
  <c r="S65" i="2"/>
  <c r="V65" i="2"/>
  <c r="Z65" i="2"/>
  <c r="X65" i="2"/>
  <c r="AA65" i="2"/>
  <c r="AC65" i="2"/>
  <c r="U28" i="2"/>
  <c r="R29" i="2"/>
  <c r="AF64" i="2"/>
  <c r="AD63" i="2"/>
  <c r="AE64" i="2"/>
  <c r="AB65" i="2"/>
  <c r="Q29" i="2"/>
  <c r="AC28" i="2"/>
  <c r="U64" i="2"/>
  <c r="R65" i="2"/>
  <c r="AB27" i="2"/>
  <c r="AD26" i="2"/>
  <c r="AF26" i="2" s="1"/>
  <c r="AH26" i="2" s="1"/>
  <c r="AE26" i="2"/>
  <c r="AG26" i="2" s="1"/>
  <c r="AI26" i="2" s="1"/>
  <c r="AA27" i="2"/>
  <c r="P28" i="2"/>
  <c r="S27" i="2"/>
  <c r="T27" i="2" s="1"/>
  <c r="V27" i="2"/>
  <c r="X27" i="2"/>
  <c r="Z27" i="2"/>
  <c r="J36" i="1"/>
  <c r="W36" i="1" s="1"/>
  <c r="M36" i="1"/>
  <c r="N36" i="1"/>
  <c r="O36" i="1" s="1"/>
  <c r="P36" i="1" s="1"/>
  <c r="Z66" i="2" l="1"/>
  <c r="AC66" i="2"/>
  <c r="P67" i="2"/>
  <c r="V66" i="2"/>
  <c r="X66" i="2"/>
  <c r="S66" i="2"/>
  <c r="AA66" i="2"/>
  <c r="AD64" i="2"/>
  <c r="AB66" i="2"/>
  <c r="R30" i="2"/>
  <c r="U29" i="2"/>
  <c r="AD27" i="2"/>
  <c r="AF27" i="2" s="1"/>
  <c r="AH27" i="2" s="1"/>
  <c r="AE27" i="2"/>
  <c r="AG27" i="2" s="1"/>
  <c r="AI27" i="2" s="1"/>
  <c r="AB28" i="2"/>
  <c r="AC29" i="2"/>
  <c r="Q30" i="2"/>
  <c r="V28" i="2"/>
  <c r="S28" i="2"/>
  <c r="T28" i="2" s="1"/>
  <c r="P29" i="2"/>
  <c r="Z28" i="2"/>
  <c r="AA28" i="2"/>
  <c r="X28" i="2"/>
  <c r="U65" i="2"/>
  <c r="AF65" i="2" s="1"/>
  <c r="R66" i="2"/>
  <c r="T65" i="2"/>
  <c r="AE65" i="2" s="1"/>
  <c r="M37" i="1"/>
  <c r="N37" i="1"/>
  <c r="O37" i="1" s="1"/>
  <c r="P37" i="1" s="1"/>
  <c r="J37" i="1"/>
  <c r="W37" i="1" s="1"/>
  <c r="U66" i="2" l="1"/>
  <c r="AF66" i="2" s="1"/>
  <c r="R67" i="2"/>
  <c r="U30" i="2"/>
  <c r="R31" i="2"/>
  <c r="AD65" i="2"/>
  <c r="AB67" i="2"/>
  <c r="AA29" i="2"/>
  <c r="S29" i="2"/>
  <c r="T29" i="2" s="1"/>
  <c r="P30" i="2"/>
  <c r="V29" i="2"/>
  <c r="X29" i="2"/>
  <c r="Z29" i="2"/>
  <c r="T66" i="2"/>
  <c r="AE66" i="2" s="1"/>
  <c r="AC30" i="2"/>
  <c r="Q31" i="2"/>
  <c r="V67" i="2"/>
  <c r="Z67" i="2"/>
  <c r="AA67" i="2"/>
  <c r="S67" i="2"/>
  <c r="X67" i="2"/>
  <c r="AC67" i="2"/>
  <c r="P68" i="2"/>
  <c r="AB29" i="2"/>
  <c r="AD28" i="2"/>
  <c r="AF28" i="2" s="1"/>
  <c r="AH28" i="2" s="1"/>
  <c r="AE28" i="2"/>
  <c r="AG28" i="2" s="1"/>
  <c r="AI28" i="2" s="1"/>
  <c r="J38" i="1"/>
  <c r="W38" i="1" s="1"/>
  <c r="M38" i="1"/>
  <c r="N38" i="1"/>
  <c r="O38" i="1" s="1"/>
  <c r="P38" i="1" s="1"/>
  <c r="U31" i="2" l="1"/>
  <c r="R32" i="2"/>
  <c r="V30" i="2"/>
  <c r="S30" i="2"/>
  <c r="T30" i="2" s="1"/>
  <c r="X30" i="2"/>
  <c r="Z30" i="2"/>
  <c r="AA30" i="2"/>
  <c r="P31" i="2"/>
  <c r="AB30" i="2"/>
  <c r="AD29" i="2"/>
  <c r="AF29" i="2" s="1"/>
  <c r="AH29" i="2" s="1"/>
  <c r="AE29" i="2"/>
  <c r="AG29" i="2" s="1"/>
  <c r="AI29" i="2" s="1"/>
  <c r="X68" i="2"/>
  <c r="S68" i="2"/>
  <c r="T68" i="2" s="1"/>
  <c r="AA68" i="2"/>
  <c r="AC68" i="2"/>
  <c r="P69" i="2"/>
  <c r="V68" i="2"/>
  <c r="Z68" i="2"/>
  <c r="T67" i="2"/>
  <c r="AD66" i="2"/>
  <c r="AB68" i="2"/>
  <c r="AE67" i="2"/>
  <c r="AC31" i="2"/>
  <c r="Q32" i="2"/>
  <c r="R68" i="2"/>
  <c r="U67" i="2"/>
  <c r="AF67" i="2" s="1"/>
  <c r="M39" i="1"/>
  <c r="N40" i="1" s="1"/>
  <c r="O40" i="1" s="1"/>
  <c r="P40" i="1" s="1"/>
  <c r="N39" i="1"/>
  <c r="O39" i="1" s="1"/>
  <c r="P39" i="1" s="1"/>
  <c r="J39" i="1"/>
  <c r="W39" i="1" s="1"/>
  <c r="U68" i="2" l="1"/>
  <c r="AF68" i="2" s="1"/>
  <c r="R69" i="2"/>
  <c r="Q33" i="2"/>
  <c r="AC33" i="2" s="1"/>
  <c r="AC32" i="2"/>
  <c r="AB31" i="2"/>
  <c r="AE30" i="2"/>
  <c r="AG30" i="2" s="1"/>
  <c r="AI30" i="2" s="1"/>
  <c r="AD30" i="2"/>
  <c r="AF30" i="2" s="1"/>
  <c r="AH30" i="2" s="1"/>
  <c r="AB69" i="2"/>
  <c r="AE68" i="2"/>
  <c r="AD67" i="2"/>
  <c r="AA31" i="2"/>
  <c r="X31" i="2"/>
  <c r="P32" i="2"/>
  <c r="S31" i="2"/>
  <c r="T31" i="2" s="1"/>
  <c r="V31" i="2"/>
  <c r="Z31" i="2"/>
  <c r="P70" i="2"/>
  <c r="V69" i="2"/>
  <c r="S69" i="2"/>
  <c r="X69" i="2"/>
  <c r="Z69" i="2"/>
  <c r="AA69" i="2"/>
  <c r="AC69" i="2"/>
  <c r="U32" i="2"/>
  <c r="R33" i="2"/>
  <c r="J40" i="1"/>
  <c r="W40" i="1" s="1"/>
  <c r="M40" i="1"/>
  <c r="U69" i="2" l="1"/>
  <c r="R70" i="2"/>
  <c r="V32" i="2"/>
  <c r="Z32" i="2"/>
  <c r="P33" i="2"/>
  <c r="S32" i="2"/>
  <c r="T32" i="2" s="1"/>
  <c r="X32" i="2"/>
  <c r="AA32" i="2"/>
  <c r="U33" i="2"/>
  <c r="AD68" i="2"/>
  <c r="AF69" i="2"/>
  <c r="AB70" i="2"/>
  <c r="T69" i="2"/>
  <c r="AE69" i="2" s="1"/>
  <c r="AD31" i="2"/>
  <c r="AF31" i="2" s="1"/>
  <c r="AH31" i="2" s="1"/>
  <c r="AE31" i="2"/>
  <c r="AG31" i="2" s="1"/>
  <c r="AI31" i="2" s="1"/>
  <c r="AB32" i="2"/>
  <c r="X70" i="2"/>
  <c r="AC70" i="2"/>
  <c r="S70" i="2"/>
  <c r="T70" i="2" s="1"/>
  <c r="V70" i="2"/>
  <c r="Z70" i="2"/>
  <c r="P71" i="2"/>
  <c r="AA70" i="2"/>
  <c r="M41" i="1"/>
  <c r="N41" i="1"/>
  <c r="O41" i="1" s="1"/>
  <c r="P41" i="1" s="1"/>
  <c r="J41" i="1"/>
  <c r="W41" i="1" s="1"/>
  <c r="AC71" i="2" l="1"/>
  <c r="AD71" i="2" s="1"/>
  <c r="S71" i="2"/>
  <c r="V71" i="2"/>
  <c r="AA71" i="2"/>
  <c r="X71" i="2"/>
  <c r="Z71" i="2"/>
  <c r="AA33" i="2"/>
  <c r="S33" i="2"/>
  <c r="T33" i="2" s="1"/>
  <c r="V33" i="2"/>
  <c r="X33" i="2"/>
  <c r="Z33" i="2"/>
  <c r="U70" i="2"/>
  <c r="R71" i="2"/>
  <c r="U71" i="2" s="1"/>
  <c r="AF70" i="2"/>
  <c r="AD69" i="2"/>
  <c r="AB71" i="2"/>
  <c r="AE70" i="2"/>
  <c r="AB33" i="2"/>
  <c r="AE32" i="2"/>
  <c r="AG32" i="2" s="1"/>
  <c r="AI32" i="2" s="1"/>
  <c r="AD32" i="2"/>
  <c r="AF32" i="2" s="1"/>
  <c r="AH32" i="2" s="1"/>
  <c r="J42" i="1"/>
  <c r="W42" i="1" s="1"/>
  <c r="X41" i="1"/>
  <c r="M42" i="1"/>
  <c r="N42" i="1"/>
  <c r="O42" i="1" s="1"/>
  <c r="P42" i="1" s="1"/>
  <c r="AD33" i="2" l="1"/>
  <c r="AF33" i="2" s="1"/>
  <c r="AE33" i="2"/>
  <c r="AG33" i="2" s="1"/>
  <c r="AD70" i="2"/>
  <c r="AF71" i="2"/>
  <c r="AF72" i="2" s="1"/>
  <c r="T71" i="2"/>
  <c r="AE71" i="2" s="1"/>
  <c r="AE72" i="2" s="1"/>
  <c r="P73" i="2" s="1"/>
  <c r="P74" i="2" s="1"/>
  <c r="AD72" i="2"/>
  <c r="Y41" i="1"/>
  <c r="M43" i="1"/>
  <c r="N43" i="1"/>
  <c r="O43" i="1" s="1"/>
  <c r="P43" i="1" s="1"/>
  <c r="J43" i="1"/>
  <c r="W43" i="1" s="1"/>
  <c r="AI33" i="2" l="1"/>
  <c r="AI34" i="2" s="1"/>
  <c r="AG34" i="2"/>
  <c r="AH33" i="2"/>
  <c r="AH34" i="2" s="1"/>
  <c r="P36" i="2" s="1"/>
  <c r="AF34" i="2"/>
  <c r="P35" i="2" s="1"/>
  <c r="J44" i="1"/>
  <c r="M44" i="1"/>
  <c r="N44" i="1"/>
  <c r="O44" i="1" s="1"/>
  <c r="P44" i="1" s="1"/>
  <c r="W44" i="1" l="1"/>
  <c r="X22" i="1" s="1"/>
  <c r="Y44" i="1" l="1"/>
  <c r="Y45" i="1" s="1"/>
  <c r="X44" i="1"/>
  <c r="X23" i="1"/>
  <c r="Y23" i="1"/>
  <c r="Y22" i="1"/>
  <c r="X45" i="1"/>
  <c r="X46" i="1" s="1"/>
  <c r="M9" i="1" s="1"/>
  <c r="M13" i="1" s="1"/>
  <c r="K209" i="1" s="1"/>
  <c r="L209" i="1" l="1"/>
  <c r="K9" i="1"/>
  <c r="L9" i="1"/>
  <c r="L13" i="1" s="1"/>
  <c r="Y46" i="1"/>
  <c r="N9" i="1" s="1"/>
  <c r="N13" i="1" s="1"/>
  <c r="L210" i="1" s="1"/>
  <c r="K213" i="1" l="1"/>
  <c r="L213" i="1"/>
  <c r="L216" i="1" s="1"/>
  <c r="K13" i="1"/>
  <c r="E169" i="1"/>
  <c r="E172" i="1" s="1"/>
  <c r="L215" i="1" l="1"/>
  <c r="K215" i="1"/>
  <c r="E174" i="1"/>
  <c r="L223" i="1" l="1"/>
  <c r="F260" i="1" s="1"/>
  <c r="L219" i="1"/>
  <c r="F258" i="1" s="1"/>
  <c r="E176" i="1"/>
  <c r="K207" i="1" s="1"/>
  <c r="K221" i="1"/>
  <c r="K222" i="1" s="1"/>
  <c r="F209" i="1" s="1"/>
  <c r="F205" i="1" l="1"/>
  <c r="K216" i="1"/>
  <c r="E242" i="1"/>
  <c r="K219" i="1" l="1"/>
  <c r="F207" i="1" s="1"/>
  <c r="K217" i="1"/>
  <c r="L217" i="1" s="1"/>
  <c r="F256" i="1" s="1"/>
</calcChain>
</file>

<file path=xl/sharedStrings.xml><?xml version="1.0" encoding="utf-8"?>
<sst xmlns="http://schemas.openxmlformats.org/spreadsheetml/2006/main" count="955" uniqueCount="565">
  <si>
    <t>Age 65</t>
  </si>
  <si>
    <t>Age 55</t>
  </si>
  <si>
    <t>None</t>
  </si>
  <si>
    <t>Pensions in payment are increased annually at 100% of inflation</t>
  </si>
  <si>
    <t>(per year)</t>
  </si>
  <si>
    <t>Projected Unit Credit</t>
  </si>
  <si>
    <t>Age</t>
  </si>
  <si>
    <t>Rate per year</t>
  </si>
  <si>
    <t>Assume 100% of terminations and retirements are involuntary</t>
  </si>
  <si>
    <t>ID1</t>
  </si>
  <si>
    <t>ID2</t>
  </si>
  <si>
    <t>ID3</t>
  </si>
  <si>
    <t>ID4</t>
  </si>
  <si>
    <t>J&amp;S60%</t>
  </si>
  <si>
    <t>Asset Information (in $):</t>
  </si>
  <si>
    <t xml:space="preserve">Life guaranteed for 5 years. </t>
  </si>
  <si>
    <t>Solvency excludes indexation</t>
  </si>
  <si>
    <t>Indexed</t>
  </si>
  <si>
    <t xml:space="preserve">    Actives</t>
  </si>
  <si>
    <t xml:space="preserve">    Deferred </t>
  </si>
  <si>
    <t xml:space="preserve">    Pensioners</t>
  </si>
  <si>
    <t>Subtotal</t>
  </si>
  <si>
    <t>PfAD</t>
  </si>
  <si>
    <t>Total</t>
  </si>
  <si>
    <t>Funding excess (shortfall)</t>
  </si>
  <si>
    <t>Solvency excess (shortfall)</t>
  </si>
  <si>
    <t>Hypothetical wind-up excess (shortfall)</t>
  </si>
  <si>
    <t>Solvency Assets</t>
  </si>
  <si>
    <t>(a)</t>
  </si>
  <si>
    <t>Minimum required employer contributions</t>
  </si>
  <si>
    <t>(b)</t>
  </si>
  <si>
    <t>(c)</t>
  </si>
  <si>
    <t>4.50% for 10 years, 4.50% thereafter</t>
  </si>
  <si>
    <t>2.70% for 10 years, 2.80% thereafter</t>
  </si>
  <si>
    <t>Available actuarial surplus</t>
  </si>
  <si>
    <t>Plan Provisions:</t>
  </si>
  <si>
    <t>Deferred pension starting at age 65</t>
  </si>
  <si>
    <t>Early commencement from age 55 on an actuarially equivalent basis</t>
  </si>
  <si>
    <t>In accordance with Standards of Practice</t>
  </si>
  <si>
    <t>Solvency and Hypothetical Wind Up Assumptions:</t>
  </si>
  <si>
    <t>Annuity Factors (All annuity factors are for Life guaranteed 5 years except where noted)</t>
  </si>
  <si>
    <t>Going Concern Annuity Factors:</t>
  </si>
  <si>
    <t>Non indexed</t>
  </si>
  <si>
    <t>Solvency Annuity Factors:</t>
  </si>
  <si>
    <t>Lump sum rates</t>
  </si>
  <si>
    <t>Annuity purchase rates</t>
  </si>
  <si>
    <t>12|ä 43(12)</t>
  </si>
  <si>
    <t>13|ä 43(12)</t>
  </si>
  <si>
    <t>14|ä 43(12)</t>
  </si>
  <si>
    <t>15|ä 43(12)</t>
  </si>
  <si>
    <t>16|ä 43(12)</t>
  </si>
  <si>
    <t>17|ä 43(12)</t>
  </si>
  <si>
    <t>18|ä 43(12)</t>
  </si>
  <si>
    <t>19|ä 43(12)</t>
  </si>
  <si>
    <t>20|ä 43(12)</t>
  </si>
  <si>
    <t>21|ä 43(12)</t>
  </si>
  <si>
    <t>22|ä 43(12)</t>
  </si>
  <si>
    <t>1|ä 60(12)</t>
  </si>
  <si>
    <t>2|ä 60(12)</t>
  </si>
  <si>
    <t>3|ä 60(12)</t>
  </si>
  <si>
    <t>4|ä 60(12)</t>
  </si>
  <si>
    <t>5|ä 60(12)</t>
  </si>
  <si>
    <t>Hypothetical Wind Up Annuity Factors:</t>
  </si>
  <si>
    <t>Going Concern Liabilities</t>
  </si>
  <si>
    <t>Solvency Ratio</t>
  </si>
  <si>
    <t>Transfer Ratio</t>
  </si>
  <si>
    <t>Maximum permissible employer contributions for 2024</t>
  </si>
  <si>
    <t>Link final results below and show all work including formulas in the workspace provided to the right (in Excel).</t>
  </si>
  <si>
    <t>(d)</t>
  </si>
  <si>
    <t>Solvency Liabilities</t>
  </si>
  <si>
    <t>Actuarial Value of Assets</t>
  </si>
  <si>
    <t>Hypothetical Wind Up Assets</t>
  </si>
  <si>
    <t>Hypothetical Wind Up Liabilities</t>
  </si>
  <si>
    <t>Available Actuarial Surplus at December 31, 2024</t>
  </si>
  <si>
    <t>Minimum required employer contributions for 2025</t>
  </si>
  <si>
    <t>Market value of assets</t>
  </si>
  <si>
    <t>Describe the regulatory requirements and process for determining the minimum required and maximum permissible funding requirements in 2025</t>
  </si>
  <si>
    <t>Maximum permissible employer contributions for 2025</t>
  </si>
  <si>
    <t>(22 points)</t>
  </si>
  <si>
    <t>(8 points)</t>
  </si>
  <si>
    <t>(4 points)</t>
  </si>
  <si>
    <t>(3 points)</t>
  </si>
  <si>
    <t>Information for calculation of the Provision for Adverse Deviation:</t>
  </si>
  <si>
    <t>Under age 45</t>
  </si>
  <si>
    <t>Age 62 with 20 or more years of service</t>
  </si>
  <si>
    <t>Going concern normal cost</t>
  </si>
  <si>
    <t>Esimated Going Concern Liabilities</t>
  </si>
  <si>
    <t>Estimated Hypothetical Wind Up Liabilities</t>
  </si>
  <si>
    <t>Estimated Funding excess (shortfall)</t>
  </si>
  <si>
    <t>Estimated Hypothetical wind-up excess (shortfall)</t>
  </si>
  <si>
    <t>(e)</t>
  </si>
  <si>
    <t>Transfer ratio</t>
  </si>
  <si>
    <t>Assumption and Liability Information:</t>
  </si>
  <si>
    <t>Assumptions</t>
  </si>
  <si>
    <t>RETFRC Fall 2024</t>
  </si>
  <si>
    <t>Question 3</t>
  </si>
  <si>
    <t>Your client sponsors a contributory defined benefit pension plan with Ontario members only.</t>
  </si>
  <si>
    <t>1.75% of final 3-year average earnings</t>
  </si>
  <si>
    <t>6.5% of previous year earnings, contributed at the beginning of the year.
Assume employee contribution balances would not generate any excess contributons.</t>
  </si>
  <si>
    <t>Retirement benefit</t>
  </si>
  <si>
    <t>Member contribution requirements</t>
  </si>
  <si>
    <t>Normal retirement age (NRA)</t>
  </si>
  <si>
    <t>Earliest retirement age</t>
  </si>
  <si>
    <t>Unreduced early retirement age (UERA)</t>
  </si>
  <si>
    <t>Early retirement reduction</t>
  </si>
  <si>
    <t>Termination benefits</t>
  </si>
  <si>
    <t>Form of payment</t>
  </si>
  <si>
    <t>Pre-retirement cost of living adjustment</t>
  </si>
  <si>
    <t>Post-retirement cost of living adjustment</t>
  </si>
  <si>
    <t>Discount rate</t>
  </si>
  <si>
    <t>Inflation</t>
  </si>
  <si>
    <t>Salary increase</t>
  </si>
  <si>
    <t>Pre-retirement mortality</t>
  </si>
  <si>
    <t>Actuarial cost method</t>
  </si>
  <si>
    <t>Termination rates</t>
  </si>
  <si>
    <t>Form of benefit elected</t>
  </si>
  <si>
    <t>Assets</t>
  </si>
  <si>
    <t>The following information is as at December 31, 2023:</t>
  </si>
  <si>
    <r>
      <rPr>
        <u/>
        <sz val="12"/>
        <color rgb="FF002060"/>
        <rFont val="Times New Roman"/>
        <family val="1"/>
      </rPr>
      <t>20 or more years of service:</t>
    </r>
    <r>
      <rPr>
        <sz val="12"/>
        <color rgb="FF002060"/>
        <rFont val="Times New Roman"/>
        <family val="1"/>
      </rPr>
      <t xml:space="preserve"> benefit reduced by 5.0% per year from age 60</t>
    </r>
  </si>
  <si>
    <r>
      <rPr>
        <u/>
        <sz val="12"/>
        <color rgb="FF002060"/>
        <rFont val="Times New Roman"/>
        <family val="1"/>
      </rPr>
      <t>Less than 20 years of service</t>
    </r>
    <r>
      <rPr>
        <i/>
        <u/>
        <sz val="12"/>
        <color rgb="FF002060"/>
        <rFont val="Times New Roman"/>
        <family val="1"/>
      </rPr>
      <t>:</t>
    </r>
    <r>
      <rPr>
        <sz val="12"/>
        <color rgb="FF002060"/>
        <rFont val="Times New Roman"/>
        <family val="1"/>
      </rPr>
      <t xml:space="preserve"> actuarial equivalent to NRA</t>
    </r>
  </si>
  <si>
    <r>
      <rPr>
        <sz val="12"/>
        <color rgb="FF002060"/>
        <rFont val="Times New Roman"/>
        <family val="1"/>
      </rPr>
      <t xml:space="preserve">ä </t>
    </r>
    <r>
      <rPr>
        <vertAlign val="subscript"/>
        <sz val="12"/>
        <color rgb="FF002060"/>
        <rFont val="Times New Roman"/>
        <family val="1"/>
      </rPr>
      <t xml:space="preserve">60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</si>
  <si>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61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</si>
  <si>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62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</si>
  <si>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63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</si>
  <si>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64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</si>
  <si>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65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</si>
  <si>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75 </t>
    </r>
    <r>
      <rPr>
        <vertAlign val="superscript"/>
        <sz val="12"/>
        <color rgb="FF002060"/>
        <rFont val="Times New Roman"/>
        <family val="1"/>
      </rPr>
      <t>(12)</t>
    </r>
    <r>
      <rPr>
        <vertAlign val="subscript"/>
        <sz val="12"/>
        <color rgb="FF002060"/>
        <rFont val="Times New Roman"/>
        <family val="1"/>
      </rPr>
      <t xml:space="preserve"> (J&amp;S 60%)</t>
    </r>
  </si>
  <si>
    <r>
      <rPr>
        <sz val="12"/>
        <color rgb="FF002060"/>
        <rFont val="Times New Roman"/>
        <family val="1"/>
      </rPr>
      <t xml:space="preserve">ä </t>
    </r>
    <r>
      <rPr>
        <vertAlign val="subscript"/>
        <sz val="12"/>
        <color rgb="FF002060"/>
        <rFont val="Times New Roman"/>
        <family val="1"/>
      </rPr>
      <t xml:space="preserve">75 73 </t>
    </r>
    <r>
      <rPr>
        <vertAlign val="superscript"/>
        <sz val="12"/>
        <color rgb="FF002060"/>
        <rFont val="Times New Roman"/>
        <family val="1"/>
      </rPr>
      <t>(12)</t>
    </r>
    <r>
      <rPr>
        <vertAlign val="subscript"/>
        <sz val="12"/>
        <color rgb="FF002060"/>
        <rFont val="Times New Roman"/>
        <family val="1"/>
      </rPr>
      <t xml:space="preserve"> (J&amp;S 60%)</t>
    </r>
  </si>
  <si>
    <t>Actuarial Assumptions and Methods</t>
  </si>
  <si>
    <t>Going Concern Assumptions</t>
  </si>
  <si>
    <t>Explicit expense allowance for administrative expenses</t>
  </si>
  <si>
    <t>Retirement age (actives)</t>
  </si>
  <si>
    <t>Retirement age (deferred)</t>
  </si>
  <si>
    <t>Assume retirement at NRA</t>
  </si>
  <si>
    <t>100% of members elect to receive an immediate or deferred pension from the plan</t>
  </si>
  <si>
    <t>Termination assumption (from active status)</t>
  </si>
  <si>
    <t>Plan type (closed)</t>
  </si>
  <si>
    <t>Asset allocation component (non-fixed income percentage is 55%)</t>
  </si>
  <si>
    <t>Benchmark discount rate (BDR)</t>
  </si>
  <si>
    <t>Exclusions from solvency liabilities</t>
  </si>
  <si>
    <t>Form of benefit settlement elected by members</t>
  </si>
  <si>
    <t>Active and deferred members</t>
  </si>
  <si>
    <t>Pensioners</t>
  </si>
  <si>
    <t>100% elect annuity purchase</t>
  </si>
  <si>
    <t>Basis for benefits assumed to be settled through a lump sum</t>
  </si>
  <si>
    <t>Non indexed rates</t>
  </si>
  <si>
    <t>100% indexed rates</t>
  </si>
  <si>
    <t>100% elect lump sum</t>
  </si>
  <si>
    <t>Basis for benefits assumed to be settled through the purchase of an annuity</t>
  </si>
  <si>
    <t>4.60%</t>
  </si>
  <si>
    <t>1.40%</t>
  </si>
  <si>
    <t>Termination expenses</t>
  </si>
  <si>
    <t>Retirement age</t>
  </si>
  <si>
    <t>Membership information:</t>
  </si>
  <si>
    <t>Active members</t>
  </si>
  <si>
    <t>Earnings for 2021</t>
  </si>
  <si>
    <t>Earnings for 2022</t>
  </si>
  <si>
    <t>Earnings for 2023</t>
  </si>
  <si>
    <t>Years of service</t>
  </si>
  <si>
    <t>Deferred member</t>
  </si>
  <si>
    <t>Age at termination</t>
  </si>
  <si>
    <t>Service at termination</t>
  </si>
  <si>
    <t>Annual deferred pension</t>
  </si>
  <si>
    <t>Termination type</t>
  </si>
  <si>
    <t>Pensioner</t>
  </si>
  <si>
    <t>Spouse's age</t>
  </si>
  <si>
    <t>Retirement date</t>
  </si>
  <si>
    <t>January 1, 2024 annual pension</t>
  </si>
  <si>
    <t>Form of pension</t>
  </si>
  <si>
    <t>Market value of assets at December 31, 2023</t>
  </si>
  <si>
    <t>Calculate the funded status of the plan on going concern, solvency and hypothetical wind up bases.</t>
  </si>
  <si>
    <t>You are given the following information as at December 31, 2024:</t>
  </si>
  <si>
    <t>Asses information:</t>
  </si>
  <si>
    <t>December 31, 2024 market value</t>
  </si>
  <si>
    <t>Pensions paid during 2024</t>
  </si>
  <si>
    <t>Hypothetical wind-up incremental cost</t>
  </si>
  <si>
    <t>No change from the prior valuation</t>
  </si>
  <si>
    <t>Calculate the extrapolated  going concern and hypothetical wind up funded positions as at December 31, 2024.</t>
  </si>
  <si>
    <t>Calculate the minimum required and maximum permissible employer contributions for 2025 assuming you are not filing a complete actuarial valuaion as at December 31, 2024.</t>
  </si>
  <si>
    <t>4|ä 61(12)</t>
  </si>
  <si>
    <t xml:space="preserve">Calculate the available actuarial surplus and minimum required and maximum permissible employer contributions for 2024. </t>
  </si>
  <si>
    <t>Answer question here:</t>
  </si>
  <si>
    <t>Voluntary</t>
  </si>
  <si>
    <t>45 and over</t>
  </si>
  <si>
    <t>Part (a)</t>
  </si>
  <si>
    <t>Normal Cost</t>
  </si>
  <si>
    <t>Salary</t>
  </si>
  <si>
    <t>Interest</t>
  </si>
  <si>
    <t>Time</t>
  </si>
  <si>
    <t>Service</t>
  </si>
  <si>
    <t>Benefit</t>
  </si>
  <si>
    <t>q_t</t>
  </si>
  <si>
    <t>q_r</t>
  </si>
  <si>
    <t>l_x</t>
  </si>
  <si>
    <t>PV Factor</t>
  </si>
  <si>
    <t>v</t>
  </si>
  <si>
    <t>Member ID2</t>
  </si>
  <si>
    <t>FAE3</t>
  </si>
  <si>
    <t>Projected benefit</t>
  </si>
  <si>
    <t>Accrued benefit</t>
  </si>
  <si>
    <t>1 - ERF</t>
  </si>
  <si>
    <t>Annuity (indexed)</t>
  </si>
  <si>
    <t>Annuity (non-indexed)</t>
  </si>
  <si>
    <t>AE</t>
  </si>
  <si>
    <t>AL Indexed</t>
  </si>
  <si>
    <t>AL Non-Indexed</t>
  </si>
  <si>
    <t>NC</t>
  </si>
  <si>
    <t>Member ID1</t>
  </si>
  <si>
    <t>Annuity indexed</t>
  </si>
  <si>
    <t>Annuity non-indexed</t>
  </si>
  <si>
    <t>AL indexed</t>
  </si>
  <si>
    <t>AL non-indexed</t>
  </si>
  <si>
    <t>Member ID4</t>
  </si>
  <si>
    <t>Member ID 2</t>
  </si>
  <si>
    <t>Accrued Benefit</t>
  </si>
  <si>
    <t xml:space="preserve">Annuity indexed </t>
  </si>
  <si>
    <t>CV indexed</t>
  </si>
  <si>
    <t>CV non-indexed</t>
  </si>
  <si>
    <t>Best age = EURD (since only eligible to deferred to 65)</t>
  </si>
  <si>
    <t>Member ID 1</t>
  </si>
  <si>
    <t>Component</t>
  </si>
  <si>
    <t>Part (d)</t>
  </si>
  <si>
    <t>Answer in Word document</t>
  </si>
  <si>
    <t>Available actuarial surplus = lesser of the above</t>
  </si>
  <si>
    <t>Actuarial Excess (GC)</t>
  </si>
  <si>
    <t>Funding Excess (shortfall)</t>
  </si>
  <si>
    <t>Total AL</t>
  </si>
  <si>
    <t>AL (rollforward) = (AL + NC)*(1+DR) - PBEN *(1+DR/2)</t>
  </si>
  <si>
    <t>Solv (non-ind)</t>
  </si>
  <si>
    <t>WU (indexed)</t>
  </si>
  <si>
    <t>non-indexed</t>
  </si>
  <si>
    <t>indexed</t>
  </si>
  <si>
    <t>WU/Solv AL</t>
  </si>
  <si>
    <t>Going Concern AL</t>
  </si>
  <si>
    <t>Dec 31 2024</t>
  </si>
  <si>
    <t>WU DR</t>
  </si>
  <si>
    <t>DR</t>
  </si>
  <si>
    <t>Hypothetical WU incremental cost</t>
  </si>
  <si>
    <t>ER contribution</t>
  </si>
  <si>
    <t>EE contribution (6.5%)</t>
  </si>
  <si>
    <t>Total CSC (with expenses)</t>
  </si>
  <si>
    <t>PfAD (expenses)</t>
  </si>
  <si>
    <t>Explicit expenses</t>
  </si>
  <si>
    <t>Earnings 2024</t>
  </si>
  <si>
    <t>Earnings 2023</t>
  </si>
  <si>
    <t xml:space="preserve">Member </t>
  </si>
  <si>
    <t>ss</t>
  </si>
  <si>
    <t>Member ID3</t>
  </si>
  <si>
    <t>Deferred to 65</t>
  </si>
  <si>
    <t>Going concern liabilities</t>
  </si>
  <si>
    <t>WU</t>
  </si>
  <si>
    <t>Solv</t>
  </si>
  <si>
    <t>FAE</t>
  </si>
  <si>
    <t>Optimal Value</t>
  </si>
  <si>
    <t>Liability</t>
  </si>
  <si>
    <t>Grow-in - Yes</t>
  </si>
  <si>
    <t>20 years of service at:</t>
  </si>
  <si>
    <t>Index LS</t>
  </si>
  <si>
    <t>Member Age</t>
  </si>
  <si>
    <t>ERF</t>
  </si>
  <si>
    <t>Factor</t>
  </si>
  <si>
    <t>Solvency/ hypothetical wind-up liabilities</t>
  </si>
  <si>
    <t>Reduced PBEN</t>
  </si>
  <si>
    <t>Non-index LS</t>
  </si>
  <si>
    <t>AL Index</t>
  </si>
  <si>
    <t>AL Non-Index</t>
  </si>
  <si>
    <t>Max</t>
  </si>
  <si>
    <t>Earliest Unred (Age 60)</t>
  </si>
  <si>
    <t>&lt;- used age 60 based on reduction formula. For candidates using age 62 based on plan provision, marks will not be deducted as a result.</t>
  </si>
  <si>
    <t>Member has less than 20 years of service, only eligible for early retirement deferred to 65 benefit or pension benefit will be reduced based on actuarial equivalent factor and hence, CV will be the same at all ages.</t>
  </si>
  <si>
    <t>Solvency/ Hypothetical Wind-up Liabilities</t>
  </si>
  <si>
    <t>Calculate the liabilities:</t>
  </si>
  <si>
    <t>Going Concern</t>
  </si>
  <si>
    <t>Assets in excess of 105% wind up liabilities</t>
  </si>
  <si>
    <t>Normal cost</t>
  </si>
  <si>
    <t>Use of surplus</t>
  </si>
  <si>
    <t>CSC Contributions</t>
  </si>
  <si>
    <t>CSC Pfad</t>
  </si>
  <si>
    <t>Remaining available surplus</t>
  </si>
  <si>
    <t>Going concern funded ratio</t>
  </si>
  <si>
    <t>Going concern ratio &gt; 125%?</t>
  </si>
  <si>
    <t>Maximum Permissible contributions</t>
  </si>
  <si>
    <t>calculated using non-indexed rates</t>
  </si>
  <si>
    <t xml:space="preserve">Part (b) and (e) </t>
  </si>
  <si>
    <t>The ILM method results in a more level accrued liability and normal cost over the participant's career.</t>
  </si>
  <si>
    <t>The PUC method results in the accrued liability and normal cost calculations that increase over time as the participant gets closer to retirement</t>
  </si>
  <si>
    <t>The PUC method allocates the accrued liability and normal cost based on the participant's service completed, while the individual level premium method allocates evenly over the participant's expected total service in the plan.</t>
  </si>
  <si>
    <t>The PUC method bases the calculations on projected pay (depending on whether calculating at termination or retirement), while the ILM method uses the present value of the projected benefit.</t>
  </si>
  <si>
    <t>(C)</t>
  </si>
  <si>
    <t>PV(Benefits)</t>
  </si>
  <si>
    <t>Show all work, including each step of the calculation separately, in the workspace provided to the right (in Excel).</t>
  </si>
  <si>
    <r>
      <t xml:space="preserve">(c)      </t>
    </r>
    <r>
      <rPr>
        <i/>
        <sz val="11"/>
        <color rgb="FF002060"/>
        <rFont val="Times New Roman"/>
        <family val="1"/>
      </rPr>
      <t>(2 points)</t>
    </r>
    <r>
      <rPr>
        <sz val="11"/>
        <color rgb="FF002060"/>
        <rFont val="Times New Roman"/>
        <family val="1"/>
      </rPr>
      <t xml:space="preserve"> Explain in words, why the results from (a) and (b) above are different.</t>
    </r>
  </si>
  <si>
    <t>Withdrawal</t>
  </si>
  <si>
    <t>Retirement</t>
  </si>
  <si>
    <t>PVFY</t>
  </si>
  <si>
    <t>PVRj</t>
  </si>
  <si>
    <t>Survival</t>
  </si>
  <si>
    <t>Reduction</t>
  </si>
  <si>
    <t>Year</t>
  </si>
  <si>
    <t>PV(Ben)</t>
  </si>
  <si>
    <t>Probability</t>
  </si>
  <si>
    <t>Discount</t>
  </si>
  <si>
    <t>Annuity Factor</t>
  </si>
  <si>
    <t>Member B</t>
  </si>
  <si>
    <t>Member A</t>
  </si>
  <si>
    <r>
      <t xml:space="preserve">(b)      </t>
    </r>
    <r>
      <rPr>
        <i/>
        <sz val="11"/>
        <color rgb="FF002060"/>
        <rFont val="Times New Roman"/>
        <family val="1"/>
      </rPr>
      <t>(3 points)</t>
    </r>
    <r>
      <rPr>
        <sz val="11"/>
        <color rgb="FF002060"/>
        <rFont val="Times New Roman"/>
        <family val="1"/>
      </rPr>
      <t xml:space="preserve"> Calculate the accrued liability and normal cost as at January 1, 2024 using the Individual Level Premium cost method.</t>
    </r>
  </si>
  <si>
    <t>(B) Individual Level Premium</t>
  </si>
  <si>
    <r>
      <t xml:space="preserve">(a)      </t>
    </r>
    <r>
      <rPr>
        <i/>
        <sz val="11"/>
        <color rgb="FF002060"/>
        <rFont val="Times New Roman"/>
        <family val="1"/>
      </rPr>
      <t>(4 points)</t>
    </r>
    <r>
      <rPr>
        <sz val="11"/>
        <color rgb="FF002060"/>
        <rFont val="Times New Roman"/>
        <family val="1"/>
      </rPr>
      <t xml:space="preserve"> Calculate the accrued liability and normal cost as at January 1, 2024 using the projected unit credit, prorated on service actuarial cost method.</t>
    </r>
  </si>
  <si>
    <t>&lt;- does not include withdrawal NC because decrement is at the beginning of the year.</t>
  </si>
  <si>
    <t>Accrued Liability</t>
  </si>
  <si>
    <t xml:space="preserve"> </t>
  </si>
  <si>
    <t xml:space="preserve">Annuity Factors:  </t>
  </si>
  <si>
    <t>$220,000 </t>
  </si>
  <si>
    <t>Earnings (2023)</t>
  </si>
  <si>
    <t>15 years</t>
  </si>
  <si>
    <t>10 years</t>
  </si>
  <si>
    <t xml:space="preserve">Years of Service </t>
  </si>
  <si>
    <t>Current Age</t>
  </si>
  <si>
    <t>Participant Data at January 1, 2024:</t>
  </si>
  <si>
    <t>Other pre-retirement decrements</t>
  </si>
  <si>
    <t>5% per year prior to age 40, 0% thereafter</t>
  </si>
  <si>
    <t>40% at age 55; remainder at age 65</t>
  </si>
  <si>
    <t>Retirement rates</t>
  </si>
  <si>
    <t>Beginning of year</t>
  </si>
  <si>
    <t>Decrements</t>
  </si>
  <si>
    <t>3.25% per year</t>
  </si>
  <si>
    <t>Salary increase rate</t>
  </si>
  <si>
    <t>4.5% per year</t>
  </si>
  <si>
    <t>Actuarial assumptions and methods:</t>
  </si>
  <si>
    <t>Accrued pension deferred to normal retirement age.</t>
  </si>
  <si>
    <t xml:space="preserve">Termination benefit </t>
  </si>
  <si>
    <t>3% per year prior to normal retirement age</t>
  </si>
  <si>
    <t>Early retirement age</t>
  </si>
  <si>
    <t>Normal retirement age</t>
  </si>
  <si>
    <t>Life only, payable monthly in advance</t>
  </si>
  <si>
    <t>Normal form of payment</t>
  </si>
  <si>
    <t>1.25% of final year’s earnings per year of service</t>
  </si>
  <si>
    <t>PUC rAtio</t>
  </si>
  <si>
    <t>PUC Ratio</t>
  </si>
  <si>
    <t>AL</t>
  </si>
  <si>
    <t>PVFB</t>
  </si>
  <si>
    <t>prior to plan implementation.</t>
  </si>
  <si>
    <t xml:space="preserve">Your client established a new non-contributory defined benefit pension plan as at January 1, 2024, which will recognize service </t>
  </si>
  <si>
    <t>(9 points)</t>
  </si>
  <si>
    <t>(A) Projected Unit Credit</t>
  </si>
  <si>
    <t>Question 4</t>
  </si>
  <si>
    <t>Describe the regulatory wind-up process in Ontario.</t>
  </si>
  <si>
    <t>Solution is highlighted in yellow</t>
  </si>
  <si>
    <t>Calculate the wind-up funded status of the plan as at December 31, 2024 and contribution requirements for 2025.</t>
  </si>
  <si>
    <t>x = 58</t>
  </si>
  <si>
    <t xml:space="preserve">d = </t>
  </si>
  <si>
    <t>x = 50</t>
  </si>
  <si>
    <t>Lump Sum rates:</t>
  </si>
  <si>
    <t>Annuity Purchase rates:</t>
  </si>
  <si>
    <t>3-year average YMPE as at December 31, 2024:</t>
  </si>
  <si>
    <t>Market value of assets as at December 31, 2024:</t>
  </si>
  <si>
    <t>Additiona Information:</t>
  </si>
  <si>
    <t>Service (years):</t>
  </si>
  <si>
    <t>Earnings for 2024:</t>
  </si>
  <si>
    <t>Earnings for 2023:</t>
  </si>
  <si>
    <t>Earnings for 2022:</t>
  </si>
  <si>
    <t>Age (years):</t>
  </si>
  <si>
    <t>Participant data as at December 31, 2024:</t>
  </si>
  <si>
    <t>Termination Expenses:</t>
  </si>
  <si>
    <t>- Interest rate:</t>
  </si>
  <si>
    <t>4.00% for 10 years, 4.50% thereafter</t>
  </si>
  <si>
    <t>- Discount rate:</t>
  </si>
  <si>
    <t>75% annuity purchase
25% lump sum election</t>
  </si>
  <si>
    <t>- Active over 55:</t>
  </si>
  <si>
    <t>100% lump sum election</t>
  </si>
  <si>
    <t>- Active under 55:</t>
  </si>
  <si>
    <t>Form of benefit settlement elected by member</t>
  </si>
  <si>
    <t>Wind-up assumptions:</t>
  </si>
  <si>
    <t>Pre and Post-retirement annual indexation:</t>
  </si>
  <si>
    <t>With 10 or more years of service: 6% per year from age 60</t>
  </si>
  <si>
    <t>Retirement prior to 10 years of service: actuarial reduction</t>
  </si>
  <si>
    <t>Early retirement reduction:</t>
  </si>
  <si>
    <t>60 with 10 years of service</t>
  </si>
  <si>
    <t>Unreduced early retirement age:</t>
  </si>
  <si>
    <t>Earliest retirement age:</t>
  </si>
  <si>
    <t>Normal retirement age:</t>
  </si>
  <si>
    <t>Normal form of payment:</t>
  </si>
  <si>
    <t>1% up to the 3-year average YMPE plus 1.5% of the 3-year final average earnings above the 3-year average YMPE, multiplied by years of credited service</t>
  </si>
  <si>
    <t>Retirement benefit:</t>
  </si>
  <si>
    <t>Plan provisions:</t>
  </si>
  <si>
    <t>You are given:</t>
  </si>
  <si>
    <t xml:space="preserve">Company ABC sponsors a defined benefit pension plan registered in Ontario and has decided to wind up the plan effective December 31, 2024.  </t>
  </si>
  <si>
    <t xml:space="preserve"> (8 points)</t>
  </si>
  <si>
    <t>Question 5</t>
  </si>
  <si>
    <t>Administrator must provide written notice to FSRA and CRA within 30 days after final distribution of the assets and cancel plan registration</t>
  </si>
  <si>
    <t>Plan de-registration</t>
  </si>
  <si>
    <t>Administrator has 60 days to make surplus payment</t>
  </si>
  <si>
    <t>Payment of surplus</t>
  </si>
  <si>
    <t>If the employer applies for a surplus sharing agreement between employer and members, the employer must demonstrate entitlement to the surplus under the plan’s historical terms and secure the agreement of 2/3 of the affected parties (Consent from affected members from Quebec is not required)</t>
  </si>
  <si>
    <t>Within 60 days after receiving windup approval, the administrator must issue a surplus notice to all affected parties, detailing the surplus amount and available distribution options. Affected parties have 90 days to elect their preferred option.</t>
  </si>
  <si>
    <t>Surplus notice</t>
  </si>
  <si>
    <r>
      <t xml:space="preserve">The administrator must file the </t>
    </r>
    <r>
      <rPr>
        <b/>
        <u/>
        <sz val="10"/>
        <color rgb="FF7030A0"/>
        <rFont val="Arial1"/>
      </rPr>
      <t>final</t>
    </r>
    <r>
      <rPr>
        <sz val="10"/>
        <color rgb="FF7030A0"/>
        <rFont val="Arial1"/>
      </rPr>
      <t xml:space="preserve"> Annual Information Return (AIR), Pension Benefits Guarantee Fund Assessment Certificate (PBGF) and audited plan financial statements within 6 months after the windup date. </t>
    </r>
  </si>
  <si>
    <t>Final plan required government filings</t>
  </si>
  <si>
    <t>The administrator needs to deposit any required deficit contribution to the pension fund according to the windup report</t>
  </si>
  <si>
    <t>Plan funding</t>
  </si>
  <si>
    <t>The administrator must prepare the necessary data for the annuity purchase, send specifications to insurers, conduct due diligence on potential insurers and review sample contracts, assess the qualitative measures of the insurer and annuity purchase quotes, and transfer annuity purchase premiums to selected insurer</t>
  </si>
  <si>
    <t>Annuity purchase</t>
  </si>
  <si>
    <t xml:space="preserve">Upon receiving FSRA’s approval, the administrator has 60 days to distribute the benefits according to the elected option (either as lump sum payments or through annuity purchase) subject to any restriction imposed by the Superintendent </t>
  </si>
  <si>
    <t>Benefit distribution</t>
  </si>
  <si>
    <t xml:space="preserve">Members already receiving payments will be informed that an annuity will be purchased for them.  </t>
  </si>
  <si>
    <t xml:space="preserve">Active and deferred member can choose between a commuted value and annuity options and have 90 days to make their election, with the default option being a deferred annuity. </t>
  </si>
  <si>
    <t xml:space="preserve">The administrator is required to issue statement that outlining each individual’s benefits and the options available under the plan. </t>
  </si>
  <si>
    <t>Windup option statements</t>
  </si>
  <si>
    <t>Once the report compiles with regulations, FSRA will recommend that the Superintendent approve it</t>
  </si>
  <si>
    <t>FSRA reviews the wind up report and supporting documents submitted by the plan administrator. If the documentation is incomplete, FSRA will contact the administrator to request additional information.</t>
  </si>
  <si>
    <t xml:space="preserve">Approval from FSRA </t>
  </si>
  <si>
    <t>·       The Ontario windup checklist  (Superintendent’s checklist)</t>
  </si>
  <si>
    <t>·       A listing of benefit entitlements for all members affected by the windup</t>
  </si>
  <si>
    <t>·       The proposed treatment of surplus or deficit</t>
  </si>
  <si>
    <t>·       The method of allocating and distributing assets of the plan and surplus</t>
  </si>
  <si>
    <t xml:space="preserve">·       Details of the benefits to be provided, including any additional benefits under the windup </t>
  </si>
  <si>
    <t>·       Assets and liabilities as of the windup date</t>
  </si>
  <si>
    <t>·       The reason for the wind up and effective date</t>
  </si>
  <si>
    <t xml:space="preserve">Within 6 months of the windup date, the plan administrator must file a windup report, prepared by the plan actuary. This report must comply with the regulations under the Pension Benefits Act of Ontario and including the following details: </t>
  </si>
  <si>
    <t>Windup valuation report (Key document)</t>
  </si>
  <si>
    <t xml:space="preserve">·       Collect current address and proof of ages </t>
  </si>
  <si>
    <t>·       Confirm the survivorship of pensioners and beneficiaries</t>
  </si>
  <si>
    <t xml:space="preserve">·       Identify deferred vested members with grow-in rights </t>
  </si>
  <si>
    <t>·       Locate any missing members and those with outstanding benefits from the plan</t>
  </si>
  <si>
    <t xml:space="preserve">·       Update any missing information in the data </t>
  </si>
  <si>
    <t>·       Verify membership counts and demographic information, and reconcile these with the data from the previous valuation</t>
  </si>
  <si>
    <t xml:space="preserve">·       Review each data element that impacts members’ entitlements against the most recent member statements (annual statements for active and biennial inactive statement for deferred/pensioners) </t>
  </si>
  <si>
    <t>To ensure accurate and complete data for settling benefit at windup, the following data audit steps should be taken:</t>
  </si>
  <si>
    <t xml:space="preserve">Review and clean up data </t>
  </si>
  <si>
    <t>If there is any benefit improvements in conjunction with the windup, an amendment need to be filed in advance of the windup process</t>
  </si>
  <si>
    <t>Adopt a Board resolution to terminate the defined benefit plan</t>
  </si>
  <si>
    <t>Board resolution and amendment</t>
  </si>
  <si>
    <t xml:space="preserve">The administrator must ensure the plan provision accurately reflects all recent and past amendments, including the application of grow-in and special benefits upon plan windup, as well as benefits related to the plan closure. It is essential that these provisions align with the plan documents previously filed with FSRA. </t>
  </si>
  <si>
    <t xml:space="preserve">Plan provision </t>
  </si>
  <si>
    <t xml:space="preserve">The employer is required to notify the affected parties of the intent to windup the pension plan. Affected parties include current and former plan members, pensioners and beneficiaries, the union, FSRA and the trustee. </t>
  </si>
  <si>
    <t>Windup Notice</t>
  </si>
  <si>
    <t>The employer decides to windup the pension or the FSRA (Superintendent) can order the windup of the pension plan</t>
  </si>
  <si>
    <t>Wind up decision</t>
  </si>
  <si>
    <t>Description</t>
  </si>
  <si>
    <t>Item</t>
  </si>
  <si>
    <t>Solution is in purple</t>
  </si>
  <si>
    <t>however, the plan is restricted from paying out commuted values or purchasing annuities until the deficit is fully funded.</t>
  </si>
  <si>
    <t>Alternatively, the funding deficit may be amortized over five years rather than making one lump sum contribution,</t>
  </si>
  <si>
    <t>The administrator is required to make a deficit contribution of $30,197 as a single lump sum payment.</t>
  </si>
  <si>
    <t>Calculate the contribution requirement for 2025</t>
  </si>
  <si>
    <t>Windup Surplus (unfunded Windup Liability)</t>
  </si>
  <si>
    <t>WU liability</t>
  </si>
  <si>
    <t>Total windup value of assets</t>
  </si>
  <si>
    <t>Wind up expense</t>
  </si>
  <si>
    <t>Windup Value of Assets</t>
  </si>
  <si>
    <t>(4 point)</t>
  </si>
  <si>
    <t>CV liability</t>
  </si>
  <si>
    <t>AP liability</t>
  </si>
  <si>
    <t>CV factor</t>
  </si>
  <si>
    <t>AP factor</t>
  </si>
  <si>
    <t>Grow in flag</t>
  </si>
  <si>
    <t>AP Blending</t>
  </si>
  <si>
    <t xml:space="preserve">Benefit </t>
  </si>
  <si>
    <t>Final CV</t>
  </si>
  <si>
    <t>Average YMPE</t>
  </si>
  <si>
    <t>EURA CV</t>
  </si>
  <si>
    <t>Max CV</t>
  </si>
  <si>
    <t>Max AP</t>
  </si>
  <si>
    <t>Calculate the Windup funded status of the plan as at December 31, 2024</t>
  </si>
  <si>
    <t>LO 3, 5, 6</t>
  </si>
  <si>
    <t>Question Idea O</t>
  </si>
  <si>
    <t>End of Year</t>
  </si>
  <si>
    <t>Misc.</t>
  </si>
  <si>
    <t>Smoothing</t>
  </si>
  <si>
    <t>Investment</t>
  </si>
  <si>
    <t>Expenses</t>
  </si>
  <si>
    <t>Assumption Changes</t>
  </si>
  <si>
    <t>Termination</t>
  </si>
  <si>
    <t>Mortality</t>
  </si>
  <si>
    <t>Calculate the gains and losses by source for 2024.</t>
  </si>
  <si>
    <t>Expected UAL</t>
  </si>
  <si>
    <t>Benefit Payments</t>
  </si>
  <si>
    <t>An actuarial valuation was performed as at December 31, 2024.</t>
  </si>
  <si>
    <t>Contributions</t>
  </si>
  <si>
    <t>No change</t>
  </si>
  <si>
    <t>All other assumptions for the December 31, 2024 valuation</t>
  </si>
  <si>
    <t>Beginning of Year</t>
  </si>
  <si>
    <t>Salary increase rate assumption effective December 31, 2024</t>
  </si>
  <si>
    <t>Liab</t>
  </si>
  <si>
    <t>Asset</t>
  </si>
  <si>
    <t>UAL</t>
  </si>
  <si>
    <t>Check of results</t>
  </si>
  <si>
    <t>Fund rate of return during 2024</t>
  </si>
  <si>
    <t>Contribution made on June 30, 2024</t>
  </si>
  <si>
    <t>Actual Liability</t>
  </si>
  <si>
    <t>Liability - Actual Salary</t>
  </si>
  <si>
    <t>2023 investment gain/(loss)</t>
  </si>
  <si>
    <t>Liability - Actual Decrement</t>
  </si>
  <si>
    <t>2022 investment gain/(loss)</t>
  </si>
  <si>
    <t>Expected Liability</t>
  </si>
  <si>
    <t>Additional Information</t>
  </si>
  <si>
    <t>Source</t>
  </si>
  <si>
    <t>Gain</t>
  </si>
  <si>
    <t>on December 31, 2024.</t>
  </si>
  <si>
    <t>Member B terminated and received a lump sum of</t>
  </si>
  <si>
    <t>N/A</t>
  </si>
  <si>
    <t>Actuarial liability as at December 31, 2024</t>
  </si>
  <si>
    <t>2024 normal cost</t>
  </si>
  <si>
    <t>Actuarial liability as at December 31, 2023</t>
  </si>
  <si>
    <t>Bridge Annuity</t>
  </si>
  <si>
    <t>Pension Annuity</t>
  </si>
  <si>
    <t>qr</t>
  </si>
  <si>
    <t>tpx</t>
  </si>
  <si>
    <t>Bridge</t>
  </si>
  <si>
    <t>Member A - Actual Salary</t>
  </si>
  <si>
    <r>
      <t>ä</t>
    </r>
    <r>
      <rPr>
        <vertAlign val="subscript"/>
        <sz val="12"/>
        <color rgb="FF002060"/>
        <rFont val="Times New Roman"/>
        <family val="1"/>
      </rPr>
      <t>65</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</si>
  <si>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 xml:space="preserve">64 : 1 </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</si>
  <si>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64</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</si>
  <si>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 xml:space="preserve">63 : 2 </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</si>
  <si>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63</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</si>
  <si>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 xml:space="preserve">62 : 3 </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</si>
  <si>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62</t>
    </r>
    <r>
      <rPr>
        <vertAlign val="superscript"/>
        <sz val="12"/>
        <color rgb="FF002060"/>
        <rFont val="Times New Roman"/>
        <family val="1"/>
      </rPr>
      <t>(12)</t>
    </r>
    <r>
      <rPr>
        <sz val="12"/>
        <color rgb="FF002060"/>
        <rFont val="Times New Roman"/>
        <family val="1"/>
      </rPr>
      <t xml:space="preserve"> =</t>
    </r>
  </si>
  <si>
    <t>Member A - Actual Decrement</t>
  </si>
  <si>
    <t>Annuity Factors</t>
  </si>
  <si>
    <t>2024 salary</t>
  </si>
  <si>
    <t>2023 salary</t>
  </si>
  <si>
    <t>Service (years)</t>
  </si>
  <si>
    <t>E(PVFBt+1) = (PVFBt + NCt) (1+i)</t>
  </si>
  <si>
    <t>Participant Data  at December 31, 2023</t>
  </si>
  <si>
    <t>Original Normal Cost</t>
  </si>
  <si>
    <t>Original Liability</t>
  </si>
  <si>
    <t>Investment gains and losses are amortized over three years</t>
  </si>
  <si>
    <t>Asset valuation method</t>
  </si>
  <si>
    <t>Expected Liabilities</t>
  </si>
  <si>
    <t>Timing of decrements</t>
  </si>
  <si>
    <t>Contribution Gain</t>
  </si>
  <si>
    <t>Actual Contribution</t>
  </si>
  <si>
    <t>Expected Contribution</t>
  </si>
  <si>
    <t>Rate</t>
  </si>
  <si>
    <t>Check</t>
  </si>
  <si>
    <t>Total Asset Gain</t>
  </si>
  <si>
    <t>per year</t>
  </si>
  <si>
    <t>Smoothing Gain</t>
  </si>
  <si>
    <t>Actual Smoothed Value of Assets</t>
  </si>
  <si>
    <t>Actuarial Assumptions</t>
  </si>
  <si>
    <t>Actual smoothing adjustment</t>
  </si>
  <si>
    <t>Adj = At+1 - 1/3 * 2023 Gain - 2/3 * 2024 Gain</t>
  </si>
  <si>
    <t>Expected Smoothing Adjustment</t>
  </si>
  <si>
    <t>(Expected Smoothed - Expected Market) * (1+R)</t>
  </si>
  <si>
    <t>Actuarially equivalent to the normal form of payment</t>
  </si>
  <si>
    <t>Optional forms</t>
  </si>
  <si>
    <t>Expected Smoothed Value of Assets</t>
  </si>
  <si>
    <t>Deferred pension payable at age 65. Retirement from age 55 possible on an actuarially equivalent basis</t>
  </si>
  <si>
    <t>Termination benefit</t>
  </si>
  <si>
    <t>Beginning of Year Smoothed Assets</t>
  </si>
  <si>
    <t>Members can retire as early as age 55 with a 1/4% per month reduction from NRA. 
Members who retire on or after age 62 with 25 years of service are eligible for an unreduced bridging benefit of 0.75% of final year's earnings multiplied by service, payable monthly in advance up until age 65.</t>
  </si>
  <si>
    <t>Early retirement provisions</t>
  </si>
  <si>
    <t>Beginning of Year Smoothing Adjustment</t>
  </si>
  <si>
    <t>Investment Gain</t>
  </si>
  <si>
    <t>Actual Market Value of Assets</t>
  </si>
  <si>
    <t>1.50% of final year’s earnings multiplied by service</t>
  </si>
  <si>
    <t>Normal retirement benefit</t>
  </si>
  <si>
    <t xml:space="preserve">Expected Market Value of Assets </t>
  </si>
  <si>
    <t>E(At+1) = At * (1+R) + (Cont - BP) * (1+R/2) - Exp</t>
  </si>
  <si>
    <t>Pension Plan Provisions</t>
  </si>
  <si>
    <t>Asset Related Gains</t>
  </si>
  <si>
    <t>Your client sponsors a non-contributory defined benefit pension plan with two members. The plan completes annual going concern valuations. You are given:</t>
  </si>
  <si>
    <t>(10 points)</t>
  </si>
  <si>
    <t>Gain = (UALt + NCt)(1+i) - C - Ic - UALt+1</t>
  </si>
  <si>
    <t>Question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</si>
</sst>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quot;$&quot;#,##0;[Red]\-&quot;$&quot;#,##0"/>
    <numFmt numFmtId="165" formatCode="_-* #,##0.00_-;\-* #,##0.00_-;_-* &quot;-&quot;??_-;_-@_-"/>
    <numFmt numFmtId="166" formatCode="_ * #,##0.00_)_ ;_ * \(#,##0.00\)_ ;_ * &quot;-&quot;??_)_ ;_ @_ "/>
    <numFmt numFmtId="167" formatCode="_-* #,##0.0000_-;\-* #,##0.0000_-;_-* &quot;-&quot;??_-;_-@_-"/>
    <numFmt numFmtId="168" formatCode="_-* #,##0_-;\-* #,##0_-;_-* &quot;-&quot;??_-;_-@_-"/>
    <numFmt numFmtId="169" formatCode="0.0%"/>
    <numFmt numFmtId="170" formatCode="0.00000%"/>
    <numFmt numFmtId="171" formatCode="0.0"/>
    <numFmt numFmtId="172" formatCode="_(* #,##0_);_(* \(#,##0\);_(* &quot;-&quot;??_);_(@_)"/>
    <numFmt numFmtId="173" formatCode="_-* #,##0.000_-;\-* #,##0.000_-;_-* &quot;-&quot;???_-;_-@_-"/>
    <numFmt numFmtId="174" formatCode="_-* #,##0.000_-;\-* #,##0.000_-;_-* &quot;-&quot;??_-;_-@_-"/>
    <numFmt numFmtId="175" formatCode="0.000000"/>
    <numFmt numFmtId="176" formatCode="&quot;$&quot;#,##0.00;[Red]&quot;$&quot;#,##0.00"/>
    <numFmt numFmtId="177" formatCode="0.00000"/>
    <numFmt numFmtId="178" formatCode="0.0000"/>
    <numFmt numFmtId="179" formatCode="_-&quot;$&quot;* #,##0.00_-;\-&quot;$&quot;* #,##0.00_-;_-&quot;$&quot;* &quot;-&quot;??_-;_-@_-"/>
    <numFmt numFmtId="180" formatCode="_-&quot;$&quot;* #,##0_-;\-&quot;$&quot;* #,##0_-;_-&quot;$&quot;* &quot;-&quot;??_-;_-@_-"/>
    <numFmt numFmtId="181" formatCode="&quot;$&quot;#,##0"/>
    <numFmt numFmtId="182" formatCode="_(&quot;$&quot;* #,##0_);_(&quot;$&quot;* \(#,##0\);_(&quot;$&quot;* &quot;-&quot;??_);_(@_)"/>
  </numFmts>
  <fonts count="53">
    <font>
      <sz val="11"/>
      <color theme="1"/>
      <name val="Calibri"/>
      <family val="2"/>
      <scheme val="minor"/>
    </font>
    <font>
      <b/>
      <sz val="12"/>
      <color rgb="FF002060"/>
      <name val="Times New Roman"/>
      <family val="1"/>
    </font>
    <font>
      <sz val="12"/>
      <name val="Times New Roman"/>
      <family val="1"/>
    </font>
    <font>
      <sz val="12"/>
      <color rgb="FF002060"/>
      <name val="Times New Roman"/>
      <family val="1"/>
    </font>
    <font>
      <sz val="11"/>
      <color theme="1"/>
      <name val="Calibri"/>
      <family val="2"/>
      <scheme val="minor"/>
    </font>
    <font>
      <sz val="12"/>
      <color rgb="FFFF0000"/>
      <name val="Times New Roman"/>
      <family val="1"/>
    </font>
    <font>
      <b/>
      <sz val="12"/>
      <name val="Times New Roman"/>
      <family val="1"/>
    </font>
    <font>
      <i/>
      <sz val="12"/>
      <color rgb="FF002060"/>
      <name val="Times New Roman"/>
      <family val="1"/>
    </font>
    <font>
      <i/>
      <sz val="12"/>
      <color rgb="FFFF0000"/>
      <name val="Times New Roman"/>
      <family val="1"/>
    </font>
    <font>
      <sz val="12"/>
      <color theme="1"/>
      <name val="Times New Roman"/>
      <family val="1"/>
    </font>
    <font>
      <b/>
      <u/>
      <sz val="12"/>
      <color rgb="FF002060"/>
      <name val="Times New Roman"/>
      <family val="1"/>
    </font>
    <font>
      <u/>
      <sz val="12"/>
      <color rgb="FF002060"/>
      <name val="Times New Roman"/>
      <family val="1"/>
    </font>
    <font>
      <i/>
      <u/>
      <sz val="12"/>
      <color rgb="FF002060"/>
      <name val="Times New Roman"/>
      <family val="1"/>
    </font>
    <font>
      <vertAlign val="subscript"/>
      <sz val="12"/>
      <color rgb="FF002060"/>
      <name val="Times New Roman"/>
      <family val="1"/>
    </font>
    <font>
      <vertAlign val="superscript"/>
      <sz val="12"/>
      <color rgb="FF002060"/>
      <name val="Times New Roman"/>
      <family val="1"/>
    </font>
    <font>
      <u/>
      <sz val="12"/>
      <color rgb="FF000000"/>
      <name val="Times New Roman"/>
      <family val="1"/>
    </font>
    <font>
      <sz val="12"/>
      <color rgb="FF000000"/>
      <name val="Times New Roman"/>
      <family val="1"/>
    </font>
    <font>
      <i/>
      <sz val="12"/>
      <name val="Times New Roman"/>
      <family val="1"/>
    </font>
    <font>
      <sz val="12"/>
      <color rgb="FF7030A0"/>
      <name val="Times New Roman"/>
      <family val="1"/>
    </font>
    <font>
      <b/>
      <sz val="12"/>
      <color theme="1"/>
      <name val="Times New Roman"/>
      <family val="1"/>
    </font>
    <font>
      <b/>
      <u/>
      <sz val="12"/>
      <color theme="1"/>
      <name val="Times New Roman"/>
      <family val="1"/>
    </font>
    <font>
      <b/>
      <sz val="11"/>
      <color theme="1"/>
      <name val="Calibri"/>
      <family val="2"/>
      <scheme val="minor"/>
    </font>
    <font>
      <sz val="10"/>
      <color theme="1"/>
      <name val="Calibri"/>
      <family val="2"/>
      <scheme val="minor"/>
    </font>
    <font>
      <sz val="10"/>
      <color rgb="FF002060"/>
      <name val="Times New Roman"/>
      <family val="1"/>
    </font>
    <font>
      <sz val="10"/>
      <name val="Times New Roman"/>
      <family val="1"/>
    </font>
    <font>
      <sz val="10"/>
      <color rgb="FFFF0000"/>
      <name val="Times New Roman"/>
      <family val="1"/>
    </font>
    <font>
      <sz val="11"/>
      <color rgb="FF0070C0"/>
      <name val="Calibri"/>
      <family val="2"/>
      <scheme val="minor"/>
    </font>
    <font>
      <sz val="11"/>
      <color theme="4"/>
      <name val="Calibri"/>
      <family val="2"/>
      <scheme val="minor"/>
    </font>
    <font>
      <u val="singleAccounting"/>
      <sz val="11"/>
      <color theme="4"/>
      <name val="Calibri"/>
      <family val="2"/>
      <scheme val="minor"/>
    </font>
    <font>
      <b/>
      <sz val="11"/>
      <color rgb="FF0070C0"/>
      <name val="Calibri"/>
      <family val="2"/>
      <scheme val="minor"/>
    </font>
    <font>
      <b/>
      <sz val="10"/>
      <color theme="1"/>
      <name val="Calibri"/>
      <family val="2"/>
      <scheme val="minor"/>
    </font>
    <font>
      <sz val="11"/>
      <color rgb="FFFF0000"/>
      <name val="Calibri"/>
      <family val="2"/>
      <scheme val="minor"/>
    </font>
    <font>
      <sz val="11"/>
      <name val="Calibri"/>
      <family val="2"/>
      <scheme val="minor"/>
    </font>
    <font>
      <sz val="11"/>
      <name val="Times New Roman"/>
      <family val="1"/>
    </font>
    <font>
      <b/>
      <sz val="11"/>
      <name val="Calibri"/>
      <family val="2"/>
      <scheme val="minor"/>
    </font>
    <font>
      <sz val="10"/>
      <color theme="1"/>
      <name val="Times New Roman"/>
      <family val="1"/>
    </font>
    <font>
      <b/>
      <sz val="11"/>
      <name val="Times New Roman"/>
      <family val="1"/>
    </font>
    <font>
      <b/>
      <sz val="11"/>
      <color rgb="FFFF0000"/>
      <name val="Calibri"/>
      <family val="2"/>
      <scheme val="minor"/>
    </font>
    <font>
      <sz val="11"/>
      <color rgb="FF002060"/>
      <name val="Times New Roman"/>
      <family val="1"/>
    </font>
    <font>
      <i/>
      <sz val="11"/>
      <color rgb="FF002060"/>
      <name val="Times New Roman"/>
      <family val="1"/>
    </font>
    <font>
      <i/>
      <sz val="11"/>
      <name val="Times New Roman"/>
      <family val="1"/>
    </font>
    <font>
      <u/>
      <sz val="11"/>
      <name val="Times New Roman"/>
      <family val="1"/>
    </font>
    <font>
      <strike/>
      <sz val="11"/>
      <name val="Times New Roman"/>
      <family val="1"/>
    </font>
    <font>
      <i/>
      <sz val="11"/>
      <color theme="1"/>
      <name val="Calibri"/>
      <family val="2"/>
      <scheme val="minor"/>
    </font>
    <font>
      <sz val="10"/>
      <color theme="1"/>
      <name val="Arial"/>
      <family val="2"/>
    </font>
    <font>
      <b/>
      <sz val="9"/>
      <color rgb="FFFF0000"/>
      <name val="Arial"/>
      <family val="2"/>
    </font>
    <font>
      <sz val="10"/>
      <color rgb="FF7030A0"/>
      <name val="Arial1"/>
    </font>
    <font>
      <b/>
      <u/>
      <sz val="10"/>
      <color rgb="FF7030A0"/>
      <name val="Arial1"/>
    </font>
    <font>
      <sz val="10"/>
      <color rgb="FFFF0000"/>
      <name val="Arial"/>
      <family val="2"/>
    </font>
    <font>
      <b/>
      <sz val="10"/>
      <color theme="1"/>
      <name val="Arial"/>
      <family val="2"/>
    </font>
    <font>
      <i/>
      <sz val="12"/>
      <color theme="1"/>
      <name val="Times New Roman"/>
      <family val="1"/>
    </font>
    <font>
      <sz val="12"/>
      <color rgb="FF0070C0"/>
      <name val="Times New Roman"/>
      <family val="1"/>
    </font>
    <font>
      <b/>
      <sz val="14"/>
      <color rgb="FF002060"/>
      <name val="Times New Roman"/>
      <family val="1"/>
    </font>
  </fonts>
  <fills count="9">
    <fill>
      <patternFill patternType="none"/>
    </fill>
    <fill>
      <patternFill patternType="gray125"/>
    </fill>
    <fill>
      <patternFill patternType="solid">
        <fgColor rgb="FFD9D9D9"/>
        <bgColor rgb="FF000000"/>
      </patternFill>
    </fill>
    <fill>
      <patternFill patternType="solid">
        <fgColor theme="0" tint="-0.14999847407452621"/>
        <bgColor indexed="64"/>
      </patternFill>
    </fill>
    <fill>
      <patternFill patternType="solid">
        <fgColor theme="0" tint="-0.14999847407452621"/>
        <bgColor rgb="FF000000"/>
      </patternFill>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10">
    <xf numFmtId="0" fontId="0" fillId="0" borderId="0"/>
    <xf numFmtId="165" fontId="4" fillId="0" borderId="0" applyFont="0" applyFill="0" applyBorder="0" applyAlignment="0" applyProtection="0"/>
    <xf numFmtId="9"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3" fontId="44" fillId="0" borderId="0" applyFont="0" applyFill="0" applyBorder="0" applyAlignment="0" applyProtection="0"/>
    <xf numFmtId="9" fontId="44" fillId="0" borderId="0" applyFont="0" applyFill="0" applyBorder="0" applyAlignment="0" applyProtection="0"/>
  </cellStyleXfs>
  <cellXfs count="580">
    <xf numFmtId="0" fontId="0" fillId="0" borderId="0" xfId="0"/>
    <xf numFmtId="0" fontId="1" fillId="2" borderId="0" xfId="0" applyFont="1" applyFill="1"/>
    <xf numFmtId="0" fontId="2" fillId="2" borderId="0" xfId="0" applyFont="1" applyFill="1"/>
    <xf numFmtId="0" fontId="3" fillId="2" borderId="0" xfId="0" applyFont="1" applyFill="1" applyAlignment="1">
      <alignment horizontal="left" vertical="top"/>
    </xf>
    <xf numFmtId="0" fontId="3" fillId="2" borderId="0" xfId="0" applyFont="1" applyFill="1" applyAlignment="1">
      <alignment horizontal="left" vertical="center"/>
    </xf>
    <xf numFmtId="0" fontId="1" fillId="2" borderId="0" xfId="0" applyFont="1" applyFill="1" applyAlignment="1">
      <alignment horizontal="left" vertical="center"/>
    </xf>
    <xf numFmtId="0" fontId="2" fillId="2" borderId="0" xfId="0" applyFont="1" applyFill="1" applyAlignment="1">
      <alignment horizontal="left" vertical="top"/>
    </xf>
    <xf numFmtId="0" fontId="3" fillId="2" borderId="0" xfId="0" applyFont="1" applyFill="1" applyAlignment="1">
      <alignment vertical="top"/>
    </xf>
    <xf numFmtId="0" fontId="5" fillId="4" borderId="0" xfId="0" applyFont="1" applyFill="1"/>
    <xf numFmtId="0" fontId="3" fillId="4" borderId="0" xfId="0" applyFont="1" applyFill="1" applyAlignment="1">
      <alignment horizontal="left" vertical="center"/>
    </xf>
    <xf numFmtId="0" fontId="2" fillId="4" borderId="0" xfId="0" applyFont="1" applyFill="1"/>
    <xf numFmtId="0" fontId="3" fillId="4" borderId="0" xfId="0" applyFont="1" applyFill="1" applyAlignment="1">
      <alignment horizontal="left" vertical="top"/>
    </xf>
    <xf numFmtId="0" fontId="3" fillId="4" borderId="0" xfId="0" applyFont="1" applyFill="1"/>
    <xf numFmtId="0" fontId="3" fillId="4" borderId="0" xfId="0" applyFont="1" applyFill="1" applyAlignment="1">
      <alignment horizontal="center" vertical="center"/>
    </xf>
    <xf numFmtId="0" fontId="3" fillId="4" borderId="0" xfId="0" applyFont="1" applyFill="1" applyAlignment="1">
      <alignment vertical="top"/>
    </xf>
    <xf numFmtId="0" fontId="1" fillId="4" borderId="0" xfId="0" applyFont="1" applyFill="1"/>
    <xf numFmtId="0" fontId="6" fillId="2" borderId="0" xfId="0" applyFont="1" applyFill="1" applyAlignment="1">
      <alignment horizontal="left" vertical="top"/>
    </xf>
    <xf numFmtId="0" fontId="3" fillId="2" borderId="0" xfId="0" applyFont="1" applyFill="1"/>
    <xf numFmtId="0" fontId="1" fillId="3" borderId="0" xfId="0" applyFont="1" applyFill="1"/>
    <xf numFmtId="0" fontId="7" fillId="4" borderId="0" xfId="0" applyFont="1" applyFill="1"/>
    <xf numFmtId="0" fontId="8" fillId="4" borderId="0" xfId="0" applyFont="1" applyFill="1"/>
    <xf numFmtId="0" fontId="9" fillId="0" borderId="0" xfId="0" applyFont="1"/>
    <xf numFmtId="0" fontId="9" fillId="3" borderId="0" xfId="0" applyFont="1" applyFill="1"/>
    <xf numFmtId="0" fontId="3" fillId="2" borderId="0" xfId="0" applyFont="1" applyFill="1" applyAlignment="1">
      <alignment wrapText="1"/>
    </xf>
    <xf numFmtId="0" fontId="10" fillId="2" borderId="0" xfId="0" applyFont="1" applyFill="1"/>
    <xf numFmtId="0" fontId="3" fillId="2" borderId="2" xfId="0" applyFont="1" applyFill="1" applyBorder="1" applyAlignment="1">
      <alignment horizontal="left" vertical="center"/>
    </xf>
    <xf numFmtId="0" fontId="3" fillId="2" borderId="4" xfId="0" applyFont="1" applyFill="1" applyBorder="1"/>
    <xf numFmtId="0" fontId="3" fillId="3" borderId="3" xfId="0" applyFont="1" applyFill="1" applyBorder="1" applyAlignment="1">
      <alignment horizontal="left" vertical="center"/>
    </xf>
    <xf numFmtId="0" fontId="3" fillId="2" borderId="3" xfId="0" applyFont="1" applyFill="1" applyBorder="1"/>
    <xf numFmtId="0" fontId="3" fillId="2" borderId="13" xfId="0" applyFont="1" applyFill="1" applyBorder="1" applyAlignment="1">
      <alignment horizontal="left" vertical="top"/>
    </xf>
    <xf numFmtId="0" fontId="3" fillId="2" borderId="13" xfId="0" applyFont="1" applyFill="1" applyBorder="1" applyAlignment="1">
      <alignment vertical="top"/>
    </xf>
    <xf numFmtId="0" fontId="3" fillId="2" borderId="5" xfId="0" applyFont="1" applyFill="1" applyBorder="1" applyAlignment="1">
      <alignment horizontal="left" vertical="center"/>
    </xf>
    <xf numFmtId="0" fontId="3" fillId="2" borderId="5" xfId="0" applyFont="1" applyFill="1" applyBorder="1"/>
    <xf numFmtId="0" fontId="3" fillId="2" borderId="3" xfId="0" applyFont="1" applyFill="1" applyBorder="1" applyAlignment="1">
      <alignment horizontal="left" vertical="center"/>
    </xf>
    <xf numFmtId="0" fontId="3" fillId="2" borderId="15" xfId="0" applyFont="1" applyFill="1" applyBorder="1" applyAlignment="1">
      <alignment vertical="center"/>
    </xf>
    <xf numFmtId="0" fontId="1" fillId="2" borderId="15" xfId="0" applyFont="1" applyFill="1" applyBorder="1"/>
    <xf numFmtId="0" fontId="3" fillId="4" borderId="2" xfId="0" applyFont="1" applyFill="1" applyBorder="1" applyAlignment="1">
      <alignment vertical="center"/>
    </xf>
    <xf numFmtId="0" fontId="3" fillId="2" borderId="6" xfId="0" applyFont="1" applyFill="1" applyBorder="1" applyAlignment="1">
      <alignment horizontal="left" vertical="center"/>
    </xf>
    <xf numFmtId="0" fontId="3" fillId="2" borderId="14" xfId="0" applyFont="1" applyFill="1" applyBorder="1"/>
    <xf numFmtId="0" fontId="3" fillId="4" borderId="6" xfId="0" applyFont="1" applyFill="1" applyBorder="1" applyAlignment="1">
      <alignment vertical="top"/>
    </xf>
    <xf numFmtId="0" fontId="3" fillId="4" borderId="14" xfId="0" applyFont="1" applyFill="1" applyBorder="1" applyAlignment="1">
      <alignment vertical="top"/>
    </xf>
    <xf numFmtId="0" fontId="3" fillId="4" borderId="7" xfId="0" applyFont="1" applyFill="1" applyBorder="1" applyAlignment="1">
      <alignment vertical="top"/>
    </xf>
    <xf numFmtId="0" fontId="5" fillId="2" borderId="0" xfId="0" applyFont="1" applyFill="1"/>
    <xf numFmtId="0" fontId="3" fillId="2" borderId="8" xfId="0" applyFont="1" applyFill="1" applyBorder="1" applyAlignment="1">
      <alignment horizontal="left" vertical="center"/>
    </xf>
    <xf numFmtId="0" fontId="7" fillId="2" borderId="8" xfId="0" applyFont="1" applyFill="1" applyBorder="1" applyAlignment="1">
      <alignment horizontal="left" vertical="center"/>
    </xf>
    <xf numFmtId="0" fontId="3" fillId="2" borderId="9" xfId="0" applyFont="1" applyFill="1" applyBorder="1"/>
    <xf numFmtId="0" fontId="3" fillId="2" borderId="7" xfId="0" applyFont="1" applyFill="1" applyBorder="1"/>
    <xf numFmtId="0" fontId="3" fillId="2" borderId="6" xfId="0" applyFont="1" applyFill="1" applyBorder="1"/>
    <xf numFmtId="0" fontId="3" fillId="2" borderId="10" xfId="0" applyFont="1" applyFill="1" applyBorder="1" applyAlignment="1">
      <alignment horizontal="left" vertical="center"/>
    </xf>
    <xf numFmtId="0" fontId="3" fillId="2" borderId="12" xfId="0" applyFont="1" applyFill="1" applyBorder="1"/>
    <xf numFmtId="0" fontId="3" fillId="2" borderId="10" xfId="0" applyFont="1" applyFill="1" applyBorder="1"/>
    <xf numFmtId="0" fontId="3" fillId="2" borderId="11" xfId="0" applyFont="1" applyFill="1" applyBorder="1"/>
    <xf numFmtId="0" fontId="3" fillId="4" borderId="10" xfId="0" applyFont="1" applyFill="1" applyBorder="1" applyAlignment="1">
      <alignment horizontal="left" vertical="center"/>
    </xf>
    <xf numFmtId="0" fontId="3" fillId="2" borderId="13" xfId="0" applyFont="1" applyFill="1" applyBorder="1" applyAlignment="1">
      <alignment vertical="center"/>
    </xf>
    <xf numFmtId="0" fontId="3" fillId="2" borderId="13" xfId="0" applyFont="1" applyFill="1" applyBorder="1"/>
    <xf numFmtId="0" fontId="3" fillId="2" borderId="2" xfId="0" applyFont="1" applyFill="1" applyBorder="1" applyAlignment="1">
      <alignment vertical="center"/>
    </xf>
    <xf numFmtId="0" fontId="3" fillId="2" borderId="1" xfId="0" applyFont="1" applyFill="1" applyBorder="1" applyAlignment="1">
      <alignment vertical="top"/>
    </xf>
    <xf numFmtId="0" fontId="3" fillId="2" borderId="1" xfId="0" applyFont="1" applyFill="1" applyBorder="1"/>
    <xf numFmtId="0" fontId="3" fillId="2" borderId="2" xfId="0" applyFont="1" applyFill="1" applyBorder="1"/>
    <xf numFmtId="10" fontId="3" fillId="4" borderId="2" xfId="0" applyNumberFormat="1" applyFont="1" applyFill="1" applyBorder="1" applyAlignment="1">
      <alignment horizontal="center" vertical="center"/>
    </xf>
    <xf numFmtId="10" fontId="3" fillId="2" borderId="2" xfId="0" applyNumberFormat="1" applyFont="1" applyFill="1" applyBorder="1" applyAlignment="1">
      <alignment horizontal="center" vertical="center"/>
    </xf>
    <xf numFmtId="164" fontId="3" fillId="4" borderId="2" xfId="0" applyNumberFormat="1" applyFont="1" applyFill="1" applyBorder="1" applyAlignment="1">
      <alignment horizontal="center" vertical="center"/>
    </xf>
    <xf numFmtId="0" fontId="3" fillId="2" borderId="2" xfId="0" applyFont="1" applyFill="1" applyBorder="1" applyAlignment="1">
      <alignment horizontal="center"/>
    </xf>
    <xf numFmtId="0" fontId="3" fillId="2" borderId="6" xfId="0" applyFont="1" applyFill="1" applyBorder="1" applyAlignment="1">
      <alignment horizontal="center"/>
    </xf>
    <xf numFmtId="0" fontId="3" fillId="2" borderId="7" xfId="0" applyFont="1" applyFill="1" applyBorder="1" applyAlignment="1">
      <alignment horizontal="center"/>
    </xf>
    <xf numFmtId="0" fontId="3" fillId="2" borderId="8" xfId="0" applyFont="1" applyFill="1" applyBorder="1" applyAlignment="1">
      <alignment horizontal="center" vertical="center"/>
    </xf>
    <xf numFmtId="9" fontId="3" fillId="4" borderId="9" xfId="0" applyNumberFormat="1" applyFont="1" applyFill="1" applyBorder="1" applyAlignment="1">
      <alignment horizontal="center" vertical="center"/>
    </xf>
    <xf numFmtId="0" fontId="3" fillId="2" borderId="10" xfId="0" applyFont="1" applyFill="1" applyBorder="1" applyAlignment="1">
      <alignment horizontal="center" vertical="center"/>
    </xf>
    <xf numFmtId="9" fontId="3" fillId="2" borderId="12" xfId="0" applyNumberFormat="1" applyFont="1" applyFill="1" applyBorder="1" applyAlignment="1">
      <alignment horizontal="center" vertical="center"/>
    </xf>
    <xf numFmtId="0" fontId="3" fillId="2" borderId="9" xfId="0" applyFont="1" applyFill="1" applyBorder="1" applyAlignment="1">
      <alignment horizontal="center" vertical="center"/>
    </xf>
    <xf numFmtId="0" fontId="3" fillId="4" borderId="8" xfId="0" applyFont="1" applyFill="1" applyBorder="1" applyAlignment="1">
      <alignment horizontal="center" vertical="center"/>
    </xf>
    <xf numFmtId="0" fontId="3" fillId="2" borderId="11" xfId="0" applyFont="1" applyFill="1" applyBorder="1" applyAlignment="1">
      <alignment horizontal="left" vertical="center"/>
    </xf>
    <xf numFmtId="0" fontId="2" fillId="2" borderId="0" xfId="0" applyFont="1" applyFill="1" applyAlignment="1">
      <alignment horizontal="left" vertical="center"/>
    </xf>
    <xf numFmtId="0" fontId="2" fillId="2" borderId="0" xfId="0" applyFont="1" applyFill="1" applyAlignment="1">
      <alignment horizontal="center"/>
    </xf>
    <xf numFmtId="0" fontId="1" fillId="2" borderId="0" xfId="0" applyFont="1" applyFill="1" applyAlignment="1">
      <alignment vertical="center"/>
    </xf>
    <xf numFmtId="0" fontId="10" fillId="2" borderId="0" xfId="0" applyFont="1" applyFill="1" applyAlignment="1">
      <alignment vertical="center"/>
    </xf>
    <xf numFmtId="10" fontId="3" fillId="2" borderId="4" xfId="0" applyNumberFormat="1" applyFont="1" applyFill="1" applyBorder="1" applyAlignment="1">
      <alignment horizontal="left" vertical="top"/>
    </xf>
    <xf numFmtId="9" fontId="3" fillId="2" borderId="0" xfId="0" applyNumberFormat="1" applyFont="1" applyFill="1"/>
    <xf numFmtId="10" fontId="2" fillId="2" borderId="0" xfId="0" applyNumberFormat="1" applyFont="1" applyFill="1" applyAlignment="1">
      <alignment horizontal="center"/>
    </xf>
    <xf numFmtId="10" fontId="3" fillId="4" borderId="1" xfId="0" applyNumberFormat="1" applyFont="1" applyFill="1" applyBorder="1" applyAlignment="1">
      <alignment horizontal="left" vertical="top"/>
    </xf>
    <xf numFmtId="170" fontId="2" fillId="2" borderId="0" xfId="0" applyNumberFormat="1" applyFont="1" applyFill="1" applyAlignment="1">
      <alignment horizontal="center"/>
    </xf>
    <xf numFmtId="0" fontId="3" fillId="4" borderId="1" xfId="0" applyFont="1" applyFill="1" applyBorder="1" applyAlignment="1">
      <alignment vertical="top"/>
    </xf>
    <xf numFmtId="0" fontId="3" fillId="4" borderId="4" xfId="0" applyFont="1" applyFill="1" applyBorder="1"/>
    <xf numFmtId="10" fontId="3" fillId="4" borderId="4" xfId="0" applyNumberFormat="1" applyFont="1" applyFill="1" applyBorder="1" applyAlignment="1">
      <alignment horizontal="left" vertical="top"/>
    </xf>
    <xf numFmtId="0" fontId="3" fillId="2" borderId="0" xfId="0" applyFont="1" applyFill="1" applyAlignment="1">
      <alignment vertical="center"/>
    </xf>
    <xf numFmtId="0" fontId="3" fillId="2" borderId="0" xfId="0" applyFont="1" applyFill="1" applyAlignment="1">
      <alignment horizontal="center"/>
    </xf>
    <xf numFmtId="14" fontId="2" fillId="2" borderId="0" xfId="0" applyNumberFormat="1" applyFont="1" applyFill="1"/>
    <xf numFmtId="0" fontId="1" fillId="2" borderId="1" xfId="0" applyFont="1" applyFill="1" applyBorder="1" applyAlignment="1">
      <alignment horizontal="right" vertical="center"/>
    </xf>
    <xf numFmtId="0" fontId="3" fillId="4" borderId="1" xfId="0" applyFont="1" applyFill="1" applyBorder="1" applyAlignment="1">
      <alignment horizontal="right" vertical="center" wrapText="1"/>
    </xf>
    <xf numFmtId="3" fontId="3" fillId="4" borderId="1" xfId="0" applyNumberFormat="1" applyFont="1" applyFill="1" applyBorder="1" applyAlignment="1">
      <alignment vertical="center"/>
    </xf>
    <xf numFmtId="0" fontId="3" fillId="2" borderId="0" xfId="0" applyFont="1" applyFill="1" applyAlignment="1">
      <alignment horizontal="right" vertical="center"/>
    </xf>
    <xf numFmtId="0" fontId="3" fillId="4" borderId="1" xfId="0" applyFont="1" applyFill="1" applyBorder="1" applyAlignment="1">
      <alignment horizontal="right" vertical="center"/>
    </xf>
    <xf numFmtId="14" fontId="3" fillId="4" borderId="1" xfId="0" applyNumberFormat="1" applyFont="1" applyFill="1" applyBorder="1" applyAlignment="1">
      <alignment horizontal="right" vertical="center"/>
    </xf>
    <xf numFmtId="164" fontId="3" fillId="4" borderId="1" xfId="0" applyNumberFormat="1" applyFont="1" applyFill="1" applyBorder="1"/>
    <xf numFmtId="0" fontId="3" fillId="3" borderId="0" xfId="0" applyFont="1" applyFill="1"/>
    <xf numFmtId="10" fontId="1" fillId="4" borderId="1" xfId="0" applyNumberFormat="1" applyFont="1" applyFill="1" applyBorder="1" applyAlignment="1">
      <alignment horizontal="center" wrapText="1"/>
    </xf>
    <xf numFmtId="0" fontId="13" fillId="4" borderId="1" xfId="0" applyFont="1" applyFill="1" applyBorder="1" applyAlignment="1">
      <alignment vertical="center"/>
    </xf>
    <xf numFmtId="171"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0" fontId="3" fillId="4" borderId="1" xfId="0" applyFont="1" applyFill="1" applyBorder="1" applyAlignment="1">
      <alignment horizontal="center"/>
    </xf>
    <xf numFmtId="0" fontId="15" fillId="4" borderId="0" xfId="0" applyFont="1" applyFill="1"/>
    <xf numFmtId="0" fontId="16" fillId="4" borderId="0" xfId="0" applyFont="1" applyFill="1"/>
    <xf numFmtId="0" fontId="12" fillId="4" borderId="0" xfId="0" applyFont="1" applyFill="1" applyAlignment="1">
      <alignment horizontal="center"/>
    </xf>
    <xf numFmtId="0" fontId="7" fillId="4" borderId="0" xfId="0" applyFont="1" applyFill="1" applyAlignment="1">
      <alignment horizontal="left" vertical="center"/>
    </xf>
    <xf numFmtId="0" fontId="1" fillId="4" borderId="0" xfId="0" applyFont="1" applyFill="1" applyAlignment="1">
      <alignment horizontal="left" vertical="center"/>
    </xf>
    <xf numFmtId="0" fontId="7" fillId="3" borderId="2" xfId="0" applyFont="1" applyFill="1" applyBorder="1"/>
    <xf numFmtId="0" fontId="3" fillId="3" borderId="3" xfId="0" applyFont="1" applyFill="1" applyBorder="1"/>
    <xf numFmtId="0" fontId="3" fillId="3" borderId="4" xfId="0" applyFont="1" applyFill="1" applyBorder="1"/>
    <xf numFmtId="0" fontId="17" fillId="4" borderId="0" xfId="0" applyFont="1" applyFill="1"/>
    <xf numFmtId="172" fontId="18" fillId="5" borderId="1" xfId="0" applyNumberFormat="1" applyFont="1" applyFill="1" applyBorder="1"/>
    <xf numFmtId="172" fontId="1" fillId="3" borderId="0" xfId="3" applyNumberFormat="1" applyFont="1" applyFill="1"/>
    <xf numFmtId="165" fontId="2" fillId="4" borderId="0" xfId="0" applyNumberFormat="1" applyFont="1" applyFill="1"/>
    <xf numFmtId="165" fontId="2" fillId="4" borderId="0" xfId="1" applyFont="1" applyFill="1"/>
    <xf numFmtId="168" fontId="6" fillId="4" borderId="0" xfId="0" applyNumberFormat="1" applyFont="1" applyFill="1"/>
    <xf numFmtId="43" fontId="18" fillId="5" borderId="1" xfId="0" applyNumberFormat="1" applyFont="1" applyFill="1" applyBorder="1"/>
    <xf numFmtId="168" fontId="2" fillId="4" borderId="0" xfId="0" applyNumberFormat="1" applyFont="1" applyFill="1"/>
    <xf numFmtId="173" fontId="2" fillId="4" borderId="0" xfId="0" applyNumberFormat="1" applyFont="1" applyFill="1"/>
    <xf numFmtId="0" fontId="6" fillId="4" borderId="0" xfId="0" applyFont="1" applyFill="1"/>
    <xf numFmtId="0" fontId="3" fillId="4" borderId="2" xfId="0" applyFont="1" applyFill="1" applyBorder="1" applyAlignment="1">
      <alignment horizontal="left" vertical="center"/>
    </xf>
    <xf numFmtId="0" fontId="5" fillId="4" borderId="4" xfId="0" applyFont="1" applyFill="1" applyBorder="1"/>
    <xf numFmtId="168" fontId="2" fillId="4" borderId="4" xfId="0" applyNumberFormat="1" applyFont="1" applyFill="1" applyBorder="1"/>
    <xf numFmtId="0" fontId="5" fillId="4" borderId="12" xfId="0" applyFont="1" applyFill="1" applyBorder="1"/>
    <xf numFmtId="168" fontId="2" fillId="4" borderId="12" xfId="0" applyNumberFormat="1" applyFont="1" applyFill="1" applyBorder="1"/>
    <xf numFmtId="168" fontId="2" fillId="4" borderId="0" xfId="0" applyNumberFormat="1" applyFont="1" applyFill="1" applyAlignment="1">
      <alignment horizontal="right"/>
    </xf>
    <xf numFmtId="174" fontId="2" fillId="4" borderId="0" xfId="0" applyNumberFormat="1" applyFont="1" applyFill="1" applyAlignment="1">
      <alignment horizontal="right"/>
    </xf>
    <xf numFmtId="43" fontId="1" fillId="3" borderId="0" xfId="3" applyNumberFormat="1" applyFont="1" applyFill="1"/>
    <xf numFmtId="0" fontId="7" fillId="3" borderId="0" xfId="0" applyFont="1" applyFill="1"/>
    <xf numFmtId="0" fontId="19" fillId="0" borderId="0" xfId="0" applyFont="1"/>
    <xf numFmtId="0" fontId="1" fillId="2" borderId="2" xfId="0" applyFont="1" applyFill="1" applyBorder="1"/>
    <xf numFmtId="0" fontId="3" fillId="2" borderId="11" xfId="0" applyFont="1" applyFill="1" applyBorder="1" applyAlignment="1">
      <alignment horizontal="left" vertical="top"/>
    </xf>
    <xf numFmtId="0" fontId="3" fillId="2" borderId="12" xfId="0" applyFont="1" applyFill="1" applyBorder="1" applyAlignment="1">
      <alignment horizontal="left" vertical="top"/>
    </xf>
    <xf numFmtId="0" fontId="3" fillId="2" borderId="3" xfId="0" applyFont="1" applyFill="1" applyBorder="1" applyAlignment="1">
      <alignment vertical="center"/>
    </xf>
    <xf numFmtId="0" fontId="3" fillId="2" borderId="4" xfId="0" applyFont="1" applyFill="1" applyBorder="1" applyAlignment="1">
      <alignment horizontal="left" vertical="center"/>
    </xf>
    <xf numFmtId="0" fontId="3" fillId="2" borderId="9" xfId="0" applyFont="1" applyFill="1" applyBorder="1" applyAlignment="1">
      <alignment horizontal="left" vertical="center"/>
    </xf>
    <xf numFmtId="0" fontId="7" fillId="2" borderId="4" xfId="0" applyFont="1" applyFill="1" applyBorder="1" applyAlignment="1">
      <alignment vertical="center"/>
    </xf>
    <xf numFmtId="0" fontId="3" fillId="2" borderId="1" xfId="0" applyFont="1" applyFill="1" applyBorder="1" applyAlignment="1">
      <alignment horizontal="left" vertical="center"/>
    </xf>
    <xf numFmtId="0" fontId="3" fillId="2" borderId="1" xfId="0" applyFont="1" applyFill="1" applyBorder="1" applyAlignment="1">
      <alignment vertical="center"/>
    </xf>
    <xf numFmtId="0" fontId="7" fillId="2" borderId="12" xfId="0" applyFont="1" applyFill="1" applyBorder="1" applyAlignment="1">
      <alignment vertical="center"/>
    </xf>
    <xf numFmtId="0" fontId="3" fillId="2" borderId="2" xfId="0" applyFont="1" applyFill="1" applyBorder="1" applyAlignment="1">
      <alignment horizontal="left" vertical="top"/>
    </xf>
    <xf numFmtId="0" fontId="3" fillId="2" borderId="3" xfId="0" applyFont="1" applyFill="1" applyBorder="1" applyAlignment="1">
      <alignment horizontal="left" vertical="top"/>
    </xf>
    <xf numFmtId="0" fontId="3" fillId="4" borderId="2" xfId="0" applyFont="1" applyFill="1" applyBorder="1" applyAlignment="1">
      <alignment horizontal="left" vertical="top"/>
    </xf>
    <xf numFmtId="0" fontId="3" fillId="4" borderId="4" xfId="0" applyFont="1" applyFill="1" applyBorder="1" applyAlignment="1">
      <alignment horizontal="left" vertical="top"/>
    </xf>
    <xf numFmtId="0" fontId="7" fillId="2" borderId="10" xfId="0" applyFont="1" applyFill="1" applyBorder="1" applyAlignment="1">
      <alignment horizontal="left" vertical="top"/>
    </xf>
    <xf numFmtId="0" fontId="7" fillId="2" borderId="8" xfId="0" applyFont="1" applyFill="1" applyBorder="1" applyAlignment="1">
      <alignment vertical="center"/>
    </xf>
    <xf numFmtId="0" fontId="3" fillId="2" borderId="11" xfId="0" applyFont="1" applyFill="1" applyBorder="1" applyAlignment="1">
      <alignment vertical="center"/>
    </xf>
    <xf numFmtId="0" fontId="1" fillId="2" borderId="1" xfId="0" applyFont="1" applyFill="1" applyBorder="1" applyAlignment="1">
      <alignment vertical="center"/>
    </xf>
    <xf numFmtId="172" fontId="18" fillId="0" borderId="1" xfId="0" applyNumberFormat="1" applyFont="1" applyBorder="1"/>
    <xf numFmtId="10" fontId="2" fillId="0" borderId="0" xfId="0" applyNumberFormat="1" applyFont="1"/>
    <xf numFmtId="169" fontId="2" fillId="0" borderId="0" xfId="0" applyNumberFormat="1" applyFont="1"/>
    <xf numFmtId="0" fontId="2" fillId="0" borderId="0" xfId="0" applyFont="1"/>
    <xf numFmtId="0" fontId="20" fillId="0" borderId="0" xfId="0" applyFont="1"/>
    <xf numFmtId="3" fontId="9" fillId="0" borderId="0" xfId="0" applyNumberFormat="1" applyFont="1"/>
    <xf numFmtId="9" fontId="9" fillId="0" borderId="0" xfId="2" applyFont="1" applyFill="1"/>
    <xf numFmtId="167" fontId="9" fillId="0" borderId="0" xfId="1" applyNumberFormat="1" applyFont="1" applyFill="1"/>
    <xf numFmtId="165" fontId="9" fillId="0" borderId="0" xfId="1" applyFont="1" applyFill="1"/>
    <xf numFmtId="168" fontId="9" fillId="0" borderId="0" xfId="1" applyNumberFormat="1" applyFont="1" applyFill="1"/>
    <xf numFmtId="3" fontId="19" fillId="0" borderId="0" xfId="0" applyNumberFormat="1" applyFont="1"/>
    <xf numFmtId="168" fontId="19" fillId="0" borderId="0" xfId="1" applyNumberFormat="1" applyFont="1" applyFill="1"/>
    <xf numFmtId="0" fontId="9" fillId="0" borderId="0" xfId="0" applyFont="1" applyAlignment="1">
      <alignment horizontal="center"/>
    </xf>
    <xf numFmtId="0" fontId="9" fillId="0" borderId="0" xfId="0" applyFont="1" applyAlignment="1">
      <alignment horizontal="right"/>
    </xf>
    <xf numFmtId="9" fontId="9" fillId="0" borderId="0" xfId="0" applyNumberFormat="1" applyFont="1"/>
    <xf numFmtId="9" fontId="19" fillId="0" borderId="0" xfId="0" applyNumberFormat="1" applyFont="1"/>
    <xf numFmtId="168" fontId="9" fillId="0" borderId="0" xfId="0" applyNumberFormat="1" applyFont="1"/>
    <xf numFmtId="0" fontId="19" fillId="0" borderId="0" xfId="0" applyFont="1" applyAlignment="1">
      <alignment horizontal="right"/>
    </xf>
    <xf numFmtId="168" fontId="19" fillId="0" borderId="0" xfId="0" applyNumberFormat="1" applyFont="1"/>
    <xf numFmtId="10" fontId="9" fillId="0" borderId="0" xfId="0" applyNumberFormat="1" applyFont="1"/>
    <xf numFmtId="0" fontId="20" fillId="0" borderId="0" xfId="0" applyFont="1" applyAlignment="1">
      <alignment horizontal="right"/>
    </xf>
    <xf numFmtId="172" fontId="9" fillId="0" borderId="0" xfId="0" applyNumberFormat="1" applyFont="1"/>
    <xf numFmtId="10" fontId="9" fillId="0" borderId="0" xfId="2" applyNumberFormat="1" applyFont="1"/>
    <xf numFmtId="165" fontId="9" fillId="0" borderId="0" xfId="1" applyFont="1"/>
    <xf numFmtId="168" fontId="9" fillId="0" borderId="0" xfId="1" applyNumberFormat="1" applyFont="1"/>
    <xf numFmtId="9" fontId="9" fillId="0" borderId="0" xfId="2" applyFont="1"/>
    <xf numFmtId="168" fontId="19" fillId="0" borderId="0" xfId="1" applyNumberFormat="1" applyFont="1"/>
    <xf numFmtId="43" fontId="9" fillId="0" borderId="0" xfId="0" applyNumberFormat="1" applyFont="1"/>
    <xf numFmtId="0" fontId="9" fillId="0" borderId="0" xfId="0" applyFont="1" applyAlignment="1">
      <alignment wrapText="1"/>
    </xf>
    <xf numFmtId="0" fontId="2" fillId="0" borderId="0" xfId="0" applyFont="1" applyAlignment="1">
      <alignment wrapText="1"/>
    </xf>
    <xf numFmtId="0" fontId="9" fillId="0" borderId="0" xfId="0" quotePrefix="1" applyFont="1"/>
    <xf numFmtId="43" fontId="9" fillId="0" borderId="0" xfId="1" applyNumberFormat="1" applyFont="1" applyFill="1"/>
    <xf numFmtId="172" fontId="0" fillId="0" borderId="0" xfId="5" applyNumberFormat="1" applyFont="1"/>
    <xf numFmtId="172" fontId="21" fillId="6" borderId="1" xfId="5" applyNumberFormat="1" applyFont="1" applyFill="1" applyBorder="1"/>
    <xf numFmtId="0" fontId="22" fillId="0" borderId="0" xfId="0" applyFont="1" applyAlignment="1">
      <alignment horizontal="right" wrapText="1"/>
    </xf>
    <xf numFmtId="9" fontId="0" fillId="0" borderId="0" xfId="2" applyFont="1"/>
    <xf numFmtId="10" fontId="0" fillId="0" borderId="0" xfId="2" applyNumberFormat="1" applyFont="1"/>
    <xf numFmtId="172" fontId="21" fillId="0" borderId="0" xfId="5" applyNumberFormat="1" applyFont="1"/>
    <xf numFmtId="0" fontId="23" fillId="4" borderId="0" xfId="0" applyFont="1" applyFill="1" applyAlignment="1">
      <alignment horizontal="left" vertical="center"/>
    </xf>
    <xf numFmtId="0" fontId="23" fillId="4" borderId="0" xfId="0" applyFont="1" applyFill="1" applyAlignment="1">
      <alignment horizontal="left" vertical="center" wrapText="1"/>
    </xf>
    <xf numFmtId="168" fontId="24" fillId="4" borderId="12" xfId="0" applyNumberFormat="1" applyFont="1" applyFill="1" applyBorder="1"/>
    <xf numFmtId="0" fontId="25" fillId="4" borderId="12" xfId="0" applyFont="1" applyFill="1" applyBorder="1"/>
    <xf numFmtId="0" fontId="23" fillId="4" borderId="10" xfId="0" applyFont="1" applyFill="1" applyBorder="1" applyAlignment="1">
      <alignment horizontal="left" vertical="center"/>
    </xf>
    <xf numFmtId="168" fontId="24" fillId="4" borderId="4" xfId="0" applyNumberFormat="1" applyFont="1" applyFill="1" applyBorder="1"/>
    <xf numFmtId="0" fontId="25" fillId="4" borderId="4" xfId="0" applyFont="1" applyFill="1" applyBorder="1"/>
    <xf numFmtId="0" fontId="23" fillId="4" borderId="2" xfId="0" applyFont="1" applyFill="1" applyBorder="1" applyAlignment="1">
      <alignment horizontal="left" vertical="center"/>
    </xf>
    <xf numFmtId="172" fontId="0" fillId="6" borderId="0" xfId="5" applyNumberFormat="1" applyFont="1" applyFill="1"/>
    <xf numFmtId="10" fontId="0" fillId="0" borderId="0" xfId="0" applyNumberFormat="1"/>
    <xf numFmtId="0" fontId="19" fillId="0" borderId="16" xfId="0" applyFont="1" applyBorder="1"/>
    <xf numFmtId="0" fontId="0" fillId="6" borderId="0" xfId="0" applyFill="1"/>
    <xf numFmtId="172" fontId="0" fillId="6" borderId="11" xfId="5" applyNumberFormat="1" applyFont="1" applyFill="1" applyBorder="1"/>
    <xf numFmtId="0" fontId="21" fillId="0" borderId="0" xfId="0" applyFont="1" applyAlignment="1">
      <alignment horizontal="center"/>
    </xf>
    <xf numFmtId="0" fontId="19" fillId="0" borderId="0" xfId="0" applyFont="1" applyAlignment="1">
      <alignment wrapText="1"/>
    </xf>
    <xf numFmtId="0" fontId="6" fillId="0" borderId="0" xfId="0" applyFont="1" applyAlignment="1">
      <alignment wrapText="1"/>
    </xf>
    <xf numFmtId="172" fontId="19" fillId="0" borderId="0" xfId="0" applyNumberFormat="1" applyFont="1"/>
    <xf numFmtId="172" fontId="26" fillId="6" borderId="0" xfId="5" applyNumberFormat="1" applyFont="1" applyFill="1"/>
    <xf numFmtId="1" fontId="9" fillId="0" borderId="0" xfId="0" applyNumberFormat="1" applyFont="1"/>
    <xf numFmtId="0" fontId="9" fillId="5" borderId="0" xfId="0" applyFont="1" applyFill="1"/>
    <xf numFmtId="10" fontId="19" fillId="0" borderId="0" xfId="0" applyNumberFormat="1" applyFont="1"/>
    <xf numFmtId="172" fontId="26" fillId="6" borderId="0" xfId="5" applyNumberFormat="1" applyFont="1" applyFill="1" applyBorder="1"/>
    <xf numFmtId="172" fontId="26" fillId="6" borderId="11" xfId="5" applyNumberFormat="1" applyFont="1" applyFill="1" applyBorder="1"/>
    <xf numFmtId="168" fontId="9" fillId="0" borderId="11" xfId="0" applyNumberFormat="1" applyFont="1" applyBorder="1"/>
    <xf numFmtId="0" fontId="9" fillId="0" borderId="0" xfId="0" applyFont="1" applyAlignment="1">
      <alignment horizontal="right" indent="2"/>
    </xf>
    <xf numFmtId="0" fontId="19" fillId="0" borderId="0" xfId="0" applyFont="1" applyAlignment="1">
      <alignment horizontal="center"/>
    </xf>
    <xf numFmtId="0" fontId="5" fillId="0" borderId="0" xfId="0" applyFont="1"/>
    <xf numFmtId="172" fontId="27" fillId="6" borderId="0" xfId="5" applyNumberFormat="1" applyFont="1" applyFill="1"/>
    <xf numFmtId="0" fontId="19" fillId="0" borderId="17" xfId="0" applyFont="1" applyBorder="1" applyAlignment="1">
      <alignment horizontal="center" wrapText="1"/>
    </xf>
    <xf numFmtId="0" fontId="21" fillId="0" borderId="18" xfId="0" applyFont="1" applyBorder="1" applyAlignment="1">
      <alignment horizontal="center" wrapText="1"/>
    </xf>
    <xf numFmtId="0" fontId="21" fillId="0" borderId="19" xfId="0" applyFont="1" applyBorder="1" applyAlignment="1">
      <alignment horizontal="center" wrapText="1"/>
    </xf>
    <xf numFmtId="172" fontId="28" fillId="6" borderId="0" xfId="5" applyNumberFormat="1" applyFont="1" applyFill="1"/>
    <xf numFmtId="172" fontId="29" fillId="6" borderId="0" xfId="5" applyNumberFormat="1" applyFont="1" applyFill="1"/>
    <xf numFmtId="0" fontId="30" fillId="0" borderId="0" xfId="0" applyFont="1" applyAlignment="1">
      <alignment horizontal="right" wrapText="1"/>
    </xf>
    <xf numFmtId="172" fontId="19" fillId="0" borderId="16" xfId="0" applyNumberFormat="1" applyFont="1" applyBorder="1"/>
    <xf numFmtId="43" fontId="9" fillId="0" borderId="0" xfId="0" applyNumberFormat="1" applyFont="1" applyAlignment="1">
      <alignment horizontal="right" indent="1"/>
    </xf>
    <xf numFmtId="0" fontId="9" fillId="0" borderId="0" xfId="0" applyFont="1" applyAlignment="1">
      <alignment horizontal="right" indent="1"/>
    </xf>
    <xf numFmtId="168" fontId="19" fillId="0" borderId="0" xfId="1" applyNumberFormat="1" applyFont="1" applyAlignment="1">
      <alignment horizontal="right" indent="1"/>
    </xf>
    <xf numFmtId="168" fontId="19" fillId="5" borderId="17" xfId="0" applyNumberFormat="1" applyFont="1" applyFill="1" applyBorder="1"/>
    <xf numFmtId="168" fontId="19" fillId="5" borderId="16" xfId="0" applyNumberFormat="1" applyFont="1" applyFill="1" applyBorder="1"/>
    <xf numFmtId="0" fontId="3" fillId="4" borderId="2" xfId="0" applyFont="1" applyFill="1" applyBorder="1" applyAlignment="1">
      <alignment horizontal="center" vertical="center"/>
    </xf>
    <xf numFmtId="168" fontId="19" fillId="0" borderId="17" xfId="1" applyNumberFormat="1" applyFont="1" applyBorder="1"/>
    <xf numFmtId="168" fontId="19" fillId="0" borderId="16" xfId="1" applyNumberFormat="1" applyFont="1" applyBorder="1"/>
    <xf numFmtId="1" fontId="21" fillId="6" borderId="0" xfId="5" applyNumberFormat="1" applyFont="1" applyFill="1"/>
    <xf numFmtId="175" fontId="9" fillId="6" borderId="0" xfId="2" applyNumberFormat="1" applyFont="1" applyFill="1"/>
    <xf numFmtId="0" fontId="32" fillId="0" borderId="0" xfId="0" applyFont="1"/>
    <xf numFmtId="0" fontId="33" fillId="0" borderId="0" xfId="0" applyFont="1"/>
    <xf numFmtId="0" fontId="34" fillId="0" borderId="0" xfId="0" applyFont="1" applyAlignment="1">
      <alignment horizontal="center"/>
    </xf>
    <xf numFmtId="0" fontId="35" fillId="0" borderId="0" xfId="0" applyFont="1"/>
    <xf numFmtId="0" fontId="33" fillId="0" borderId="0" xfId="0" applyFont="1" applyAlignment="1">
      <alignment horizontal="right"/>
    </xf>
    <xf numFmtId="0" fontId="36" fillId="0" borderId="0" xfId="0" applyFont="1"/>
    <xf numFmtId="0" fontId="0" fillId="0" borderId="0" xfId="0" applyAlignment="1">
      <alignment horizontal="right"/>
    </xf>
    <xf numFmtId="176" fontId="33" fillId="0" borderId="12" xfId="0" applyNumberFormat="1" applyFont="1" applyBorder="1" applyAlignment="1">
      <alignment horizontal="right"/>
    </xf>
    <xf numFmtId="0" fontId="33" fillId="0" borderId="10" xfId="0" applyFont="1" applyBorder="1"/>
    <xf numFmtId="176" fontId="33" fillId="0" borderId="7" xfId="0" applyNumberFormat="1" applyFont="1" applyBorder="1" applyAlignment="1">
      <alignment horizontal="right"/>
    </xf>
    <xf numFmtId="0" fontId="33" fillId="0" borderId="6" xfId="0" applyFont="1" applyBorder="1"/>
    <xf numFmtId="176" fontId="33" fillId="0" borderId="0" xfId="0" applyNumberFormat="1" applyFont="1" applyAlignment="1">
      <alignment horizontal="right"/>
    </xf>
    <xf numFmtId="177" fontId="33" fillId="0" borderId="0" xfId="0" applyNumberFormat="1" applyFont="1" applyAlignment="1">
      <alignment horizontal="right"/>
    </xf>
    <xf numFmtId="176" fontId="33" fillId="0" borderId="0" xfId="0" applyNumberFormat="1" applyFont="1"/>
    <xf numFmtId="171" fontId="33" fillId="0" borderId="0" xfId="0" applyNumberFormat="1" applyFont="1" applyAlignment="1">
      <alignment horizontal="right"/>
    </xf>
    <xf numFmtId="176" fontId="33" fillId="0" borderId="11" xfId="0" applyNumberFormat="1" applyFont="1" applyBorder="1" applyAlignment="1">
      <alignment horizontal="right"/>
    </xf>
    <xf numFmtId="0" fontId="33" fillId="0" borderId="11" xfId="0" applyFont="1" applyBorder="1" applyAlignment="1">
      <alignment horizontal="right"/>
    </xf>
    <xf numFmtId="171" fontId="33" fillId="0" borderId="11" xfId="0" applyNumberFormat="1" applyFont="1" applyBorder="1" applyAlignment="1">
      <alignment horizontal="right"/>
    </xf>
    <xf numFmtId="0" fontId="33" fillId="0" borderId="10" xfId="0" applyFont="1" applyBorder="1" applyAlignment="1">
      <alignment horizontal="right"/>
    </xf>
    <xf numFmtId="176" fontId="33" fillId="0" borderId="9" xfId="0" applyNumberFormat="1" applyFont="1" applyBorder="1" applyAlignment="1">
      <alignment horizontal="right"/>
    </xf>
    <xf numFmtId="0" fontId="33" fillId="0" borderId="8" xfId="0" applyFont="1" applyBorder="1" applyAlignment="1">
      <alignment horizontal="right"/>
    </xf>
    <xf numFmtId="0" fontId="33" fillId="0" borderId="0" xfId="0" quotePrefix="1" applyFont="1"/>
    <xf numFmtId="0" fontId="31" fillId="0" borderId="0" xfId="0" applyFont="1"/>
    <xf numFmtId="6" fontId="3" fillId="3" borderId="0" xfId="0" applyNumberFormat="1" applyFont="1" applyFill="1" applyAlignment="1">
      <alignment horizontal="right"/>
    </xf>
    <xf numFmtId="0" fontId="3" fillId="3" borderId="0" xfId="0" applyFont="1" applyFill="1" applyAlignment="1">
      <alignment horizontal="center"/>
    </xf>
    <xf numFmtId="0" fontId="1" fillId="3" borderId="0" xfId="0" applyFont="1" applyFill="1" applyAlignment="1">
      <alignment horizontal="right"/>
    </xf>
    <xf numFmtId="0" fontId="1" fillId="3" borderId="0" xfId="0" applyFont="1" applyFill="1" applyAlignment="1">
      <alignment horizontal="center"/>
    </xf>
    <xf numFmtId="0" fontId="10" fillId="3" borderId="0" xfId="0" applyFont="1" applyFill="1"/>
    <xf numFmtId="0" fontId="3" fillId="3" borderId="0" xfId="0" applyFont="1" applyFill="1" applyAlignment="1">
      <alignment horizontal="right"/>
    </xf>
    <xf numFmtId="0" fontId="7" fillId="3" borderId="12" xfId="0" applyFont="1" applyFill="1" applyBorder="1" applyAlignment="1">
      <alignment horizontal="left" wrapText="1"/>
    </xf>
    <xf numFmtId="0" fontId="7" fillId="3" borderId="11" xfId="0" applyFont="1" applyFill="1" applyBorder="1" applyAlignment="1">
      <alignment horizontal="left" wrapText="1"/>
    </xf>
    <xf numFmtId="0" fontId="7" fillId="3" borderId="7" xfId="0" applyFont="1" applyFill="1" applyBorder="1" applyAlignment="1">
      <alignment horizontal="left" wrapText="1"/>
    </xf>
    <xf numFmtId="0" fontId="7" fillId="3" borderId="14" xfId="0" applyFont="1" applyFill="1" applyBorder="1" applyAlignment="1">
      <alignment horizontal="left" wrapText="1"/>
    </xf>
    <xf numFmtId="0" fontId="37" fillId="0" borderId="0" xfId="0" applyFont="1" applyAlignment="1">
      <alignment horizontal="center"/>
    </xf>
    <xf numFmtId="0" fontId="38" fillId="3" borderId="0" xfId="0" applyFont="1" applyFill="1"/>
    <xf numFmtId="164" fontId="33" fillId="0" borderId="0" xfId="0" applyNumberFormat="1" applyFont="1" applyAlignment="1">
      <alignment horizontal="right"/>
    </xf>
    <xf numFmtId="0" fontId="40" fillId="0" borderId="9" xfId="0" applyFont="1" applyBorder="1" applyAlignment="1">
      <alignment horizontal="right"/>
    </xf>
    <xf numFmtId="0" fontId="40" fillId="0" borderId="0" xfId="0" applyFont="1" applyAlignment="1">
      <alignment horizontal="right"/>
    </xf>
    <xf numFmtId="0" fontId="40" fillId="0" borderId="8" xfId="0" applyFont="1" applyBorder="1" applyAlignment="1">
      <alignment horizontal="right"/>
    </xf>
    <xf numFmtId="0" fontId="40" fillId="0" borderId="14" xfId="0" applyFont="1" applyBorder="1" applyAlignment="1">
      <alignment horizontal="right"/>
    </xf>
    <xf numFmtId="0" fontId="33" fillId="0" borderId="14" xfId="0" applyFont="1" applyBorder="1" applyAlignment="1">
      <alignment horizontal="right"/>
    </xf>
    <xf numFmtId="0" fontId="41" fillId="0" borderId="6" xfId="0" applyFont="1" applyBorder="1" applyAlignment="1">
      <alignment horizontal="left"/>
    </xf>
    <xf numFmtId="0" fontId="42" fillId="0" borderId="0" xfId="0" quotePrefix="1" applyFont="1"/>
    <xf numFmtId="0" fontId="33" fillId="0" borderId="0" xfId="0" applyFont="1" applyAlignment="1">
      <alignment horizontal="left"/>
    </xf>
    <xf numFmtId="0" fontId="33" fillId="0" borderId="10" xfId="0" applyFont="1" applyBorder="1" applyAlignment="1">
      <alignment horizontal="left"/>
    </xf>
    <xf numFmtId="0" fontId="32" fillId="3" borderId="0" xfId="0" applyFont="1" applyFill="1"/>
    <xf numFmtId="0" fontId="33" fillId="0" borderId="6" xfId="0" applyFont="1" applyBorder="1" applyAlignment="1">
      <alignment horizontal="left"/>
    </xf>
    <xf numFmtId="171" fontId="3" fillId="3" borderId="0" xfId="0" applyNumberFormat="1" applyFont="1" applyFill="1"/>
    <xf numFmtId="0" fontId="3" fillId="3" borderId="0" xfId="0" applyFont="1" applyFill="1" applyAlignment="1">
      <alignment vertical="center"/>
    </xf>
    <xf numFmtId="0" fontId="10" fillId="3" borderId="0" xfId="0" applyFont="1" applyFill="1" applyAlignment="1">
      <alignment vertical="center"/>
    </xf>
    <xf numFmtId="0" fontId="3" fillId="3" borderId="1" xfId="0"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1" fillId="3" borderId="1" xfId="0" applyFont="1" applyFill="1" applyBorder="1" applyAlignment="1">
      <alignment horizontal="center" vertical="center" wrapText="1"/>
    </xf>
    <xf numFmtId="0" fontId="1" fillId="3" borderId="0" xfId="0" applyFont="1" applyFill="1" applyAlignment="1">
      <alignment vertical="center"/>
    </xf>
    <xf numFmtId="0" fontId="3" fillId="3" borderId="1" xfId="0" applyFont="1" applyFill="1" applyBorder="1" applyAlignment="1">
      <alignment vertical="center" wrapText="1"/>
    </xf>
    <xf numFmtId="176" fontId="33" fillId="0" borderId="12" xfId="0" applyNumberFormat="1" applyFont="1" applyBorder="1"/>
    <xf numFmtId="176" fontId="33" fillId="0" borderId="11" xfId="0" applyNumberFormat="1" applyFont="1" applyBorder="1"/>
    <xf numFmtId="176" fontId="33" fillId="0" borderId="9" xfId="0" applyNumberFormat="1" applyFont="1" applyBorder="1"/>
    <xf numFmtId="0" fontId="36" fillId="0" borderId="0" xfId="0" quotePrefix="1" applyFont="1"/>
    <xf numFmtId="0" fontId="3" fillId="3" borderId="0" xfId="0" applyFont="1" applyFill="1" applyAlignment="1">
      <alignment vertical="center" wrapText="1"/>
    </xf>
    <xf numFmtId="0" fontId="43" fillId="0" borderId="0" xfId="0" applyFont="1" applyAlignment="1">
      <alignment horizontal="right"/>
    </xf>
    <xf numFmtId="0" fontId="3" fillId="0" borderId="0" xfId="0" applyFont="1"/>
    <xf numFmtId="0" fontId="1" fillId="0" borderId="0" xfId="0" applyFont="1"/>
    <xf numFmtId="0" fontId="7" fillId="0" borderId="0" xfId="0" applyFont="1"/>
    <xf numFmtId="10" fontId="3" fillId="0" borderId="0" xfId="0" applyNumberFormat="1" applyFont="1" applyAlignment="1">
      <alignment horizontal="right" vertical="center" wrapText="1"/>
    </xf>
    <xf numFmtId="178"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2" fontId="3" fillId="0" borderId="1" xfId="0" applyNumberFormat="1" applyFont="1" applyBorder="1" applyAlignment="1">
      <alignment horizontal="center" vertical="center"/>
    </xf>
    <xf numFmtId="0" fontId="10" fillId="0" borderId="0" xfId="0" applyFont="1"/>
    <xf numFmtId="180" fontId="3" fillId="0" borderId="0" xfId="7" applyNumberFormat="1" applyFont="1" applyFill="1" applyBorder="1"/>
    <xf numFmtId="180" fontId="3" fillId="0" borderId="1" xfId="7" applyNumberFormat="1" applyFont="1" applyFill="1" applyBorder="1"/>
    <xf numFmtId="0" fontId="3" fillId="0" borderId="0" xfId="0" applyFont="1" applyAlignment="1">
      <alignment horizontal="center"/>
    </xf>
    <xf numFmtId="0" fontId="3" fillId="0" borderId="1" xfId="0" applyFont="1" applyBorder="1" applyAlignment="1">
      <alignment horizontal="center"/>
    </xf>
    <xf numFmtId="0" fontId="3" fillId="0" borderId="4" xfId="0" applyFont="1" applyBorder="1" applyAlignment="1">
      <alignment horizontal="left"/>
    </xf>
    <xf numFmtId="0" fontId="3" fillId="0" borderId="2" xfId="0" applyFont="1" applyBorder="1" applyAlignment="1">
      <alignment horizontal="left"/>
    </xf>
    <xf numFmtId="5" fontId="3" fillId="0" borderId="1" xfId="8" applyNumberFormat="1" applyFont="1" applyFill="1" applyBorder="1" applyAlignment="1">
      <alignment horizontal="center"/>
    </xf>
    <xf numFmtId="0" fontId="1" fillId="0" borderId="1" xfId="0" applyFont="1" applyBorder="1" applyAlignment="1">
      <alignment horizontal="center"/>
    </xf>
    <xf numFmtId="9" fontId="5" fillId="0" borderId="0" xfId="0" applyNumberFormat="1" applyFont="1" applyAlignment="1">
      <alignment horizontal="center"/>
    </xf>
    <xf numFmtId="10" fontId="3" fillId="0" borderId="0" xfId="9" applyNumberFormat="1" applyFont="1" applyFill="1" applyBorder="1" applyAlignment="1">
      <alignment horizontal="left" vertical="top"/>
    </xf>
    <xf numFmtId="0" fontId="3" fillId="0" borderId="4" xfId="0" applyFont="1" applyBorder="1"/>
    <xf numFmtId="0" fontId="3" fillId="0" borderId="3" xfId="0" applyFont="1" applyBorder="1"/>
    <xf numFmtId="0" fontId="3" fillId="0" borderId="2" xfId="0" applyFont="1" applyBorder="1"/>
    <xf numFmtId="0" fontId="45" fillId="0" borderId="0" xfId="0" applyFont="1" applyAlignment="1">
      <alignment horizontal="center"/>
    </xf>
    <xf numFmtId="0" fontId="46" fillId="0" borderId="23" xfId="0" applyFont="1" applyBorder="1" applyAlignment="1">
      <alignment vertical="center" wrapText="1"/>
    </xf>
    <xf numFmtId="0" fontId="48" fillId="0" borderId="0" xfId="0" applyFont="1"/>
    <xf numFmtId="0" fontId="48" fillId="0" borderId="0" xfId="0" applyFont="1" applyAlignment="1">
      <alignment wrapText="1"/>
    </xf>
    <xf numFmtId="43" fontId="44" fillId="0" borderId="0" xfId="8" applyFont="1"/>
    <xf numFmtId="0" fontId="44" fillId="0" borderId="0" xfId="0" applyFont="1"/>
    <xf numFmtId="0" fontId="46" fillId="0" borderId="16" xfId="0" applyFont="1" applyBorder="1" applyAlignment="1">
      <alignment vertical="center" wrapText="1"/>
    </xf>
    <xf numFmtId="0" fontId="45" fillId="0" borderId="0" xfId="0" applyFont="1"/>
    <xf numFmtId="172" fontId="49" fillId="7" borderId="0" xfId="0" applyNumberFormat="1" applyFont="1" applyFill="1"/>
    <xf numFmtId="0" fontId="25" fillId="0" borderId="0" xfId="0" applyFont="1"/>
    <xf numFmtId="172" fontId="44" fillId="0" borderId="0" xfId="0" applyNumberFormat="1" applyFont="1"/>
    <xf numFmtId="43" fontId="44" fillId="0" borderId="20" xfId="0" applyNumberFormat="1" applyFont="1" applyBorder="1"/>
    <xf numFmtId="43" fontId="44" fillId="0" borderId="21" xfId="0" applyNumberFormat="1" applyFont="1" applyBorder="1"/>
    <xf numFmtId="178" fontId="44" fillId="0" borderId="21" xfId="0" applyNumberFormat="1" applyFont="1" applyBorder="1"/>
    <xf numFmtId="43" fontId="44" fillId="0" borderId="21" xfId="8" applyFont="1" applyBorder="1"/>
    <xf numFmtId="0" fontId="44" fillId="0" borderId="22" xfId="0" applyFont="1" applyBorder="1"/>
    <xf numFmtId="43" fontId="44" fillId="0" borderId="0" xfId="0" applyNumberFormat="1" applyFont="1"/>
    <xf numFmtId="178" fontId="44" fillId="0" borderId="0" xfId="0" applyNumberFormat="1" applyFont="1"/>
    <xf numFmtId="43" fontId="44" fillId="0" borderId="27" xfId="0" applyNumberFormat="1" applyFont="1" applyBorder="1"/>
    <xf numFmtId="43" fontId="44" fillId="0" borderId="0" xfId="8" applyFont="1" applyBorder="1"/>
    <xf numFmtId="0" fontId="44" fillId="0" borderId="28" xfId="0" applyFont="1" applyBorder="1"/>
    <xf numFmtId="0" fontId="45" fillId="0" borderId="0" xfId="0" applyFont="1" applyAlignment="1">
      <alignment horizontal="left" indent="1"/>
    </xf>
    <xf numFmtId="0" fontId="44" fillId="0" borderId="27" xfId="0" applyFont="1" applyBorder="1"/>
    <xf numFmtId="10" fontId="3" fillId="3" borderId="0" xfId="0" applyNumberFormat="1" applyFont="1" applyFill="1" applyAlignment="1">
      <alignment horizontal="right" vertical="center" wrapText="1"/>
    </xf>
    <xf numFmtId="178" fontId="3" fillId="8" borderId="1" xfId="0" applyNumberFormat="1" applyFont="1" applyFill="1" applyBorder="1" applyAlignment="1">
      <alignment horizontal="center" vertical="center"/>
    </xf>
    <xf numFmtId="1" fontId="3" fillId="8" borderId="1" xfId="0" applyNumberFormat="1" applyFont="1" applyFill="1" applyBorder="1" applyAlignment="1">
      <alignment horizontal="center" vertical="center"/>
    </xf>
    <xf numFmtId="0" fontId="9" fillId="0" borderId="27" xfId="0" applyFont="1" applyBorder="1"/>
    <xf numFmtId="0" fontId="44" fillId="0" borderId="0" xfId="0" quotePrefix="1" applyFont="1"/>
    <xf numFmtId="172" fontId="49" fillId="7" borderId="0" xfId="8" applyNumberFormat="1" applyFont="1" applyFill="1" applyBorder="1"/>
    <xf numFmtId="9" fontId="44" fillId="0" borderId="0" xfId="0" applyNumberFormat="1" applyFont="1"/>
    <xf numFmtId="172" fontId="44" fillId="7" borderId="0" xfId="8" applyNumberFormat="1" applyFont="1" applyFill="1" applyBorder="1"/>
    <xf numFmtId="3" fontId="44" fillId="7" borderId="0" xfId="0" applyNumberFormat="1" applyFont="1" applyFill="1"/>
    <xf numFmtId="3" fontId="44" fillId="0" borderId="0" xfId="0" applyNumberFormat="1" applyFont="1" applyAlignment="1">
      <alignment horizontal="right"/>
    </xf>
    <xf numFmtId="3" fontId="44" fillId="0" borderId="0" xfId="0" applyNumberFormat="1" applyFont="1"/>
    <xf numFmtId="0" fontId="9" fillId="0" borderId="24" xfId="0" applyFont="1" applyBorder="1"/>
    <xf numFmtId="0" fontId="44" fillId="0" borderId="25" xfId="0" quotePrefix="1" applyFont="1" applyBorder="1"/>
    <xf numFmtId="3" fontId="44" fillId="7" borderId="25" xfId="0" applyNumberFormat="1" applyFont="1" applyFill="1" applyBorder="1"/>
    <xf numFmtId="0" fontId="44" fillId="0" borderId="25" xfId="0" applyFont="1" applyBorder="1"/>
    <xf numFmtId="0" fontId="9" fillId="0" borderId="25" xfId="0" applyFont="1" applyBorder="1"/>
    <xf numFmtId="0" fontId="44" fillId="0" borderId="26" xfId="0" applyFont="1" applyBorder="1"/>
    <xf numFmtId="171" fontId="0" fillId="0" borderId="0" xfId="0" applyNumberFormat="1"/>
    <xf numFmtId="178" fontId="0" fillId="0" borderId="0" xfId="0" applyNumberFormat="1"/>
    <xf numFmtId="2" fontId="3" fillId="8" borderId="1" xfId="0" applyNumberFormat="1" applyFont="1" applyFill="1" applyBorder="1" applyAlignment="1">
      <alignment horizontal="center" vertical="center"/>
    </xf>
    <xf numFmtId="180" fontId="3" fillId="3" borderId="0" xfId="7" applyNumberFormat="1" applyFont="1" applyFill="1" applyBorder="1"/>
    <xf numFmtId="180" fontId="3" fillId="3" borderId="1" xfId="7" applyNumberFormat="1" applyFont="1" applyFill="1" applyBorder="1"/>
    <xf numFmtId="0" fontId="3" fillId="3" borderId="1" xfId="0" applyFont="1" applyFill="1" applyBorder="1" applyAlignment="1">
      <alignment horizontal="center"/>
    </xf>
    <xf numFmtId="0" fontId="3" fillId="3" borderId="4" xfId="0" applyFont="1" applyFill="1" applyBorder="1" applyAlignment="1">
      <alignment horizontal="left"/>
    </xf>
    <xf numFmtId="0" fontId="3" fillId="3" borderId="2" xfId="0" applyFont="1" applyFill="1" applyBorder="1" applyAlignment="1">
      <alignment horizontal="left"/>
    </xf>
    <xf numFmtId="5" fontId="3" fillId="3" borderId="1" xfId="8" applyNumberFormat="1" applyFont="1" applyFill="1" applyBorder="1" applyAlignment="1">
      <alignment horizontal="center"/>
    </xf>
    <xf numFmtId="0" fontId="1" fillId="3" borderId="1" xfId="0" applyFont="1" applyFill="1" applyBorder="1" applyAlignment="1">
      <alignment horizontal="center"/>
    </xf>
    <xf numFmtId="9" fontId="5" fillId="3" borderId="0" xfId="0" applyNumberFormat="1" applyFont="1" applyFill="1" applyAlignment="1">
      <alignment horizontal="center"/>
    </xf>
    <xf numFmtId="10" fontId="3" fillId="3" borderId="0" xfId="9" applyNumberFormat="1" applyFont="1" applyFill="1" applyBorder="1" applyAlignment="1">
      <alignment horizontal="left" vertical="top"/>
    </xf>
    <xf numFmtId="0" fontId="3" fillId="3" borderId="2" xfId="0" applyFont="1" applyFill="1" applyBorder="1"/>
    <xf numFmtId="176" fontId="9" fillId="0" borderId="0" xfId="0" applyNumberFormat="1" applyFont="1"/>
    <xf numFmtId="8" fontId="50" fillId="0" borderId="0" xfId="0" applyNumberFormat="1" applyFont="1"/>
    <xf numFmtId="0" fontId="50" fillId="0" borderId="0" xfId="0" applyFont="1"/>
    <xf numFmtId="174" fontId="9" fillId="0" borderId="0" xfId="1" applyNumberFormat="1" applyFont="1"/>
    <xf numFmtId="6" fontId="50" fillId="0" borderId="0" xfId="0" applyNumberFormat="1" applyFont="1"/>
    <xf numFmtId="0" fontId="7" fillId="3" borderId="0" xfId="0" applyFont="1" applyFill="1" applyAlignment="1">
      <alignment horizontal="left" wrapText="1"/>
    </xf>
    <xf numFmtId="0" fontId="7" fillId="3" borderId="10" xfId="0" applyFont="1" applyFill="1" applyBorder="1"/>
    <xf numFmtId="0" fontId="3" fillId="3" borderId="6" xfId="0" applyFont="1" applyFill="1" applyBorder="1"/>
    <xf numFmtId="0" fontId="3" fillId="3" borderId="0" xfId="0" quotePrefix="1" applyFont="1" applyFill="1"/>
    <xf numFmtId="6" fontId="3" fillId="3" borderId="0" xfId="0" applyNumberFormat="1" applyFont="1" applyFill="1" applyAlignment="1">
      <alignment vertical="center" wrapText="1"/>
    </xf>
    <xf numFmtId="10" fontId="3" fillId="3" borderId="0" xfId="2" applyNumberFormat="1" applyFont="1" applyFill="1" applyBorder="1" applyAlignment="1">
      <alignment vertical="center" wrapText="1"/>
    </xf>
    <xf numFmtId="182" fontId="50" fillId="0" borderId="0" xfId="0" applyNumberFormat="1" applyFont="1"/>
    <xf numFmtId="10" fontId="3" fillId="3" borderId="1" xfId="2" applyNumberFormat="1" applyFont="1" applyFill="1" applyBorder="1" applyAlignment="1">
      <alignment horizontal="left" vertical="center" wrapText="1"/>
    </xf>
    <xf numFmtId="0" fontId="3" fillId="3" borderId="1" xfId="0" applyFont="1" applyFill="1" applyBorder="1" applyAlignment="1">
      <alignment vertical="center"/>
    </xf>
    <xf numFmtId="0" fontId="3" fillId="3" borderId="4" xfId="0" applyFont="1" applyFill="1" applyBorder="1" applyAlignment="1">
      <alignment vertical="center" wrapText="1"/>
    </xf>
    <xf numFmtId="0" fontId="3" fillId="3" borderId="3" xfId="0" applyFont="1" applyFill="1" applyBorder="1" applyAlignment="1">
      <alignment vertical="center" wrapText="1"/>
    </xf>
    <xf numFmtId="0" fontId="3" fillId="3" borderId="2" xfId="0" applyFont="1" applyFill="1" applyBorder="1" applyAlignment="1">
      <alignment vertical="center"/>
    </xf>
    <xf numFmtId="6" fontId="3" fillId="3" borderId="1" xfId="0" applyNumberFormat="1" applyFont="1" applyFill="1" applyBorder="1" applyAlignment="1">
      <alignment horizontal="left" vertical="center" wrapText="1"/>
    </xf>
    <xf numFmtId="169" fontId="3" fillId="3" borderId="1" xfId="2" applyNumberFormat="1" applyFont="1" applyFill="1" applyBorder="1" applyAlignment="1">
      <alignment horizontal="left" vertical="center" wrapText="1"/>
    </xf>
    <xf numFmtId="0" fontId="51" fillId="0" borderId="0" xfId="0" applyFont="1"/>
    <xf numFmtId="6" fontId="9" fillId="0" borderId="0" xfId="0" applyNumberFormat="1" applyFont="1"/>
    <xf numFmtId="176" fontId="3" fillId="3" borderId="0" xfId="0" applyNumberFormat="1" applyFont="1" applyFill="1" applyAlignment="1">
      <alignment vertical="center" wrapText="1"/>
    </xf>
    <xf numFmtId="179" fontId="9" fillId="0" borderId="0" xfId="0" applyNumberFormat="1" applyFont="1"/>
    <xf numFmtId="6" fontId="3" fillId="3" borderId="0" xfId="0" applyNumberFormat="1" applyFont="1" applyFill="1" applyAlignment="1">
      <alignment horizontal="left" vertical="center" wrapText="1"/>
    </xf>
    <xf numFmtId="176" fontId="9" fillId="0" borderId="11" xfId="0" applyNumberFormat="1" applyFont="1" applyBorder="1"/>
    <xf numFmtId="0" fontId="3" fillId="3" borderId="1" xfId="0" applyFont="1" applyFill="1" applyBorder="1"/>
    <xf numFmtId="2" fontId="9" fillId="0" borderId="0" xfId="0" applyNumberFormat="1" applyFont="1"/>
    <xf numFmtId="0" fontId="3" fillId="3" borderId="2" xfId="0" applyFont="1" applyFill="1" applyBorder="1" applyAlignment="1">
      <alignment vertical="center" wrapText="1"/>
    </xf>
    <xf numFmtId="171" fontId="9" fillId="0" borderId="0" xfId="0" applyNumberFormat="1" applyFont="1"/>
    <xf numFmtId="171" fontId="3" fillId="3" borderId="4" xfId="0" applyNumberFormat="1" applyFont="1" applyFill="1" applyBorder="1" applyAlignment="1">
      <alignment vertical="center" wrapText="1"/>
    </xf>
    <xf numFmtId="182" fontId="3" fillId="3" borderId="0" xfId="0" applyNumberFormat="1" applyFont="1" applyFill="1" applyAlignment="1">
      <alignment vertical="center" wrapText="1"/>
    </xf>
    <xf numFmtId="176" fontId="3" fillId="3" borderId="0" xfId="0" applyNumberFormat="1" applyFont="1" applyFill="1"/>
    <xf numFmtId="182" fontId="3" fillId="3" borderId="0" xfId="0" applyNumberFormat="1" applyFont="1" applyFill="1"/>
    <xf numFmtId="6" fontId="3" fillId="3" borderId="0" xfId="0" applyNumberFormat="1" applyFont="1" applyFill="1"/>
    <xf numFmtId="182" fontId="3" fillId="3" borderId="0" xfId="6" applyNumberFormat="1" applyFont="1" applyFill="1" applyBorder="1" applyAlignment="1">
      <alignment horizontal="center" vertical="center" wrapText="1"/>
    </xf>
    <xf numFmtId="179" fontId="3" fillId="3" borderId="0" xfId="0" applyNumberFormat="1" applyFont="1" applyFill="1"/>
    <xf numFmtId="182" fontId="3" fillId="3" borderId="1" xfId="6" applyNumberFormat="1" applyFont="1" applyFill="1" applyBorder="1" applyAlignment="1">
      <alignment horizontal="left" vertical="center" wrapText="1"/>
    </xf>
    <xf numFmtId="0" fontId="3" fillId="3" borderId="0" xfId="0" applyFont="1" applyFill="1" applyAlignment="1">
      <alignment horizontal="center" vertical="center" wrapText="1"/>
    </xf>
    <xf numFmtId="0" fontId="1" fillId="3" borderId="0" xfId="0" applyFont="1" applyFill="1" applyAlignment="1">
      <alignment vertical="center" wrapText="1"/>
    </xf>
    <xf numFmtId="0" fontId="1" fillId="3" borderId="0" xfId="0" applyFont="1" applyFill="1" applyAlignment="1">
      <alignment horizontal="center" vertical="center" wrapText="1"/>
    </xf>
    <xf numFmtId="15" fontId="3" fillId="3" borderId="1" xfId="0" applyNumberFormat="1" applyFont="1" applyFill="1" applyBorder="1" applyAlignment="1">
      <alignment horizontal="left" vertical="center" wrapText="1"/>
    </xf>
    <xf numFmtId="179" fontId="19" fillId="0" borderId="0" xfId="0" applyNumberFormat="1" applyFont="1"/>
    <xf numFmtId="0" fontId="3" fillId="3" borderId="0" xfId="0" applyFont="1" applyFill="1" applyAlignment="1">
      <alignment horizontal="center" vertical="top"/>
    </xf>
    <xf numFmtId="0" fontId="3" fillId="3" borderId="3" xfId="0" applyFont="1" applyFill="1" applyBorder="1" applyAlignment="1">
      <alignment horizontal="left"/>
    </xf>
    <xf numFmtId="10" fontId="3" fillId="3" borderId="2" xfId="0" applyNumberFormat="1" applyFont="1" applyFill="1" applyBorder="1" applyAlignment="1">
      <alignment horizontal="left"/>
    </xf>
    <xf numFmtId="0" fontId="52" fillId="3" borderId="0" xfId="0" applyFont="1" applyFill="1"/>
    <xf numFmtId="172" fontId="21" fillId="0" borderId="0" xfId="5" applyNumberFormat="1" applyFont="1" applyAlignment="1">
      <alignment horizontal="center" wrapText="1"/>
    </xf>
    <xf numFmtId="168" fontId="2" fillId="4" borderId="2" xfId="0" applyNumberFormat="1" applyFont="1" applyFill="1" applyBorder="1" applyAlignment="1">
      <alignment horizontal="right"/>
    </xf>
    <xf numFmtId="168" fontId="2" fillId="4" borderId="4" xfId="0" applyNumberFormat="1" applyFont="1" applyFill="1" applyBorder="1" applyAlignment="1">
      <alignment horizontal="right"/>
    </xf>
    <xf numFmtId="0" fontId="18" fillId="0" borderId="14" xfId="0" applyFont="1" applyBorder="1" applyAlignment="1">
      <alignment horizontal="left" vertical="top" wrapText="1"/>
    </xf>
    <xf numFmtId="0" fontId="18" fillId="0" borderId="7" xfId="0" applyFont="1" applyBorder="1" applyAlignment="1">
      <alignment horizontal="left" vertical="top" wrapText="1"/>
    </xf>
    <xf numFmtId="0" fontId="18" fillId="0" borderId="0" xfId="0" applyFont="1" applyAlignment="1">
      <alignment horizontal="left" vertical="top" wrapText="1"/>
    </xf>
    <xf numFmtId="0" fontId="18" fillId="0" borderId="9" xfId="0" applyFont="1" applyBorder="1" applyAlignment="1">
      <alignment horizontal="left" vertical="top" wrapText="1"/>
    </xf>
    <xf numFmtId="0" fontId="18" fillId="0" borderId="11" xfId="0" applyFont="1" applyBorder="1" applyAlignment="1">
      <alignment horizontal="left" vertical="top" wrapText="1"/>
    </xf>
    <xf numFmtId="0" fontId="18" fillId="0" borderId="12" xfId="0" applyFont="1" applyBorder="1" applyAlignment="1">
      <alignment horizontal="left" vertical="top" wrapText="1"/>
    </xf>
    <xf numFmtId="0" fontId="3" fillId="2" borderId="2" xfId="0" applyFont="1" applyFill="1" applyBorder="1" applyAlignment="1">
      <alignment horizontal="left" vertical="center"/>
    </xf>
    <xf numFmtId="0" fontId="3" fillId="2" borderId="4" xfId="0" applyFont="1" applyFill="1" applyBorder="1" applyAlignment="1">
      <alignment horizontal="left" vertical="center"/>
    </xf>
    <xf numFmtId="10" fontId="3" fillId="4" borderId="2" xfId="0" applyNumberFormat="1" applyFont="1" applyFill="1" applyBorder="1" applyAlignment="1">
      <alignment horizontal="left" vertical="top"/>
    </xf>
    <xf numFmtId="0" fontId="3" fillId="4" borderId="4" xfId="0" applyFont="1" applyFill="1" applyBorder="1" applyAlignment="1">
      <alignment horizontal="left" vertical="top"/>
    </xf>
    <xf numFmtId="164" fontId="3" fillId="4" borderId="2" xfId="0" applyNumberFormat="1" applyFont="1" applyFill="1" applyBorder="1" applyAlignment="1">
      <alignment horizontal="left" vertical="top"/>
    </xf>
    <xf numFmtId="164" fontId="3" fillId="4" borderId="4" xfId="0" applyNumberFormat="1" applyFont="1" applyFill="1" applyBorder="1" applyAlignment="1">
      <alignment horizontal="left" vertical="top"/>
    </xf>
    <xf numFmtId="0" fontId="3" fillId="2" borderId="2" xfId="0" applyFont="1" applyFill="1" applyBorder="1" applyAlignment="1">
      <alignment horizontal="left"/>
    </xf>
    <xf numFmtId="0" fontId="3" fillId="2" borderId="4" xfId="0" applyFont="1" applyFill="1" applyBorder="1" applyAlignment="1">
      <alignment horizontal="left"/>
    </xf>
    <xf numFmtId="0" fontId="2" fillId="2" borderId="0" xfId="0" applyFont="1" applyFill="1"/>
    <xf numFmtId="0" fontId="3" fillId="2" borderId="10" xfId="0" applyFont="1" applyFill="1" applyBorder="1" applyAlignment="1">
      <alignment horizontal="left" vertical="center"/>
    </xf>
    <xf numFmtId="0" fontId="3" fillId="2" borderId="12" xfId="0" applyFont="1" applyFill="1" applyBorder="1" applyAlignment="1">
      <alignment horizontal="left" vertical="center"/>
    </xf>
    <xf numFmtId="0" fontId="3" fillId="4" borderId="2" xfId="0" applyFont="1" applyFill="1" applyBorder="1" applyAlignment="1">
      <alignment horizontal="left" wrapText="1"/>
    </xf>
    <xf numFmtId="0" fontId="3" fillId="4" borderId="4" xfId="0" applyFont="1" applyFill="1" applyBorder="1" applyAlignment="1">
      <alignment horizontal="left" wrapText="1"/>
    </xf>
    <xf numFmtId="0" fontId="3" fillId="2" borderId="6" xfId="0" applyFont="1" applyFill="1" applyBorder="1" applyAlignment="1">
      <alignment vertical="center"/>
    </xf>
    <xf numFmtId="0" fontId="3" fillId="2" borderId="7" xfId="0" applyFont="1" applyFill="1" applyBorder="1" applyAlignment="1">
      <alignment vertical="center"/>
    </xf>
    <xf numFmtId="0" fontId="3" fillId="4" borderId="10" xfId="0" applyFont="1" applyFill="1" applyBorder="1" applyAlignment="1">
      <alignment horizontal="left" vertical="top"/>
    </xf>
    <xf numFmtId="0" fontId="3" fillId="4" borderId="12" xfId="0" applyFont="1" applyFill="1" applyBorder="1" applyAlignment="1">
      <alignment horizontal="left" vertical="top"/>
    </xf>
    <xf numFmtId="0" fontId="3" fillId="4" borderId="2" xfId="0" applyFont="1" applyFill="1" applyBorder="1" applyAlignment="1">
      <alignment horizontal="left" vertical="top"/>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6" xfId="0" applyFont="1" applyFill="1" applyBorder="1" applyAlignment="1">
      <alignment horizontal="left" vertical="top"/>
    </xf>
    <xf numFmtId="0" fontId="3" fillId="2" borderId="14" xfId="0" applyFont="1" applyFill="1" applyBorder="1" applyAlignment="1">
      <alignment horizontal="left" vertical="top"/>
    </xf>
    <xf numFmtId="0" fontId="3" fillId="2" borderId="2" xfId="0" applyFont="1" applyFill="1" applyBorder="1" applyAlignment="1">
      <alignment horizontal="left" vertical="top"/>
    </xf>
    <xf numFmtId="0" fontId="3" fillId="2" borderId="4" xfId="0" applyFont="1" applyFill="1" applyBorder="1" applyAlignment="1">
      <alignment horizontal="left" vertical="top"/>
    </xf>
    <xf numFmtId="0" fontId="3" fillId="2" borderId="2"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0" xfId="0" applyFont="1" applyFill="1" applyAlignment="1">
      <alignment wrapText="1"/>
    </xf>
    <xf numFmtId="0" fontId="3" fillId="2" borderId="3" xfId="0" applyFont="1" applyFill="1" applyBorder="1" applyAlignment="1">
      <alignment horizontal="left" vertical="top" wrapText="1"/>
    </xf>
    <xf numFmtId="0" fontId="3" fillId="2" borderId="8" xfId="0" applyFont="1" applyFill="1" applyBorder="1" applyAlignment="1">
      <alignment horizontal="left" vertical="top"/>
    </xf>
    <xf numFmtId="0" fontId="3" fillId="2" borderId="0" xfId="0" applyFont="1" applyFill="1" applyAlignment="1">
      <alignment horizontal="left" vertical="top"/>
    </xf>
    <xf numFmtId="0" fontId="3" fillId="2" borderId="10" xfId="0" applyFont="1" applyFill="1" applyBorder="1" applyAlignment="1">
      <alignment horizontal="left" vertical="top"/>
    </xf>
    <xf numFmtId="0" fontId="3" fillId="2" borderId="11" xfId="0" applyFont="1" applyFill="1" applyBorder="1" applyAlignment="1">
      <alignment horizontal="left" vertical="top"/>
    </xf>
    <xf numFmtId="0" fontId="3" fillId="2" borderId="14" xfId="0" applyFont="1" applyFill="1" applyBorder="1" applyAlignment="1">
      <alignment horizontal="left" vertical="center"/>
    </xf>
    <xf numFmtId="0" fontId="3" fillId="2" borderId="8"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2" borderId="6" xfId="0" applyFont="1" applyFill="1" applyBorder="1" applyAlignment="1">
      <alignment horizontal="left" vertical="top" wrapText="1"/>
    </xf>
    <xf numFmtId="0" fontId="3" fillId="2" borderId="7" xfId="0" applyFont="1" applyFill="1" applyBorder="1" applyAlignment="1">
      <alignment horizontal="left" vertical="top" wrapText="1"/>
    </xf>
    <xf numFmtId="0" fontId="19" fillId="0" borderId="17" xfId="0" applyFont="1" applyBorder="1" applyAlignment="1">
      <alignment horizontal="center" wrapText="1"/>
    </xf>
    <xf numFmtId="0" fontId="21" fillId="0" borderId="19" xfId="0" applyFont="1" applyBorder="1" applyAlignment="1">
      <alignment horizontal="center" wrapText="1"/>
    </xf>
    <xf numFmtId="0" fontId="21" fillId="0" borderId="18" xfId="0" applyFont="1" applyBorder="1" applyAlignment="1">
      <alignment horizontal="center" wrapText="1"/>
    </xf>
    <xf numFmtId="172" fontId="0" fillId="0" borderId="0" xfId="5" applyNumberFormat="1" applyFont="1" applyAlignment="1">
      <alignment horizontal="center" wrapText="1"/>
    </xf>
    <xf numFmtId="0" fontId="40" fillId="0" borderId="14" xfId="0" applyFont="1" applyBorder="1" applyAlignment="1">
      <alignment horizontal="center"/>
    </xf>
    <xf numFmtId="0" fontId="40" fillId="0" borderId="14" xfId="0" applyFont="1" applyBorder="1" applyAlignment="1">
      <alignment horizontal="center" vertical="center"/>
    </xf>
    <xf numFmtId="0" fontId="40" fillId="0" borderId="7" xfId="0" applyFont="1" applyBorder="1" applyAlignment="1">
      <alignment horizontal="center" vertical="center"/>
    </xf>
    <xf numFmtId="0" fontId="40" fillId="0" borderId="14" xfId="0" applyFont="1" applyBorder="1" applyAlignment="1">
      <alignment horizontal="right" vertical="center"/>
    </xf>
    <xf numFmtId="0" fontId="40" fillId="0" borderId="7" xfId="0" applyFont="1" applyBorder="1" applyAlignment="1">
      <alignment horizontal="center"/>
    </xf>
    <xf numFmtId="0" fontId="3" fillId="3" borderId="1" xfId="0" applyFont="1" applyFill="1" applyBorder="1" applyAlignment="1">
      <alignment horizontal="left" vertical="center" wrapText="1"/>
    </xf>
    <xf numFmtId="0" fontId="7" fillId="3" borderId="6" xfId="0" applyFont="1" applyFill="1" applyBorder="1" applyAlignment="1">
      <alignment horizontal="left" wrapText="1"/>
    </xf>
    <xf numFmtId="0" fontId="7" fillId="3" borderId="14" xfId="0" applyFont="1" applyFill="1" applyBorder="1" applyAlignment="1">
      <alignment horizontal="left" wrapText="1"/>
    </xf>
    <xf numFmtId="0" fontId="7" fillId="3" borderId="7" xfId="0" applyFont="1" applyFill="1" applyBorder="1" applyAlignment="1">
      <alignment horizontal="left" wrapText="1"/>
    </xf>
    <xf numFmtId="0" fontId="7" fillId="3" borderId="10" xfId="0" applyFont="1" applyFill="1" applyBorder="1" applyAlignment="1">
      <alignment horizontal="left" wrapText="1"/>
    </xf>
    <xf numFmtId="0" fontId="7" fillId="3" borderId="11" xfId="0" applyFont="1" applyFill="1" applyBorder="1" applyAlignment="1">
      <alignment horizontal="left" wrapText="1"/>
    </xf>
    <xf numFmtId="0" fontId="7" fillId="3" borderId="12" xfId="0" applyFont="1" applyFill="1" applyBorder="1" applyAlignment="1">
      <alignment horizontal="left" wrapText="1"/>
    </xf>
    <xf numFmtId="0" fontId="3" fillId="0" borderId="1" xfId="0" applyFont="1" applyBorder="1" applyAlignment="1">
      <alignment horizontal="left" wrapText="1"/>
    </xf>
    <xf numFmtId="0" fontId="3" fillId="0" borderId="6" xfId="0" applyFont="1" applyBorder="1" applyAlignment="1">
      <alignment horizontal="left" vertical="center"/>
    </xf>
    <xf numFmtId="0" fontId="3" fillId="0" borderId="14" xfId="0" applyFont="1" applyBorder="1" applyAlignment="1">
      <alignment horizontal="left" vertical="center"/>
    </xf>
    <xf numFmtId="0" fontId="3" fillId="0" borderId="7"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2" xfId="0" applyFont="1" applyBorder="1" applyAlignment="1">
      <alignment wrapText="1"/>
    </xf>
    <xf numFmtId="0" fontId="3" fillId="0" borderId="3" xfId="0" applyFont="1" applyBorder="1" applyAlignment="1">
      <alignment wrapText="1"/>
    </xf>
    <xf numFmtId="0" fontId="3" fillId="0" borderId="4" xfId="0" applyFont="1" applyBorder="1" applyAlignment="1">
      <alignment wrapText="1"/>
    </xf>
    <xf numFmtId="0" fontId="7" fillId="0" borderId="1" xfId="0" applyFont="1" applyBorder="1" applyAlignment="1">
      <alignment horizontal="left" vertical="center"/>
    </xf>
    <xf numFmtId="0" fontId="3" fillId="0" borderId="1" xfId="0" applyFont="1" applyBorder="1" applyAlignment="1">
      <alignment horizontal="left" vertical="center"/>
    </xf>
    <xf numFmtId="10" fontId="3" fillId="0" borderId="1" xfId="9" applyNumberFormat="1" applyFont="1" applyFill="1" applyBorder="1" applyAlignment="1">
      <alignment horizontal="left" vertical="top"/>
    </xf>
    <xf numFmtId="0" fontId="3" fillId="0" borderId="1" xfId="0" quotePrefix="1" applyFont="1" applyBorder="1" applyAlignment="1">
      <alignment horizontal="left" vertical="top"/>
    </xf>
    <xf numFmtId="10" fontId="3" fillId="0" borderId="2" xfId="9" applyNumberFormat="1" applyFont="1" applyFill="1" applyBorder="1" applyAlignment="1">
      <alignment horizontal="left" vertical="top" wrapText="1"/>
    </xf>
    <xf numFmtId="10" fontId="3" fillId="0" borderId="4" xfId="9" applyNumberFormat="1" applyFont="1" applyFill="1" applyBorder="1" applyAlignment="1">
      <alignment horizontal="left" vertical="top"/>
    </xf>
    <xf numFmtId="10" fontId="3" fillId="0" borderId="2" xfId="9" applyNumberFormat="1" applyFont="1" applyFill="1" applyBorder="1" applyAlignment="1">
      <alignment horizontal="left" vertical="top"/>
    </xf>
    <xf numFmtId="0" fontId="3" fillId="0" borderId="2" xfId="0" applyFont="1" applyBorder="1" applyAlignment="1">
      <alignment horizontal="left"/>
    </xf>
    <xf numFmtId="0" fontId="3" fillId="0" borderId="4" xfId="0" applyFont="1" applyBorder="1" applyAlignment="1">
      <alignment horizontal="left"/>
    </xf>
    <xf numFmtId="0" fontId="7" fillId="0" borderId="6" xfId="0" applyFont="1" applyBorder="1" applyAlignment="1">
      <alignment horizontal="left" wrapText="1"/>
    </xf>
    <xf numFmtId="0" fontId="7" fillId="0" borderId="14" xfId="0" applyFont="1" applyBorder="1" applyAlignment="1">
      <alignment horizontal="left" wrapText="1"/>
    </xf>
    <xf numFmtId="0" fontId="7" fillId="0" borderId="7" xfId="0" applyFont="1" applyBorder="1" applyAlignment="1">
      <alignment horizontal="left" wrapText="1"/>
    </xf>
    <xf numFmtId="0" fontId="7" fillId="0" borderId="10" xfId="0" applyFont="1" applyBorder="1" applyAlignment="1">
      <alignment horizontal="left" wrapText="1"/>
    </xf>
    <xf numFmtId="0" fontId="7" fillId="0" borderId="11" xfId="0" applyFont="1" applyBorder="1" applyAlignment="1">
      <alignment horizontal="left" wrapText="1"/>
    </xf>
    <xf numFmtId="0" fontId="7" fillId="0" borderId="12" xfId="0" applyFont="1" applyBorder="1" applyAlignment="1">
      <alignment horizontal="left" wrapText="1"/>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9" xfId="0" applyFont="1" applyBorder="1" applyAlignment="1">
      <alignment horizontal="left" vertical="top"/>
    </xf>
    <xf numFmtId="181" fontId="3" fillId="0" borderId="1" xfId="9" applyNumberFormat="1" applyFont="1" applyFill="1" applyBorder="1" applyAlignment="1">
      <alignment horizontal="left" vertical="top"/>
    </xf>
    <xf numFmtId="0" fontId="3" fillId="3" borderId="2" xfId="0" applyFont="1" applyFill="1" applyBorder="1" applyAlignment="1">
      <alignment horizontal="left"/>
    </xf>
    <xf numFmtId="0" fontId="3" fillId="3" borderId="4" xfId="0" applyFont="1" applyFill="1" applyBorder="1" applyAlignment="1">
      <alignment horizontal="left"/>
    </xf>
    <xf numFmtId="0" fontId="3" fillId="3" borderId="1" xfId="0" applyFont="1" applyFill="1" applyBorder="1" applyAlignment="1">
      <alignment horizontal="left" wrapText="1"/>
    </xf>
    <xf numFmtId="0" fontId="3" fillId="3" borderId="2" xfId="0" applyFont="1" applyFill="1" applyBorder="1" applyAlignment="1">
      <alignment wrapText="1"/>
    </xf>
    <xf numFmtId="0" fontId="3" fillId="3" borderId="3" xfId="0" applyFont="1" applyFill="1" applyBorder="1" applyAlignment="1">
      <alignment wrapText="1"/>
    </xf>
    <xf numFmtId="0" fontId="3" fillId="3" borderId="4" xfId="0" applyFont="1" applyFill="1" applyBorder="1" applyAlignment="1">
      <alignment wrapText="1"/>
    </xf>
    <xf numFmtId="0" fontId="3" fillId="3" borderId="1" xfId="0" quotePrefix="1" applyFont="1" applyFill="1" applyBorder="1" applyAlignment="1">
      <alignment horizontal="left" vertical="top"/>
    </xf>
    <xf numFmtId="10" fontId="3" fillId="3" borderId="1" xfId="9" applyNumberFormat="1" applyFont="1" applyFill="1" applyBorder="1" applyAlignment="1">
      <alignment horizontal="left" vertical="top"/>
    </xf>
    <xf numFmtId="0" fontId="7" fillId="3" borderId="1" xfId="0" applyFont="1" applyFill="1" applyBorder="1" applyAlignment="1">
      <alignment horizontal="left" vertical="center"/>
    </xf>
    <xf numFmtId="0" fontId="3" fillId="3" borderId="6" xfId="0" applyFont="1" applyFill="1" applyBorder="1" applyAlignment="1">
      <alignment horizontal="left" vertical="top"/>
    </xf>
    <xf numFmtId="0" fontId="3" fillId="3" borderId="7" xfId="0" applyFont="1" applyFill="1" applyBorder="1" applyAlignment="1">
      <alignment horizontal="left" vertical="top"/>
    </xf>
    <xf numFmtId="0" fontId="3" fillId="3" borderId="8" xfId="0" applyFont="1" applyFill="1" applyBorder="1" applyAlignment="1">
      <alignment horizontal="left" vertical="top"/>
    </xf>
    <xf numFmtId="0" fontId="3" fillId="3" borderId="9" xfId="0" applyFont="1" applyFill="1" applyBorder="1" applyAlignment="1">
      <alignment horizontal="left" vertical="top"/>
    </xf>
    <xf numFmtId="0" fontId="3" fillId="3" borderId="6" xfId="0" applyFont="1" applyFill="1" applyBorder="1" applyAlignment="1">
      <alignment horizontal="left" vertical="center"/>
    </xf>
    <xf numFmtId="0" fontId="3" fillId="3" borderId="14" xfId="0" applyFont="1" applyFill="1" applyBorder="1" applyAlignment="1">
      <alignment horizontal="left" vertical="center"/>
    </xf>
    <xf numFmtId="0" fontId="3" fillId="3" borderId="7" xfId="0" applyFont="1" applyFill="1" applyBorder="1" applyAlignment="1">
      <alignment horizontal="left" vertical="center"/>
    </xf>
    <xf numFmtId="0" fontId="3" fillId="3" borderId="10" xfId="0" applyFont="1" applyFill="1" applyBorder="1" applyAlignment="1">
      <alignment horizontal="left" vertical="center"/>
    </xf>
    <xf numFmtId="0" fontId="3" fillId="3" borderId="11" xfId="0" applyFont="1" applyFill="1" applyBorder="1" applyAlignment="1">
      <alignment horizontal="left" vertical="center"/>
    </xf>
    <xf numFmtId="0" fontId="3" fillId="3" borderId="12" xfId="0" applyFont="1" applyFill="1" applyBorder="1" applyAlignment="1">
      <alignment horizontal="left" vertical="center"/>
    </xf>
    <xf numFmtId="0" fontId="3" fillId="3" borderId="1" xfId="0" applyFont="1" applyFill="1" applyBorder="1" applyAlignment="1">
      <alignment horizontal="left" vertical="center"/>
    </xf>
    <xf numFmtId="10" fontId="3" fillId="3" borderId="2" xfId="9" applyNumberFormat="1" applyFont="1" applyFill="1" applyBorder="1" applyAlignment="1">
      <alignment horizontal="left" vertical="top"/>
    </xf>
    <xf numFmtId="10" fontId="3" fillId="3" borderId="4" xfId="9" applyNumberFormat="1" applyFont="1" applyFill="1" applyBorder="1" applyAlignment="1">
      <alignment horizontal="left" vertical="top"/>
    </xf>
    <xf numFmtId="10" fontId="3" fillId="3" borderId="2" xfId="9" applyNumberFormat="1" applyFont="1" applyFill="1" applyBorder="1" applyAlignment="1">
      <alignment horizontal="left" vertical="top" wrapText="1"/>
    </xf>
    <xf numFmtId="181" fontId="3" fillId="3" borderId="1" xfId="9" applyNumberFormat="1" applyFont="1" applyFill="1" applyBorder="1" applyAlignment="1">
      <alignment horizontal="left" vertical="top"/>
    </xf>
    <xf numFmtId="0" fontId="46" fillId="0" borderId="28" xfId="0" applyFont="1" applyBorder="1" applyAlignment="1">
      <alignment vertical="center" wrapText="1"/>
    </xf>
    <xf numFmtId="0" fontId="46" fillId="0" borderId="0" xfId="0" applyFont="1" applyAlignment="1">
      <alignment vertical="center" wrapText="1"/>
    </xf>
    <xf numFmtId="0" fontId="46" fillId="0" borderId="27" xfId="0" applyFont="1" applyBorder="1" applyAlignment="1">
      <alignment vertical="center" wrapText="1"/>
    </xf>
    <xf numFmtId="0" fontId="46" fillId="0" borderId="17" xfId="0" applyFont="1" applyBorder="1" applyAlignment="1">
      <alignment horizontal="center" vertical="center" wrapText="1"/>
    </xf>
    <xf numFmtId="0" fontId="46" fillId="0" borderId="18" xfId="0" applyFont="1" applyBorder="1" applyAlignment="1">
      <alignment horizontal="center" vertical="center" wrapText="1"/>
    </xf>
    <xf numFmtId="0" fontId="46" fillId="0" borderId="19" xfId="0" applyFont="1" applyBorder="1" applyAlignment="1">
      <alignment horizontal="center" vertical="center" wrapText="1"/>
    </xf>
    <xf numFmtId="0" fontId="46" fillId="0" borderId="17" xfId="0" applyFont="1" applyBorder="1" applyAlignment="1">
      <alignment vertical="center" wrapText="1"/>
    </xf>
    <xf numFmtId="0" fontId="46" fillId="0" borderId="18" xfId="0" applyFont="1" applyBorder="1" applyAlignment="1">
      <alignment vertical="center" wrapText="1"/>
    </xf>
    <xf numFmtId="0" fontId="46" fillId="0" borderId="19" xfId="0" applyFont="1" applyBorder="1" applyAlignment="1">
      <alignment vertical="center" wrapText="1"/>
    </xf>
    <xf numFmtId="0" fontId="46" fillId="0" borderId="22" xfId="0" applyFont="1" applyBorder="1" applyAlignment="1">
      <alignment vertical="center" wrapText="1"/>
    </xf>
    <xf numFmtId="0" fontId="46" fillId="0" borderId="21" xfId="0" applyFont="1" applyBorder="1" applyAlignment="1">
      <alignment vertical="center" wrapText="1"/>
    </xf>
    <xf numFmtId="0" fontId="46" fillId="0" borderId="20" xfId="0" applyFont="1" applyBorder="1" applyAlignment="1">
      <alignment vertical="center" wrapText="1"/>
    </xf>
    <xf numFmtId="0" fontId="46" fillId="0" borderId="30" xfId="0" applyFont="1" applyBorder="1" applyAlignment="1">
      <alignment vertical="center" wrapText="1"/>
    </xf>
    <xf numFmtId="0" fontId="46" fillId="0" borderId="23" xfId="0" applyFont="1" applyBorder="1" applyAlignment="1">
      <alignment vertical="center" wrapText="1"/>
    </xf>
    <xf numFmtId="0" fontId="46" fillId="0" borderId="26" xfId="0" applyFont="1" applyBorder="1" applyAlignment="1">
      <alignment vertical="center" wrapText="1"/>
    </xf>
    <xf numFmtId="0" fontId="46" fillId="0" borderId="25" xfId="0" applyFont="1" applyBorder="1" applyAlignment="1">
      <alignment vertical="center" wrapText="1"/>
    </xf>
    <xf numFmtId="0" fontId="46" fillId="0" borderId="24" xfId="0" applyFont="1" applyBorder="1" applyAlignment="1">
      <alignment vertical="center" wrapText="1"/>
    </xf>
    <xf numFmtId="0" fontId="46" fillId="0" borderId="29" xfId="0" applyFont="1" applyBorder="1" applyAlignment="1">
      <alignment vertical="center" wrapText="1"/>
    </xf>
    <xf numFmtId="0" fontId="3" fillId="3" borderId="2" xfId="0" applyFont="1" applyFill="1" applyBorder="1"/>
    <xf numFmtId="0" fontId="3" fillId="3" borderId="4" xfId="0" applyFont="1" applyFill="1" applyBorder="1"/>
    <xf numFmtId="0" fontId="1" fillId="3" borderId="1" xfId="0" applyFont="1" applyFill="1" applyBorder="1" applyAlignment="1">
      <alignment horizontal="left" vertical="top"/>
    </xf>
    <xf numFmtId="0" fontId="3" fillId="3" borderId="1" xfId="0" applyFont="1" applyFill="1" applyBorder="1" applyAlignment="1">
      <alignment horizontal="left" vertical="top"/>
    </xf>
    <xf numFmtId="0" fontId="3" fillId="3" borderId="6" xfId="0" applyFont="1" applyFill="1" applyBorder="1" applyAlignment="1">
      <alignment vertical="top"/>
    </xf>
    <xf numFmtId="0" fontId="3" fillId="3" borderId="7" xfId="0" applyFont="1" applyFill="1" applyBorder="1" applyAlignment="1">
      <alignment vertical="top"/>
    </xf>
    <xf numFmtId="0" fontId="3" fillId="3" borderId="8" xfId="0" applyFont="1" applyFill="1" applyBorder="1" applyAlignment="1">
      <alignment vertical="top"/>
    </xf>
    <xf numFmtId="0" fontId="3" fillId="3" borderId="9" xfId="0" applyFont="1" applyFill="1" applyBorder="1" applyAlignment="1">
      <alignment vertical="top"/>
    </xf>
    <xf numFmtId="0" fontId="3" fillId="3" borderId="10" xfId="0" applyFont="1" applyFill="1" applyBorder="1" applyAlignment="1">
      <alignment vertical="top"/>
    </xf>
    <xf numFmtId="0" fontId="3" fillId="3" borderId="12" xfId="0" applyFont="1" applyFill="1" applyBorder="1" applyAlignment="1">
      <alignment vertical="top"/>
    </xf>
    <xf numFmtId="0" fontId="3" fillId="3" borderId="3" xfId="0" applyFont="1" applyFill="1" applyBorder="1"/>
    <xf numFmtId="0" fontId="3" fillId="3" borderId="0" xfId="0" applyFont="1" applyFill="1" applyAlignment="1">
      <alignment horizontal="left" wrapText="1"/>
    </xf>
    <xf numFmtId="0" fontId="3" fillId="3" borderId="2" xfId="0" applyFont="1" applyFill="1" applyBorder="1" applyAlignment="1">
      <alignment horizontal="left" vertical="top"/>
    </xf>
    <xf numFmtId="0" fontId="3" fillId="3" borderId="3" xfId="0" applyFont="1" applyFill="1" applyBorder="1" applyAlignment="1">
      <alignment horizontal="left" vertical="top"/>
    </xf>
    <xf numFmtId="0" fontId="3" fillId="3" borderId="4" xfId="0" applyFont="1" applyFill="1" applyBorder="1" applyAlignment="1">
      <alignment horizontal="left" vertical="top"/>
    </xf>
    <xf numFmtId="0" fontId="3" fillId="3" borderId="6" xfId="0" applyFont="1" applyFill="1" applyBorder="1" applyAlignment="1">
      <alignment horizontal="left" vertical="top" wrapText="1"/>
    </xf>
    <xf numFmtId="0" fontId="3" fillId="3" borderId="14" xfId="0" applyFont="1" applyFill="1" applyBorder="1" applyAlignment="1">
      <alignment horizontal="left" vertical="top" wrapText="1"/>
    </xf>
    <xf numFmtId="0" fontId="3" fillId="3" borderId="7" xfId="0" applyFont="1" applyFill="1" applyBorder="1" applyAlignment="1">
      <alignment horizontal="left" vertical="top" wrapText="1"/>
    </xf>
    <xf numFmtId="0" fontId="3" fillId="3" borderId="10" xfId="0" applyFont="1" applyFill="1" applyBorder="1" applyAlignment="1">
      <alignment horizontal="left" vertical="top" wrapText="1"/>
    </xf>
    <xf numFmtId="0" fontId="3" fillId="3" borderId="11" xfId="0" applyFont="1" applyFill="1" applyBorder="1" applyAlignment="1">
      <alignment horizontal="left" vertical="top" wrapText="1"/>
    </xf>
    <xf numFmtId="0" fontId="3" fillId="3" borderId="12" xfId="0" applyFont="1" applyFill="1" applyBorder="1" applyAlignment="1">
      <alignment horizontal="left" vertical="top" wrapText="1"/>
    </xf>
    <xf numFmtId="0" fontId="3" fillId="3" borderId="2" xfId="0" applyFont="1" applyFill="1" applyBorder="1" applyAlignment="1">
      <alignment horizontal="left" vertical="top" wrapText="1"/>
    </xf>
    <xf numFmtId="0" fontId="3" fillId="3" borderId="3" xfId="0" applyFont="1" applyFill="1" applyBorder="1" applyAlignment="1">
      <alignment horizontal="left" vertical="top" wrapText="1"/>
    </xf>
    <xf numFmtId="0" fontId="3" fillId="3" borderId="4" xfId="0" applyFont="1" applyFill="1" applyBorder="1" applyAlignment="1">
      <alignment horizontal="left" vertical="top" wrapText="1"/>
    </xf>
    <xf numFmtId="0" fontId="3" fillId="3" borderId="3" xfId="0" applyFont="1" applyFill="1" applyBorder="1" applyAlignment="1">
      <alignment horizontal="left"/>
    </xf>
    <xf numFmtId="9" fontId="1" fillId="3" borderId="3" xfId="0" applyNumberFormat="1" applyFont="1" applyFill="1" applyBorder="1" applyAlignment="1">
      <alignment horizontal="left" vertical="top"/>
    </xf>
    <xf numFmtId="9" fontId="1" fillId="3" borderId="4" xfId="0" applyNumberFormat="1" applyFont="1" applyFill="1" applyBorder="1" applyAlignment="1">
      <alignment horizontal="left" vertical="top"/>
    </xf>
    <xf numFmtId="10" fontId="3" fillId="3" borderId="3" xfId="0" applyNumberFormat="1" applyFont="1" applyFill="1" applyBorder="1" applyAlignment="1">
      <alignment horizontal="left" vertical="top"/>
    </xf>
    <xf numFmtId="10" fontId="3" fillId="3" borderId="4" xfId="0" applyNumberFormat="1" applyFont="1" applyFill="1" applyBorder="1" applyAlignment="1">
      <alignment horizontal="left" vertical="top"/>
    </xf>
    <xf numFmtId="10" fontId="3" fillId="3" borderId="2" xfId="0" applyNumberFormat="1" applyFont="1" applyFill="1" applyBorder="1" applyAlignment="1">
      <alignment horizontal="left" vertical="top"/>
    </xf>
    <xf numFmtId="9" fontId="3" fillId="3" borderId="1" xfId="0" applyNumberFormat="1" applyFont="1" applyFill="1" applyBorder="1" applyAlignment="1">
      <alignment horizontal="left" vertical="top"/>
    </xf>
    <xf numFmtId="0" fontId="10" fillId="3" borderId="0" xfId="0" applyFont="1" applyFill="1" applyAlignment="1">
      <alignment horizontal="left" wrapText="1"/>
    </xf>
    <xf numFmtId="9" fontId="3" fillId="3" borderId="2" xfId="0" applyNumberFormat="1" applyFont="1" applyFill="1" applyBorder="1" applyAlignment="1">
      <alignment horizontal="left" vertical="top"/>
    </xf>
  </cellXfs>
  <cellStyles count="10">
    <cellStyle name="Comma" xfId="1" builtinId="3"/>
    <cellStyle name="Comma 2" xfId="5" xr:uid="{01CC045A-0D2D-4F0F-8738-524196D58D5A}"/>
    <cellStyle name="Comma 2 2" xfId="3" xr:uid="{00000000-0005-0000-0000-000001000000}"/>
    <cellStyle name="Comma 3" xfId="8" xr:uid="{5AB33AD1-DE10-497E-8EDF-3216A1EE9C5F}"/>
    <cellStyle name="Currency" xfId="6" builtinId="4"/>
    <cellStyle name="Currency 2" xfId="7" xr:uid="{ECAA8549-9548-4729-932A-081876BBB0DE}"/>
    <cellStyle name="Monétaire 2" xfId="4" xr:uid="{00000000-0005-0000-0000-000003000000}"/>
    <cellStyle name="Normal" xfId="0" builtinId="0"/>
    <cellStyle name="Percent" xfId="2" builtinId="5"/>
    <cellStyle name="Percent 2" xfId="9" xr:uid="{DBB69026-2436-4117-B5B2-FC0B9F7E9B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33</xdr:row>
      <xdr:rowOff>0</xdr:rowOff>
    </xdr:from>
    <xdr:to>
      <xdr:col>1</xdr:col>
      <xdr:colOff>387350</xdr:colOff>
      <xdr:row>34</xdr:row>
      <xdr:rowOff>0</xdr:rowOff>
    </xdr:to>
    <xdr:pic>
      <xdr:nvPicPr>
        <xdr:cNvPr id="2" name="Picture 1">
          <a:extLst>
            <a:ext uri="{FF2B5EF4-FFF2-40B4-BE49-F238E27FC236}">
              <a16:creationId xmlns:a16="http://schemas.microsoft.com/office/drawing/2014/main" id="{0123E04A-2B72-45AF-A4D0-75FF181DCEB7}"/>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980" y="6035040"/>
          <a:ext cx="387350" cy="182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34</xdr:row>
      <xdr:rowOff>0</xdr:rowOff>
    </xdr:from>
    <xdr:to>
      <xdr:col>1</xdr:col>
      <xdr:colOff>387350</xdr:colOff>
      <xdr:row>35</xdr:row>
      <xdr:rowOff>0</xdr:rowOff>
    </xdr:to>
    <xdr:pic>
      <xdr:nvPicPr>
        <xdr:cNvPr id="3" name="Picture 2">
          <a:extLst>
            <a:ext uri="{FF2B5EF4-FFF2-40B4-BE49-F238E27FC236}">
              <a16:creationId xmlns:a16="http://schemas.microsoft.com/office/drawing/2014/main" id="{C01F55BA-32DD-46B8-98AE-9CA641DCE4FC}"/>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980" y="6217920"/>
          <a:ext cx="387350" cy="182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685342</xdr:colOff>
      <xdr:row>43</xdr:row>
      <xdr:rowOff>150582</xdr:rowOff>
    </xdr:from>
    <xdr:to>
      <xdr:col>2</xdr:col>
      <xdr:colOff>1016937</xdr:colOff>
      <xdr:row>46</xdr:row>
      <xdr:rowOff>106444</xdr:rowOff>
    </xdr:to>
    <mc:AlternateContent xmlns:mc="http://schemas.openxmlformats.org/markup-compatibility/2006" xmlns:a14="http://schemas.microsoft.com/office/drawing/2010/main">
      <mc:Choice Requires="a14">
        <xdr:sp macro="" textlink="">
          <xdr:nvSpPr>
            <xdr:cNvPr id="2" name="Object 4">
              <a:extLst>
                <a:ext uri="{FF2B5EF4-FFF2-40B4-BE49-F238E27FC236}">
                  <a16:creationId xmlns:a16="http://schemas.microsoft.com/office/drawing/2014/main" id="{C9B4E2A5-590B-462E-8F55-6C1F31BBA247}"/>
                </a:ext>
              </a:extLst>
            </xdr:cNvPr>
            <xdr:cNvSpPr txBox="1"/>
          </xdr:nvSpPr>
          <xdr:spPr>
            <a:xfrm>
              <a:off x="1218742" y="8014422"/>
              <a:ext cx="613535" cy="50450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2" name="Object 4">
              <a:extLst>
                <a:ext uri="{FF2B5EF4-FFF2-40B4-BE49-F238E27FC236}">
                  <a16:creationId xmlns:a16="http://schemas.microsoft.com/office/drawing/2014/main" id="{C9B4E2A5-590B-462E-8F55-6C1F31BBA247}"/>
                </a:ext>
              </a:extLst>
            </xdr:cNvPr>
            <xdr:cNvSpPr txBox="1"/>
          </xdr:nvSpPr>
          <xdr:spPr>
            <a:xfrm>
              <a:off x="1218742" y="8014422"/>
              <a:ext cx="613535" cy="504502"/>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1</xdr:col>
      <xdr:colOff>620921</xdr:colOff>
      <xdr:row>63</xdr:row>
      <xdr:rowOff>122974</xdr:rowOff>
    </xdr:from>
    <xdr:to>
      <xdr:col>2</xdr:col>
      <xdr:colOff>952516</xdr:colOff>
      <xdr:row>65</xdr:row>
      <xdr:rowOff>78836</xdr:rowOff>
    </xdr:to>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4E304F48-9E13-408D-A5C5-6673EC765251}"/>
                </a:ext>
              </a:extLst>
            </xdr:cNvPr>
            <xdr:cNvSpPr txBox="1"/>
          </xdr:nvSpPr>
          <xdr:spPr>
            <a:xfrm>
              <a:off x="1222901" y="11644414"/>
              <a:ext cx="605915" cy="32162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3" name="Object 4">
              <a:extLst>
                <a:ext uri="{FF2B5EF4-FFF2-40B4-BE49-F238E27FC236}">
                  <a16:creationId xmlns:a16="http://schemas.microsoft.com/office/drawing/2014/main" id="{4E304F48-9E13-408D-A5C5-6673EC765251}"/>
                </a:ext>
              </a:extLst>
            </xdr:cNvPr>
            <xdr:cNvSpPr txBox="1"/>
          </xdr:nvSpPr>
          <xdr:spPr>
            <a:xfrm>
              <a:off x="1222901" y="11644414"/>
              <a:ext cx="605915" cy="321622"/>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xdr:col>
      <xdr:colOff>685342</xdr:colOff>
      <xdr:row>45</xdr:row>
      <xdr:rowOff>150582</xdr:rowOff>
    </xdr:from>
    <xdr:to>
      <xdr:col>2</xdr:col>
      <xdr:colOff>1016937</xdr:colOff>
      <xdr:row>48</xdr:row>
      <xdr:rowOff>106444</xdr:rowOff>
    </xdr:to>
    <mc:AlternateContent xmlns:mc="http://schemas.openxmlformats.org/markup-compatibility/2006" xmlns:a14="http://schemas.microsoft.com/office/drawing/2010/main">
      <mc:Choice Requires="a14">
        <xdr:sp macro="" textlink="">
          <xdr:nvSpPr>
            <xdr:cNvPr id="2" name="Object 4">
              <a:extLst>
                <a:ext uri="{FF2B5EF4-FFF2-40B4-BE49-F238E27FC236}">
                  <a16:creationId xmlns:a16="http://schemas.microsoft.com/office/drawing/2014/main" id="{2901E4E0-816F-4B3C-9745-31F2A9BFF812}"/>
                </a:ext>
              </a:extLst>
            </xdr:cNvPr>
            <xdr:cNvSpPr txBox="1"/>
          </xdr:nvSpPr>
          <xdr:spPr>
            <a:xfrm>
              <a:off x="1218742" y="8380182"/>
              <a:ext cx="613535" cy="50450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2" name="Object 4">
              <a:extLst>
                <a:ext uri="{FF2B5EF4-FFF2-40B4-BE49-F238E27FC236}">
                  <a16:creationId xmlns:a16="http://schemas.microsoft.com/office/drawing/2014/main" id="{2901E4E0-816F-4B3C-9745-31F2A9BFF812}"/>
                </a:ext>
              </a:extLst>
            </xdr:cNvPr>
            <xdr:cNvSpPr txBox="1"/>
          </xdr:nvSpPr>
          <xdr:spPr>
            <a:xfrm>
              <a:off x="1218742" y="8380182"/>
              <a:ext cx="613535" cy="504502"/>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1</xdr:col>
      <xdr:colOff>620921</xdr:colOff>
      <xdr:row>65</xdr:row>
      <xdr:rowOff>122974</xdr:rowOff>
    </xdr:from>
    <xdr:to>
      <xdr:col>2</xdr:col>
      <xdr:colOff>952516</xdr:colOff>
      <xdr:row>67</xdr:row>
      <xdr:rowOff>78836</xdr:rowOff>
    </xdr:to>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48F29C68-B0F9-4E25-A964-2914130B4071}"/>
                </a:ext>
              </a:extLst>
            </xdr:cNvPr>
            <xdr:cNvSpPr txBox="1"/>
          </xdr:nvSpPr>
          <xdr:spPr>
            <a:xfrm>
              <a:off x="1222901" y="12010174"/>
              <a:ext cx="605915" cy="32162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3" name="Object 4">
              <a:extLst>
                <a:ext uri="{FF2B5EF4-FFF2-40B4-BE49-F238E27FC236}">
                  <a16:creationId xmlns:a16="http://schemas.microsoft.com/office/drawing/2014/main" id="{48F29C68-B0F9-4E25-A964-2914130B4071}"/>
                </a:ext>
              </a:extLst>
            </xdr:cNvPr>
            <xdr:cNvSpPr txBox="1"/>
          </xdr:nvSpPr>
          <xdr:spPr>
            <a:xfrm>
              <a:off x="1222901" y="12010174"/>
              <a:ext cx="605915" cy="321622"/>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75"/>
  <sheetViews>
    <sheetView topLeftCell="C233" zoomScale="70" zoomScaleNormal="70" workbookViewId="0">
      <selection activeCell="M250" sqref="M250"/>
    </sheetView>
  </sheetViews>
  <sheetFormatPr defaultColWidth="8.85546875" defaultRowHeight="15.75"/>
  <cols>
    <col min="1" max="1" width="4.140625" style="21" customWidth="1"/>
    <col min="2" max="2" width="13.5703125" style="21" customWidth="1"/>
    <col min="3" max="3" width="28.5703125" style="21" customWidth="1"/>
    <col min="4" max="4" width="28.85546875" style="21" customWidth="1"/>
    <col min="5" max="7" width="32.85546875" style="21" customWidth="1"/>
    <col min="8" max="8" width="15.85546875" style="21" bestFit="1" customWidth="1"/>
    <col min="9" max="9" width="6.140625" style="21" customWidth="1"/>
    <col min="10" max="10" width="21.28515625" style="21" customWidth="1"/>
    <col min="11" max="11" width="16.5703125" style="21" customWidth="1"/>
    <col min="12" max="12" width="15.7109375" style="21" customWidth="1"/>
    <col min="13" max="13" width="21.28515625" style="21" customWidth="1"/>
    <col min="14" max="14" width="19" style="21" customWidth="1"/>
    <col min="15" max="15" width="17.140625" style="21" customWidth="1"/>
    <col min="16" max="16" width="14" style="21" customWidth="1"/>
    <col min="17" max="17" width="13.7109375" style="21" customWidth="1"/>
    <col min="18" max="18" width="10" style="21" bestFit="1" customWidth="1"/>
    <col min="19" max="20" width="13" style="21" bestFit="1" customWidth="1"/>
    <col min="21" max="21" width="11.42578125" style="21" bestFit="1" customWidth="1"/>
    <col min="22" max="22" width="13.140625" style="21" bestFit="1" customWidth="1"/>
    <col min="23" max="23" width="8.85546875" style="21"/>
    <col min="24" max="24" width="14.140625" style="21" customWidth="1"/>
    <col min="25" max="25" width="14.7109375" style="21" customWidth="1"/>
    <col min="26" max="27" width="8.85546875" style="21"/>
    <col min="28" max="28" width="26.140625" style="21" bestFit="1" customWidth="1"/>
    <col min="29" max="29" width="12" style="21" bestFit="1" customWidth="1"/>
    <col min="30" max="16384" width="8.85546875" style="21"/>
  </cols>
  <sheetData>
    <row r="1" spans="1:29">
      <c r="A1" s="18" t="s">
        <v>94</v>
      </c>
      <c r="B1" s="1"/>
      <c r="C1" s="2"/>
      <c r="D1" s="2"/>
      <c r="E1" s="2"/>
      <c r="F1" s="2"/>
      <c r="G1" s="2"/>
      <c r="H1" s="2"/>
      <c r="J1" s="21" t="str">
        <f>A1</f>
        <v>RETFRC Fall 2024</v>
      </c>
    </row>
    <row r="2" spans="1:29">
      <c r="A2" s="18" t="s">
        <v>95</v>
      </c>
      <c r="B2" s="1"/>
      <c r="C2" s="2"/>
      <c r="D2" s="2"/>
      <c r="E2" s="2"/>
      <c r="F2" s="2"/>
      <c r="G2" s="2"/>
      <c r="H2" s="2"/>
      <c r="J2" s="21" t="str">
        <f>A2</f>
        <v>Question 3</v>
      </c>
    </row>
    <row r="3" spans="1:29">
      <c r="A3" s="18"/>
      <c r="B3" s="1"/>
      <c r="C3" s="2"/>
      <c r="D3" s="2"/>
      <c r="E3" s="2"/>
      <c r="F3" s="2"/>
      <c r="G3" s="2"/>
      <c r="H3" s="2"/>
    </row>
    <row r="4" spans="1:29">
      <c r="A4" s="19" t="s">
        <v>78</v>
      </c>
      <c r="B4" s="22"/>
      <c r="C4" s="446" t="s">
        <v>96</v>
      </c>
      <c r="D4" s="446"/>
      <c r="E4" s="446"/>
      <c r="F4" s="446"/>
      <c r="G4" s="446"/>
      <c r="H4" s="23"/>
      <c r="J4" s="21" t="s">
        <v>181</v>
      </c>
    </row>
    <row r="5" spans="1:29">
      <c r="A5" s="2"/>
      <c r="B5" s="2"/>
      <c r="C5" s="2"/>
      <c r="D5" s="2"/>
      <c r="E5" s="2"/>
      <c r="F5" s="2"/>
      <c r="G5" s="2"/>
      <c r="H5" s="2"/>
    </row>
    <row r="6" spans="1:29">
      <c r="A6" s="2"/>
      <c r="B6" s="2"/>
      <c r="C6" s="1" t="s">
        <v>35</v>
      </c>
      <c r="D6" s="17"/>
      <c r="E6" s="17"/>
      <c r="F6" s="17"/>
      <c r="G6" s="17"/>
      <c r="H6" s="2"/>
      <c r="J6" s="21" t="s">
        <v>184</v>
      </c>
    </row>
    <row r="7" spans="1:29">
      <c r="A7" s="2"/>
      <c r="B7" s="2"/>
      <c r="C7" s="24"/>
      <c r="D7" s="17"/>
      <c r="E7" s="17"/>
      <c r="F7" s="17"/>
      <c r="G7" s="17"/>
      <c r="H7" s="2"/>
      <c r="J7"/>
      <c r="K7" s="411" t="s">
        <v>233</v>
      </c>
      <c r="L7" s="411"/>
      <c r="M7" s="411" t="s">
        <v>185</v>
      </c>
      <c r="N7" s="411"/>
      <c r="O7" s="411" t="s">
        <v>232</v>
      </c>
      <c r="P7" s="411"/>
      <c r="Q7"/>
      <c r="R7" s="193"/>
    </row>
    <row r="8" spans="1:29">
      <c r="A8" s="2"/>
      <c r="B8" s="2"/>
      <c r="C8" s="25" t="s">
        <v>99</v>
      </c>
      <c r="D8" s="26"/>
      <c r="E8" s="27" t="s">
        <v>97</v>
      </c>
      <c r="F8" s="28"/>
      <c r="G8" s="26"/>
      <c r="H8" s="2"/>
      <c r="J8" s="197" t="s">
        <v>245</v>
      </c>
      <c r="K8" s="178" t="s">
        <v>231</v>
      </c>
      <c r="L8" s="178" t="s">
        <v>230</v>
      </c>
      <c r="M8" s="178" t="s">
        <v>231</v>
      </c>
      <c r="N8" s="178" t="s">
        <v>230</v>
      </c>
      <c r="O8" s="178" t="s">
        <v>229</v>
      </c>
      <c r="P8" s="178" t="s">
        <v>228</v>
      </c>
      <c r="Q8" s="178" t="s">
        <v>244</v>
      </c>
      <c r="R8" s="178" t="s">
        <v>243</v>
      </c>
    </row>
    <row r="9" spans="1:29">
      <c r="A9" s="2"/>
      <c r="B9" s="2"/>
      <c r="C9" s="29" t="s">
        <v>100</v>
      </c>
      <c r="D9" s="30"/>
      <c r="E9" s="444" t="s">
        <v>98</v>
      </c>
      <c r="F9" s="447"/>
      <c r="G9" s="445"/>
      <c r="H9" s="2"/>
      <c r="J9" s="197">
        <v>1</v>
      </c>
      <c r="K9" s="201">
        <f>X45</f>
        <v>194681.01797467651</v>
      </c>
      <c r="L9" s="201">
        <f>Y45</f>
        <v>157754.01232196356</v>
      </c>
      <c r="M9" s="201">
        <f>X46</f>
        <v>16223.418164556375</v>
      </c>
      <c r="N9" s="201">
        <f>Y46</f>
        <v>13146.167693496964</v>
      </c>
      <c r="O9" s="211">
        <f>P75</f>
        <v>208376</v>
      </c>
      <c r="P9" s="211">
        <f>Q75</f>
        <v>127801.1</v>
      </c>
      <c r="Q9" s="192">
        <f>M21</f>
        <v>85000</v>
      </c>
      <c r="R9" s="192">
        <f>M22</f>
        <v>87975</v>
      </c>
    </row>
    <row r="10" spans="1:29">
      <c r="A10" s="2"/>
      <c r="B10" s="2"/>
      <c r="C10" s="31" t="s">
        <v>101</v>
      </c>
      <c r="D10" s="32"/>
      <c r="E10" s="25" t="s">
        <v>0</v>
      </c>
      <c r="F10" s="28"/>
      <c r="G10" s="26"/>
      <c r="H10" s="2"/>
      <c r="J10" s="197">
        <v>2</v>
      </c>
      <c r="K10" s="201">
        <f>X60</f>
        <v>153670.21941404307</v>
      </c>
      <c r="L10" s="201">
        <f>Y60</f>
        <v>126373.53570233806</v>
      </c>
      <c r="M10" s="201">
        <f>X61</f>
        <v>21952.888487720436</v>
      </c>
      <c r="N10" s="201">
        <f>Y61</f>
        <v>18053.362243191154</v>
      </c>
      <c r="O10" s="211">
        <f>O102</f>
        <v>170422.00000000003</v>
      </c>
      <c r="P10" s="211">
        <f>P102</f>
        <v>130119.50000000003</v>
      </c>
      <c r="Q10" s="192">
        <f>M53</f>
        <v>98000</v>
      </c>
      <c r="R10" s="192">
        <f>M54</f>
        <v>101429.99999999999</v>
      </c>
    </row>
    <row r="11" spans="1:29" ht="33" customHeight="1">
      <c r="A11" s="2"/>
      <c r="B11" s="2"/>
      <c r="C11" s="25" t="s">
        <v>102</v>
      </c>
      <c r="D11" s="26"/>
      <c r="E11" s="33" t="s">
        <v>1</v>
      </c>
      <c r="F11" s="28"/>
      <c r="G11" s="26"/>
      <c r="H11" s="2"/>
      <c r="J11" s="197">
        <v>3</v>
      </c>
      <c r="K11" s="205">
        <f>O64</f>
        <v>262606.62995356868</v>
      </c>
      <c r="L11" s="205">
        <f>P64</f>
        <v>215959.399632869</v>
      </c>
      <c r="M11" s="192"/>
      <c r="N11" s="192"/>
      <c r="O11" s="211">
        <f>S64</f>
        <v>323400</v>
      </c>
      <c r="P11" s="211">
        <f>T64</f>
        <v>249900</v>
      </c>
      <c r="Q11" s="195"/>
      <c r="R11" s="195"/>
    </row>
    <row r="12" spans="1:29" ht="18">
      <c r="A12" s="2"/>
      <c r="B12" s="2"/>
      <c r="C12" s="34" t="s">
        <v>103</v>
      </c>
      <c r="D12" s="35"/>
      <c r="E12" s="36" t="s">
        <v>84</v>
      </c>
      <c r="F12" s="28"/>
      <c r="G12" s="26"/>
      <c r="H12" s="2"/>
      <c r="J12" s="197">
        <v>4</v>
      </c>
      <c r="K12" s="206">
        <f>N68</f>
        <v>673100</v>
      </c>
      <c r="L12" s="206">
        <f>O68</f>
        <v>572400</v>
      </c>
      <c r="M12" s="196"/>
      <c r="N12" s="196"/>
      <c r="O12" s="215">
        <f>S68</f>
        <v>826800</v>
      </c>
      <c r="P12" s="215">
        <f>T68</f>
        <v>625400</v>
      </c>
      <c r="Q12" s="195"/>
      <c r="R12" s="195"/>
    </row>
    <row r="13" spans="1:29">
      <c r="A13" s="2"/>
      <c r="B13" s="2"/>
      <c r="C13" s="37" t="s">
        <v>104</v>
      </c>
      <c r="D13" s="38"/>
      <c r="E13" s="39" t="s">
        <v>118</v>
      </c>
      <c r="F13" s="40"/>
      <c r="G13" s="41"/>
      <c r="H13" s="42"/>
      <c r="J13"/>
      <c r="K13" s="216">
        <f t="shared" ref="K13:P13" si="0">SUM(K9:K12)</f>
        <v>1284057.8673422881</v>
      </c>
      <c r="L13" s="216">
        <f t="shared" si="0"/>
        <v>1072486.9476571707</v>
      </c>
      <c r="M13" s="216">
        <f t="shared" si="0"/>
        <v>38176.306652276813</v>
      </c>
      <c r="N13" s="216">
        <f t="shared" si="0"/>
        <v>31199.529936688115</v>
      </c>
      <c r="O13" s="216">
        <f t="shared" si="0"/>
        <v>1528998</v>
      </c>
      <c r="P13" s="216">
        <f t="shared" si="0"/>
        <v>1133220.6000000001</v>
      </c>
      <c r="Q13" s="195"/>
      <c r="R13" s="195"/>
    </row>
    <row r="14" spans="1:29">
      <c r="A14" s="2"/>
      <c r="B14" s="2"/>
      <c r="C14" s="43"/>
      <c r="D14" s="17"/>
      <c r="E14" s="44" t="s">
        <v>119</v>
      </c>
      <c r="F14" s="17"/>
      <c r="G14" s="45"/>
      <c r="H14" s="2"/>
      <c r="M14" s="170"/>
      <c r="N14" s="151"/>
      <c r="O14" s="170"/>
      <c r="P14" s="170"/>
      <c r="S14" s="160"/>
      <c r="T14" s="171"/>
      <c r="X14" s="170"/>
      <c r="Y14" s="170"/>
      <c r="AA14" s="203"/>
      <c r="AB14" s="203"/>
      <c r="AC14" s="203"/>
    </row>
    <row r="15" spans="1:29">
      <c r="A15" s="2"/>
      <c r="B15" s="2"/>
      <c r="C15" s="37" t="s">
        <v>105</v>
      </c>
      <c r="D15" s="46"/>
      <c r="E15" s="47" t="s">
        <v>36</v>
      </c>
      <c r="F15" s="38"/>
      <c r="G15" s="46"/>
      <c r="H15" s="2"/>
      <c r="J15" s="127" t="s">
        <v>271</v>
      </c>
      <c r="M15" s="170"/>
      <c r="N15" s="151"/>
      <c r="O15" s="170"/>
      <c r="P15" s="170"/>
      <c r="T15" s="171"/>
      <c r="X15" s="170"/>
      <c r="Y15" s="170"/>
    </row>
    <row r="16" spans="1:29" ht="16.5" thickBot="1">
      <c r="A16" s="2"/>
      <c r="B16" s="2"/>
      <c r="C16" s="48"/>
      <c r="D16" s="49"/>
      <c r="E16" s="50" t="s">
        <v>37</v>
      </c>
      <c r="F16" s="51"/>
      <c r="G16" s="49"/>
      <c r="H16" s="2"/>
      <c r="K16" s="149"/>
      <c r="L16" s="127" t="s">
        <v>187</v>
      </c>
      <c r="M16" s="161">
        <v>0.05</v>
      </c>
      <c r="N16" s="127" t="s">
        <v>195</v>
      </c>
      <c r="O16" s="127">
        <f>1/(1+M16)</f>
        <v>0.95238095238095233</v>
      </c>
    </row>
    <row r="17" spans="1:25" ht="16.5" thickBot="1">
      <c r="A17" s="2"/>
      <c r="B17" s="2"/>
      <c r="C17" s="48" t="s">
        <v>106</v>
      </c>
      <c r="D17" s="49"/>
      <c r="E17" s="52" t="s">
        <v>15</v>
      </c>
      <c r="F17" s="51"/>
      <c r="G17" s="49"/>
      <c r="H17" s="2"/>
      <c r="J17" s="194" t="s">
        <v>207</v>
      </c>
      <c r="K17" s="148"/>
      <c r="L17" s="127" t="s">
        <v>246</v>
      </c>
      <c r="M17" s="204">
        <v>3.5000000000000003E-2</v>
      </c>
      <c r="N17" s="127"/>
      <c r="O17" s="127"/>
      <c r="X17" s="459" t="s">
        <v>272</v>
      </c>
      <c r="Y17" s="460"/>
    </row>
    <row r="18" spans="1:25" ht="47.25">
      <c r="A18" s="2"/>
      <c r="B18" s="2"/>
      <c r="C18" s="53" t="s">
        <v>107</v>
      </c>
      <c r="D18" s="54"/>
      <c r="E18" s="55" t="s">
        <v>2</v>
      </c>
      <c r="F18" s="28"/>
      <c r="G18" s="26"/>
      <c r="H18" s="2"/>
      <c r="J18" s="198" t="s">
        <v>188</v>
      </c>
      <c r="K18" s="199" t="s">
        <v>6</v>
      </c>
      <c r="L18" s="198" t="s">
        <v>189</v>
      </c>
      <c r="M18" s="198" t="s">
        <v>186</v>
      </c>
      <c r="N18" s="198" t="s">
        <v>197</v>
      </c>
      <c r="O18" s="198" t="s">
        <v>198</v>
      </c>
      <c r="P18" s="198" t="s">
        <v>199</v>
      </c>
      <c r="Q18" s="198" t="s">
        <v>200</v>
      </c>
      <c r="R18" s="198" t="s">
        <v>191</v>
      </c>
      <c r="S18" s="198" t="s">
        <v>192</v>
      </c>
      <c r="T18" s="198" t="s">
        <v>193</v>
      </c>
      <c r="U18" s="198" t="s">
        <v>201</v>
      </c>
      <c r="V18" s="198" t="s">
        <v>202</v>
      </c>
      <c r="W18" s="198" t="s">
        <v>194</v>
      </c>
      <c r="X18" s="198" t="s">
        <v>204</v>
      </c>
      <c r="Y18" s="198" t="s">
        <v>205</v>
      </c>
    </row>
    <row r="19" spans="1:25">
      <c r="A19" s="2"/>
      <c r="B19" s="2"/>
      <c r="C19" s="56" t="s">
        <v>108</v>
      </c>
      <c r="D19" s="57"/>
      <c r="E19" s="444" t="s">
        <v>3</v>
      </c>
      <c r="F19" s="447"/>
      <c r="G19" s="445"/>
      <c r="H19" s="2"/>
      <c r="M19" s="89">
        <v>79000</v>
      </c>
    </row>
    <row r="20" spans="1:25">
      <c r="A20" s="2"/>
      <c r="B20" s="2"/>
      <c r="C20" s="17"/>
      <c r="D20" s="17"/>
      <c r="E20" s="17"/>
      <c r="F20" s="17"/>
      <c r="G20" s="17"/>
      <c r="H20" s="2"/>
      <c r="M20" s="89">
        <v>80000</v>
      </c>
    </row>
    <row r="21" spans="1:25">
      <c r="A21" s="2"/>
      <c r="B21" s="2"/>
      <c r="C21" s="446" t="s">
        <v>117</v>
      </c>
      <c r="D21" s="446"/>
      <c r="E21" s="446"/>
      <c r="F21" s="446"/>
      <c r="G21" s="446"/>
      <c r="H21" s="2"/>
      <c r="M21" s="89">
        <v>85000</v>
      </c>
    </row>
    <row r="22" spans="1:25">
      <c r="A22" s="2"/>
      <c r="B22" s="2"/>
      <c r="C22" s="1"/>
      <c r="D22" s="17"/>
      <c r="E22" s="17"/>
      <c r="F22" s="17"/>
      <c r="G22" s="2"/>
      <c r="H22" s="2"/>
      <c r="J22" s="21">
        <v>0</v>
      </c>
      <c r="K22" s="21">
        <v>43</v>
      </c>
      <c r="L22" s="21">
        <v>12</v>
      </c>
      <c r="M22" s="170">
        <f t="shared" ref="M22:M44" si="1">M21*(1+$M$49)</f>
        <v>87975</v>
      </c>
      <c r="N22" s="151">
        <f>AVERAGE(M19:M21)</f>
        <v>81333.333333333328</v>
      </c>
      <c r="O22" s="170">
        <f>1.75%*N22*L22</f>
        <v>17080</v>
      </c>
      <c r="P22" s="170">
        <f>O22*(12/L22)</f>
        <v>17080</v>
      </c>
      <c r="R22" s="160">
        <v>0.05</v>
      </c>
      <c r="T22" s="160">
        <v>1</v>
      </c>
      <c r="W22" s="21">
        <f>$O$16^J22</f>
        <v>1</v>
      </c>
      <c r="X22" s="170">
        <f>R22*T22*P22*U44*W44</f>
        <v>4437.4848066012182</v>
      </c>
      <c r="Y22" s="170">
        <f>R22*T22*P22*V44*W44</f>
        <v>3649.2473738496865</v>
      </c>
    </row>
    <row r="23" spans="1:25">
      <c r="A23" s="2"/>
      <c r="B23" s="2"/>
      <c r="C23" s="1" t="s">
        <v>128</v>
      </c>
      <c r="D23" s="1"/>
      <c r="E23" s="17"/>
      <c r="F23" s="17"/>
      <c r="G23" s="2"/>
      <c r="H23" s="2"/>
      <c r="J23" s="21">
        <f>J22+1</f>
        <v>1</v>
      </c>
      <c r="K23" s="21">
        <f>K22+1</f>
        <v>44</v>
      </c>
      <c r="L23" s="21">
        <f>L22+1</f>
        <v>13</v>
      </c>
      <c r="M23" s="170">
        <f t="shared" si="1"/>
        <v>91054.125</v>
      </c>
      <c r="N23" s="151">
        <f t="shared" ref="N23:N44" si="2">AVERAGE(M20:M22)</f>
        <v>84325</v>
      </c>
      <c r="O23" s="170">
        <f t="shared" ref="O23:O27" si="3">1.75%*N23*L23</f>
        <v>19183.937500000004</v>
      </c>
      <c r="P23" s="170">
        <f t="shared" ref="P23:P44" si="4">O23*(12/L23)</f>
        <v>17708.250000000004</v>
      </c>
      <c r="R23" s="160">
        <v>0.05</v>
      </c>
      <c r="T23" s="171">
        <f>T22*(1-S22)*(1-R22)</f>
        <v>0.95</v>
      </c>
      <c r="W23" s="21">
        <f t="shared" ref="W23:W44" si="5">$O$16^J23</f>
        <v>0.95238095238095233</v>
      </c>
      <c r="X23" s="170">
        <f>R23*T23*P23*U44*W44</f>
        <v>4370.6724713215008</v>
      </c>
      <c r="Y23" s="170">
        <f>R23*T23*P23*V44*W44</f>
        <v>3594.3030191788662</v>
      </c>
    </row>
    <row r="24" spans="1:25">
      <c r="A24" s="2"/>
      <c r="B24" s="2"/>
      <c r="C24" s="1"/>
      <c r="D24" s="1"/>
      <c r="E24" s="17"/>
      <c r="F24" s="17"/>
      <c r="G24" s="2"/>
      <c r="H24" s="2"/>
      <c r="J24" s="21">
        <f t="shared" ref="J24:J44" si="6">J23+1</f>
        <v>2</v>
      </c>
      <c r="K24" s="21">
        <f t="shared" ref="K24:K44" si="7">K23+1</f>
        <v>45</v>
      </c>
      <c r="L24" s="21">
        <f t="shared" ref="L24:L44" si="8">L23+1</f>
        <v>14</v>
      </c>
      <c r="M24" s="170">
        <f t="shared" si="1"/>
        <v>94241.019374999989</v>
      </c>
      <c r="N24" s="151">
        <f t="shared" si="2"/>
        <v>88009.708333333328</v>
      </c>
      <c r="O24" s="170">
        <f t="shared" si="3"/>
        <v>21562.378541666669</v>
      </c>
      <c r="P24" s="170">
        <f t="shared" si="4"/>
        <v>18482.03875</v>
      </c>
      <c r="S24" s="160"/>
      <c r="T24" s="171">
        <f t="shared" ref="T24:T44" si="9">T23*(1-S23)*(1-R23)</f>
        <v>0.90249999999999997</v>
      </c>
      <c r="W24" s="21">
        <f t="shared" si="5"/>
        <v>0.90702947845804982</v>
      </c>
      <c r="X24" s="170"/>
      <c r="Y24" s="170"/>
    </row>
    <row r="25" spans="1:25">
      <c r="A25" s="2"/>
      <c r="B25" s="2"/>
      <c r="C25" s="128" t="s">
        <v>129</v>
      </c>
      <c r="D25" s="28"/>
      <c r="E25" s="28"/>
      <c r="F25" s="26"/>
      <c r="G25" s="2"/>
      <c r="H25" s="2"/>
      <c r="J25" s="21">
        <f t="shared" si="6"/>
        <v>3</v>
      </c>
      <c r="K25" s="21">
        <f t="shared" si="7"/>
        <v>46</v>
      </c>
      <c r="L25" s="21">
        <f t="shared" si="8"/>
        <v>15</v>
      </c>
      <c r="M25" s="170">
        <f t="shared" si="1"/>
        <v>97539.455053124984</v>
      </c>
      <c r="N25" s="151">
        <f t="shared" si="2"/>
        <v>91090.048124999987</v>
      </c>
      <c r="O25" s="170">
        <f t="shared" si="3"/>
        <v>23911.137632812501</v>
      </c>
      <c r="P25" s="170">
        <f t="shared" si="4"/>
        <v>19128.910106250001</v>
      </c>
      <c r="T25" s="171">
        <f t="shared" si="9"/>
        <v>0.90249999999999997</v>
      </c>
      <c r="W25" s="21">
        <f t="shared" si="5"/>
        <v>0.86383759853147601</v>
      </c>
      <c r="X25" s="170"/>
      <c r="Y25" s="170"/>
    </row>
    <row r="26" spans="1:25">
      <c r="A26" s="2"/>
      <c r="B26" s="2"/>
      <c r="C26" s="58" t="s">
        <v>109</v>
      </c>
      <c r="D26" s="26"/>
      <c r="E26" s="59">
        <v>0.05</v>
      </c>
      <c r="F26" s="26" t="s">
        <v>4</v>
      </c>
      <c r="G26" s="2"/>
      <c r="H26" s="2"/>
      <c r="J26" s="21">
        <f t="shared" si="6"/>
        <v>4</v>
      </c>
      <c r="K26" s="21">
        <f t="shared" si="7"/>
        <v>47</v>
      </c>
      <c r="L26" s="21">
        <f t="shared" si="8"/>
        <v>16</v>
      </c>
      <c r="M26" s="170">
        <f t="shared" si="1"/>
        <v>100953.33597998435</v>
      </c>
      <c r="N26" s="151">
        <f t="shared" si="2"/>
        <v>94278.199809374986</v>
      </c>
      <c r="O26" s="170">
        <f t="shared" si="3"/>
        <v>26397.895946624998</v>
      </c>
      <c r="P26" s="170">
        <f t="shared" si="4"/>
        <v>19798.421959968749</v>
      </c>
      <c r="T26" s="171">
        <f t="shared" si="9"/>
        <v>0.90249999999999997</v>
      </c>
      <c r="W26" s="21">
        <f t="shared" si="5"/>
        <v>0.82270247479188185</v>
      </c>
      <c r="X26" s="170"/>
      <c r="Y26" s="170"/>
    </row>
    <row r="27" spans="1:25">
      <c r="A27" s="2"/>
      <c r="B27" s="2"/>
      <c r="C27" s="58" t="s">
        <v>110</v>
      </c>
      <c r="D27" s="26"/>
      <c r="E27" s="60">
        <v>0.02</v>
      </c>
      <c r="F27" s="26" t="s">
        <v>4</v>
      </c>
      <c r="G27" s="2"/>
      <c r="H27" s="2"/>
      <c r="J27" s="21">
        <f t="shared" si="6"/>
        <v>5</v>
      </c>
      <c r="K27" s="21">
        <f t="shared" si="7"/>
        <v>48</v>
      </c>
      <c r="L27" s="21">
        <f t="shared" si="8"/>
        <v>17</v>
      </c>
      <c r="M27" s="170">
        <f t="shared" si="1"/>
        <v>104486.70273928379</v>
      </c>
      <c r="N27" s="151">
        <f t="shared" si="2"/>
        <v>97577.936802703116</v>
      </c>
      <c r="O27" s="170">
        <f t="shared" si="3"/>
        <v>29029.436198804178</v>
      </c>
      <c r="P27" s="170">
        <f t="shared" si="4"/>
        <v>20491.366728567657</v>
      </c>
      <c r="S27" s="160"/>
      <c r="T27" s="171">
        <f t="shared" si="9"/>
        <v>0.90249999999999997</v>
      </c>
      <c r="W27" s="21">
        <f t="shared" si="5"/>
        <v>0.78352616646845885</v>
      </c>
      <c r="X27" s="170"/>
      <c r="Y27" s="170"/>
    </row>
    <row r="28" spans="1:25">
      <c r="A28" s="2"/>
      <c r="B28" s="2"/>
      <c r="C28" s="58" t="s">
        <v>111</v>
      </c>
      <c r="D28" s="26"/>
      <c r="E28" s="60">
        <v>3.5000000000000003E-2</v>
      </c>
      <c r="F28" s="26" t="s">
        <v>4</v>
      </c>
      <c r="G28" s="2"/>
      <c r="H28" s="2"/>
      <c r="J28" s="21">
        <f t="shared" si="6"/>
        <v>6</v>
      </c>
      <c r="K28" s="21">
        <f t="shared" si="7"/>
        <v>49</v>
      </c>
      <c r="L28" s="21">
        <f t="shared" si="8"/>
        <v>18</v>
      </c>
      <c r="M28" s="170">
        <f t="shared" si="1"/>
        <v>108143.73733515872</v>
      </c>
      <c r="N28" s="151">
        <f t="shared" si="2"/>
        <v>100993.16459079769</v>
      </c>
      <c r="O28" s="170">
        <f t="shared" ref="O28:O44" si="10">1.75%*N28*L28</f>
        <v>31812.846846101278</v>
      </c>
      <c r="P28" s="170">
        <f t="shared" si="4"/>
        <v>21208.564564067517</v>
      </c>
      <c r="T28" s="171">
        <f t="shared" si="9"/>
        <v>0.90249999999999997</v>
      </c>
      <c r="W28" s="21">
        <f t="shared" si="5"/>
        <v>0.7462153966366275</v>
      </c>
      <c r="X28" s="170"/>
      <c r="Y28" s="170"/>
    </row>
    <row r="29" spans="1:25">
      <c r="A29" s="2"/>
      <c r="B29" s="2"/>
      <c r="C29" s="58" t="s">
        <v>130</v>
      </c>
      <c r="D29" s="26"/>
      <c r="E29" s="61">
        <v>50000</v>
      </c>
      <c r="F29" s="26"/>
      <c r="G29" s="2"/>
      <c r="H29" s="2"/>
      <c r="J29" s="21">
        <f t="shared" si="6"/>
        <v>7</v>
      </c>
      <c r="K29" s="21">
        <f t="shared" si="7"/>
        <v>50</v>
      </c>
      <c r="L29" s="21">
        <f t="shared" si="8"/>
        <v>19</v>
      </c>
      <c r="M29" s="170">
        <f t="shared" si="1"/>
        <v>111928.76814188926</v>
      </c>
      <c r="N29" s="151">
        <f t="shared" si="2"/>
        <v>104527.92535147561</v>
      </c>
      <c r="O29" s="170">
        <f t="shared" si="10"/>
        <v>34755.535179365645</v>
      </c>
      <c r="P29" s="170">
        <f t="shared" si="4"/>
        <v>21950.864323809881</v>
      </c>
      <c r="T29" s="171">
        <f t="shared" si="9"/>
        <v>0.90249999999999997</v>
      </c>
      <c r="W29" s="21">
        <f t="shared" si="5"/>
        <v>0.71068133013012136</v>
      </c>
      <c r="X29" s="170"/>
      <c r="Y29" s="170"/>
    </row>
    <row r="30" spans="1:25">
      <c r="A30" s="2"/>
      <c r="B30" s="2"/>
      <c r="C30" s="58" t="s">
        <v>112</v>
      </c>
      <c r="D30" s="26"/>
      <c r="E30" s="62" t="s">
        <v>2</v>
      </c>
      <c r="F30" s="26"/>
      <c r="G30" s="2"/>
      <c r="H30" s="2"/>
      <c r="J30" s="21">
        <f t="shared" si="6"/>
        <v>8</v>
      </c>
      <c r="K30" s="21">
        <f t="shared" si="7"/>
        <v>51</v>
      </c>
      <c r="L30" s="21">
        <f t="shared" si="8"/>
        <v>20</v>
      </c>
      <c r="M30" s="170">
        <f t="shared" si="1"/>
        <v>115846.27502685538</v>
      </c>
      <c r="N30" s="151">
        <f t="shared" si="2"/>
        <v>108186.40273877727</v>
      </c>
      <c r="O30" s="170">
        <f t="shared" si="10"/>
        <v>37865.240958572045</v>
      </c>
      <c r="P30" s="170">
        <f t="shared" si="4"/>
        <v>22719.144575143226</v>
      </c>
      <c r="T30" s="171">
        <f t="shared" si="9"/>
        <v>0.90249999999999997</v>
      </c>
      <c r="W30" s="21">
        <f t="shared" si="5"/>
        <v>0.676839362028687</v>
      </c>
      <c r="X30" s="170"/>
      <c r="Y30" s="170"/>
    </row>
    <row r="31" spans="1:25">
      <c r="A31" s="2"/>
      <c r="B31" s="2"/>
      <c r="C31" s="58" t="s">
        <v>113</v>
      </c>
      <c r="D31" s="26"/>
      <c r="E31" s="63" t="s">
        <v>5</v>
      </c>
      <c r="F31" s="46"/>
      <c r="G31" s="2"/>
      <c r="H31" s="2"/>
      <c r="J31" s="21">
        <f t="shared" si="6"/>
        <v>9</v>
      </c>
      <c r="K31" s="21">
        <f t="shared" si="7"/>
        <v>52</v>
      </c>
      <c r="L31" s="21">
        <f t="shared" si="8"/>
        <v>21</v>
      </c>
      <c r="M31" s="170">
        <f t="shared" si="1"/>
        <v>119900.89465279531</v>
      </c>
      <c r="N31" s="151">
        <f t="shared" si="2"/>
        <v>111972.92683463446</v>
      </c>
      <c r="O31" s="170">
        <f t="shared" si="10"/>
        <v>41150.050611728169</v>
      </c>
      <c r="P31" s="170">
        <f t="shared" si="4"/>
        <v>23514.314635273236</v>
      </c>
      <c r="T31" s="171">
        <f t="shared" si="9"/>
        <v>0.90249999999999997</v>
      </c>
      <c r="W31" s="21">
        <f t="shared" si="5"/>
        <v>0.64460891621779715</v>
      </c>
      <c r="X31" s="170"/>
      <c r="Y31" s="170"/>
    </row>
    <row r="32" spans="1:25">
      <c r="A32" s="2"/>
      <c r="B32" s="2"/>
      <c r="C32" s="440" t="s">
        <v>131</v>
      </c>
      <c r="D32" s="441"/>
      <c r="E32" s="63" t="s">
        <v>6</v>
      </c>
      <c r="F32" s="64" t="s">
        <v>7</v>
      </c>
      <c r="G32" s="2"/>
      <c r="H32" s="2"/>
      <c r="J32" s="21">
        <f t="shared" si="6"/>
        <v>10</v>
      </c>
      <c r="K32" s="21">
        <f t="shared" si="7"/>
        <v>53</v>
      </c>
      <c r="L32" s="21">
        <f t="shared" si="8"/>
        <v>22</v>
      </c>
      <c r="M32" s="170">
        <f t="shared" si="1"/>
        <v>124097.42596564314</v>
      </c>
      <c r="N32" s="151">
        <f t="shared" si="2"/>
        <v>115891.97927384665</v>
      </c>
      <c r="O32" s="170">
        <f t="shared" si="10"/>
        <v>44618.412020430966</v>
      </c>
      <c r="P32" s="170">
        <f t="shared" si="4"/>
        <v>24337.315647507799</v>
      </c>
      <c r="T32" s="171">
        <f t="shared" si="9"/>
        <v>0.90249999999999997</v>
      </c>
      <c r="W32" s="21">
        <f t="shared" si="5"/>
        <v>0.6139132535407591</v>
      </c>
      <c r="X32" s="170"/>
      <c r="Y32" s="170"/>
    </row>
    <row r="33" spans="1:25">
      <c r="A33" s="2"/>
      <c r="B33" s="2"/>
      <c r="C33" s="448"/>
      <c r="D33" s="449"/>
      <c r="E33" s="65">
        <v>62</v>
      </c>
      <c r="F33" s="66">
        <v>0.65</v>
      </c>
      <c r="G33" s="2"/>
      <c r="H33" s="2"/>
      <c r="J33" s="21">
        <f t="shared" si="6"/>
        <v>11</v>
      </c>
      <c r="K33" s="21">
        <f t="shared" si="7"/>
        <v>54</v>
      </c>
      <c r="L33" s="21">
        <f t="shared" si="8"/>
        <v>23</v>
      </c>
      <c r="M33" s="170">
        <f t="shared" si="1"/>
        <v>128440.83587444064</v>
      </c>
      <c r="N33" s="151">
        <f t="shared" si="2"/>
        <v>119948.19854843128</v>
      </c>
      <c r="O33" s="170">
        <f t="shared" si="10"/>
        <v>48279.14991574359</v>
      </c>
      <c r="P33" s="170">
        <f t="shared" si="4"/>
        <v>25189.121695170568</v>
      </c>
      <c r="T33" s="171">
        <f t="shared" si="9"/>
        <v>0.90249999999999997</v>
      </c>
      <c r="W33" s="21">
        <f t="shared" si="5"/>
        <v>0.58467928908643729</v>
      </c>
      <c r="X33" s="170"/>
      <c r="Y33" s="170"/>
    </row>
    <row r="34" spans="1:25">
      <c r="A34" s="2"/>
      <c r="B34" s="2"/>
      <c r="C34" s="450"/>
      <c r="D34" s="451"/>
      <c r="E34" s="67">
        <v>65</v>
      </c>
      <c r="F34" s="68">
        <v>1</v>
      </c>
      <c r="G34" s="2"/>
      <c r="H34" s="2"/>
      <c r="J34" s="21">
        <f t="shared" si="6"/>
        <v>12</v>
      </c>
      <c r="K34" s="21">
        <f t="shared" si="7"/>
        <v>55</v>
      </c>
      <c r="L34" s="21">
        <f t="shared" si="8"/>
        <v>24</v>
      </c>
      <c r="M34" s="170">
        <f t="shared" si="1"/>
        <v>132936.26513004606</v>
      </c>
      <c r="N34" s="151">
        <f t="shared" si="2"/>
        <v>124146.38549762637</v>
      </c>
      <c r="O34" s="170">
        <f t="shared" si="10"/>
        <v>52141.48190900308</v>
      </c>
      <c r="P34" s="170">
        <f t="shared" si="4"/>
        <v>26070.74095450154</v>
      </c>
      <c r="T34" s="171">
        <f t="shared" si="9"/>
        <v>0.90249999999999997</v>
      </c>
      <c r="W34" s="21">
        <f t="shared" si="5"/>
        <v>0.55683741817755927</v>
      </c>
      <c r="X34" s="170"/>
      <c r="Y34" s="170"/>
    </row>
    <row r="35" spans="1:25">
      <c r="A35" s="2"/>
      <c r="B35" s="2"/>
      <c r="C35" s="426" t="s">
        <v>132</v>
      </c>
      <c r="D35" s="427"/>
      <c r="E35" s="65" t="s">
        <v>133</v>
      </c>
      <c r="F35" s="69"/>
      <c r="G35" s="2"/>
      <c r="H35" s="2"/>
      <c r="J35" s="21">
        <f t="shared" si="6"/>
        <v>13</v>
      </c>
      <c r="K35" s="21">
        <f t="shared" si="7"/>
        <v>56</v>
      </c>
      <c r="L35" s="21">
        <f t="shared" si="8"/>
        <v>25</v>
      </c>
      <c r="M35" s="170">
        <f t="shared" si="1"/>
        <v>137589.03440959766</v>
      </c>
      <c r="N35" s="151">
        <f t="shared" si="2"/>
        <v>128491.50899004326</v>
      </c>
      <c r="O35" s="170">
        <f t="shared" si="10"/>
        <v>56215.035183143933</v>
      </c>
      <c r="P35" s="170">
        <f t="shared" si="4"/>
        <v>26983.216887909086</v>
      </c>
      <c r="T35" s="171">
        <f t="shared" si="9"/>
        <v>0.90249999999999997</v>
      </c>
      <c r="W35" s="21">
        <f t="shared" si="5"/>
        <v>0.53032135064529451</v>
      </c>
      <c r="X35" s="170"/>
      <c r="Y35" s="170"/>
    </row>
    <row r="36" spans="1:25">
      <c r="A36" s="2"/>
      <c r="B36" s="2"/>
      <c r="C36" s="440" t="s">
        <v>114</v>
      </c>
      <c r="D36" s="441"/>
      <c r="E36" s="63" t="s">
        <v>6</v>
      </c>
      <c r="F36" s="64" t="s">
        <v>7</v>
      </c>
      <c r="G36" s="2"/>
      <c r="H36" s="2"/>
      <c r="J36" s="21">
        <f t="shared" si="6"/>
        <v>14</v>
      </c>
      <c r="K36" s="21">
        <f t="shared" si="7"/>
        <v>57</v>
      </c>
      <c r="L36" s="21">
        <f t="shared" si="8"/>
        <v>26</v>
      </c>
      <c r="M36" s="170">
        <f t="shared" si="1"/>
        <v>142404.65061393357</v>
      </c>
      <c r="N36" s="151">
        <f t="shared" si="2"/>
        <v>132988.71180469479</v>
      </c>
      <c r="O36" s="170">
        <f t="shared" si="10"/>
        <v>60509.863871136127</v>
      </c>
      <c r="P36" s="170">
        <f t="shared" si="4"/>
        <v>27927.629478985906</v>
      </c>
      <c r="T36" s="171">
        <f t="shared" si="9"/>
        <v>0.90249999999999997</v>
      </c>
      <c r="W36" s="21">
        <f t="shared" si="5"/>
        <v>0.50506795299551854</v>
      </c>
      <c r="X36" s="170"/>
      <c r="Y36" s="170"/>
    </row>
    <row r="37" spans="1:25">
      <c r="A37" s="2"/>
      <c r="B37" s="2"/>
      <c r="C37" s="448"/>
      <c r="D37" s="449"/>
      <c r="E37" s="70" t="s">
        <v>83</v>
      </c>
      <c r="F37" s="66">
        <v>0.05</v>
      </c>
      <c r="G37" s="42"/>
      <c r="H37" s="2"/>
      <c r="J37" s="21">
        <f t="shared" si="6"/>
        <v>15</v>
      </c>
      <c r="K37" s="21">
        <f t="shared" si="7"/>
        <v>58</v>
      </c>
      <c r="L37" s="21">
        <f t="shared" si="8"/>
        <v>27</v>
      </c>
      <c r="M37" s="170">
        <f t="shared" si="1"/>
        <v>147388.81338542124</v>
      </c>
      <c r="N37" s="151">
        <f t="shared" si="2"/>
        <v>137643.3167178591</v>
      </c>
      <c r="O37" s="170">
        <f t="shared" si="10"/>
        <v>65036.467149188422</v>
      </c>
      <c r="P37" s="170">
        <f t="shared" si="4"/>
        <v>28905.096510750409</v>
      </c>
      <c r="T37" s="171">
        <f t="shared" si="9"/>
        <v>0.90249999999999997</v>
      </c>
      <c r="W37" s="21">
        <f t="shared" si="5"/>
        <v>0.48101709809097004</v>
      </c>
      <c r="X37" s="170"/>
      <c r="Y37" s="170"/>
    </row>
    <row r="38" spans="1:25">
      <c r="A38" s="2"/>
      <c r="B38" s="2"/>
      <c r="C38" s="450"/>
      <c r="D38" s="451"/>
      <c r="E38" s="67" t="s">
        <v>183</v>
      </c>
      <c r="F38" s="68">
        <v>0</v>
      </c>
      <c r="G38" s="2"/>
      <c r="H38" s="2"/>
      <c r="J38" s="21">
        <f t="shared" si="6"/>
        <v>16</v>
      </c>
      <c r="K38" s="21">
        <f t="shared" si="7"/>
        <v>59</v>
      </c>
      <c r="L38" s="21">
        <f t="shared" si="8"/>
        <v>28</v>
      </c>
      <c r="M38" s="170">
        <f t="shared" si="1"/>
        <v>152547.42185391096</v>
      </c>
      <c r="N38" s="151">
        <f t="shared" si="2"/>
        <v>142460.83280298414</v>
      </c>
      <c r="O38" s="170">
        <f t="shared" si="10"/>
        <v>69805.808073462234</v>
      </c>
      <c r="P38" s="170">
        <f t="shared" si="4"/>
        <v>29916.774888626671</v>
      </c>
      <c r="T38" s="171">
        <f t="shared" si="9"/>
        <v>0.90249999999999997</v>
      </c>
      <c r="W38" s="21">
        <f t="shared" si="5"/>
        <v>0.45811152199140004</v>
      </c>
      <c r="X38" s="170"/>
      <c r="Y38" s="170"/>
    </row>
    <row r="39" spans="1:25">
      <c r="A39" s="2"/>
      <c r="B39" s="2"/>
      <c r="C39" s="438" t="s">
        <v>115</v>
      </c>
      <c r="D39" s="452"/>
      <c r="E39" s="453" t="s">
        <v>134</v>
      </c>
      <c r="F39" s="454"/>
      <c r="G39" s="2"/>
      <c r="H39" s="2"/>
      <c r="J39" s="21">
        <f t="shared" si="6"/>
        <v>17</v>
      </c>
      <c r="K39" s="21">
        <f t="shared" si="7"/>
        <v>60</v>
      </c>
      <c r="L39" s="21">
        <f t="shared" si="8"/>
        <v>29</v>
      </c>
      <c r="M39" s="170">
        <f t="shared" si="1"/>
        <v>157886.58161879782</v>
      </c>
      <c r="N39" s="151">
        <f t="shared" si="2"/>
        <v>147446.9619510886</v>
      </c>
      <c r="O39" s="170">
        <f t="shared" si="10"/>
        <v>74829.333190177465</v>
      </c>
      <c r="P39" s="170">
        <f t="shared" si="4"/>
        <v>30963.862009728608</v>
      </c>
      <c r="Q39" s="160">
        <v>1</v>
      </c>
      <c r="T39" s="171">
        <f t="shared" si="9"/>
        <v>0.90249999999999997</v>
      </c>
      <c r="W39" s="21">
        <f t="shared" si="5"/>
        <v>0.43629668761085716</v>
      </c>
      <c r="X39" s="170"/>
      <c r="Y39" s="170"/>
    </row>
    <row r="40" spans="1:25">
      <c r="A40" s="2"/>
      <c r="B40" s="2"/>
      <c r="C40" s="48"/>
      <c r="D40" s="71"/>
      <c r="E40" s="455"/>
      <c r="F40" s="456"/>
      <c r="G40" s="2"/>
      <c r="H40" s="2"/>
      <c r="J40" s="21">
        <f t="shared" si="6"/>
        <v>18</v>
      </c>
      <c r="K40" s="21">
        <f t="shared" si="7"/>
        <v>61</v>
      </c>
      <c r="L40" s="21">
        <f t="shared" si="8"/>
        <v>30</v>
      </c>
      <c r="M40" s="170">
        <f t="shared" si="1"/>
        <v>163412.61197545574</v>
      </c>
      <c r="N40" s="151">
        <f t="shared" si="2"/>
        <v>152607.60561937667</v>
      </c>
      <c r="O40" s="170">
        <f t="shared" si="10"/>
        <v>80118.99295017276</v>
      </c>
      <c r="P40" s="170">
        <f t="shared" si="4"/>
        <v>32047.597180069104</v>
      </c>
      <c r="Q40" s="160">
        <v>1</v>
      </c>
      <c r="T40" s="171">
        <f t="shared" si="9"/>
        <v>0.90249999999999997</v>
      </c>
      <c r="W40" s="21">
        <f t="shared" si="5"/>
        <v>0.41552065486748302</v>
      </c>
      <c r="X40" s="170"/>
      <c r="Y40" s="170"/>
    </row>
    <row r="41" spans="1:25">
      <c r="A41" s="2"/>
      <c r="B41" s="2"/>
      <c r="C41" s="438" t="s">
        <v>135</v>
      </c>
      <c r="D41" s="439"/>
      <c r="E41" s="457" t="s">
        <v>8</v>
      </c>
      <c r="F41" s="458"/>
      <c r="G41" s="2"/>
      <c r="H41" s="2"/>
      <c r="J41" s="21">
        <f t="shared" si="6"/>
        <v>19</v>
      </c>
      <c r="K41" s="21">
        <f t="shared" si="7"/>
        <v>62</v>
      </c>
      <c r="L41" s="21">
        <f t="shared" si="8"/>
        <v>31</v>
      </c>
      <c r="M41" s="170">
        <f t="shared" si="1"/>
        <v>169132.05339459667</v>
      </c>
      <c r="N41" s="151">
        <f t="shared" si="2"/>
        <v>157948.87181605483</v>
      </c>
      <c r="O41" s="170">
        <f t="shared" si="10"/>
        <v>85687.262960209759</v>
      </c>
      <c r="P41" s="170">
        <f t="shared" si="4"/>
        <v>33169.263081371515</v>
      </c>
      <c r="Q41" s="160">
        <v>1</v>
      </c>
      <c r="S41" s="160">
        <v>0.65</v>
      </c>
      <c r="T41" s="171">
        <f t="shared" si="9"/>
        <v>0.90249999999999997</v>
      </c>
      <c r="U41" s="97">
        <f>D107</f>
        <v>16.3</v>
      </c>
      <c r="V41" s="97">
        <f>E107</f>
        <v>13.1</v>
      </c>
      <c r="W41" s="21">
        <f t="shared" si="5"/>
        <v>0.39573395701665048</v>
      </c>
      <c r="X41" s="170">
        <f>S41*T41*P41*U41*W41</f>
        <v>125512.59599366118</v>
      </c>
      <c r="Y41" s="170">
        <f>S41*T41*P41*V41*W41</f>
        <v>100872.08635073384</v>
      </c>
    </row>
    <row r="42" spans="1:25">
      <c r="A42" s="2"/>
      <c r="B42" s="2"/>
      <c r="C42" s="442" t="s">
        <v>116</v>
      </c>
      <c r="D42" s="443"/>
      <c r="E42" s="444" t="s">
        <v>75</v>
      </c>
      <c r="F42" s="445"/>
      <c r="G42" s="2"/>
      <c r="H42" s="2"/>
      <c r="J42" s="21">
        <f t="shared" si="6"/>
        <v>20</v>
      </c>
      <c r="K42" s="21">
        <f t="shared" si="7"/>
        <v>63</v>
      </c>
      <c r="L42" s="21">
        <f t="shared" si="8"/>
        <v>32</v>
      </c>
      <c r="M42" s="170">
        <f t="shared" si="1"/>
        <v>175051.67526340755</v>
      </c>
      <c r="N42" s="151">
        <f t="shared" si="2"/>
        <v>163477.08232961674</v>
      </c>
      <c r="O42" s="170">
        <f t="shared" si="10"/>
        <v>91547.166104585383</v>
      </c>
      <c r="P42" s="170">
        <f t="shared" si="4"/>
        <v>34330.187289219517</v>
      </c>
      <c r="Q42" s="160">
        <v>1</v>
      </c>
      <c r="T42" s="171">
        <f t="shared" si="9"/>
        <v>0.31587499999999996</v>
      </c>
      <c r="W42" s="21">
        <f t="shared" si="5"/>
        <v>0.37688948287300045</v>
      </c>
      <c r="X42" s="170"/>
      <c r="Y42" s="170"/>
    </row>
    <row r="43" spans="1:25" ht="15.6" customHeight="1">
      <c r="A43" s="2"/>
      <c r="B43" s="2"/>
      <c r="C43" s="2"/>
      <c r="D43" s="2"/>
      <c r="E43" s="2"/>
      <c r="F43" s="72"/>
      <c r="G43" s="73"/>
      <c r="H43" s="2"/>
      <c r="J43" s="21">
        <f t="shared" si="6"/>
        <v>21</v>
      </c>
      <c r="K43" s="21">
        <f t="shared" si="7"/>
        <v>64</v>
      </c>
      <c r="L43" s="21">
        <f t="shared" si="8"/>
        <v>33</v>
      </c>
      <c r="M43" s="170">
        <f t="shared" si="1"/>
        <v>181178.48389762681</v>
      </c>
      <c r="N43" s="151">
        <f t="shared" si="2"/>
        <v>169198.78021115332</v>
      </c>
      <c r="O43" s="170">
        <f t="shared" si="10"/>
        <v>97712.295571941053</v>
      </c>
      <c r="P43" s="170">
        <f t="shared" si="4"/>
        <v>35531.7438443422</v>
      </c>
      <c r="Q43" s="160">
        <v>1</v>
      </c>
      <c r="T43" s="171">
        <f t="shared" si="9"/>
        <v>0.31587499999999996</v>
      </c>
      <c r="W43" s="21">
        <f t="shared" si="5"/>
        <v>0.35894236464095275</v>
      </c>
      <c r="X43" s="170"/>
      <c r="Y43" s="170"/>
    </row>
    <row r="44" spans="1:25">
      <c r="A44" s="2"/>
      <c r="B44" s="2"/>
      <c r="C44" s="2"/>
      <c r="D44" s="2"/>
      <c r="E44" s="2"/>
      <c r="F44" s="73"/>
      <c r="G44" s="73"/>
      <c r="H44" s="2"/>
      <c r="J44" s="21">
        <f t="shared" si="6"/>
        <v>22</v>
      </c>
      <c r="K44" s="21">
        <f t="shared" si="7"/>
        <v>65</v>
      </c>
      <c r="L44" s="21">
        <f t="shared" si="8"/>
        <v>34</v>
      </c>
      <c r="M44" s="170">
        <f t="shared" si="1"/>
        <v>187519.73083404373</v>
      </c>
      <c r="N44" s="151">
        <f t="shared" si="2"/>
        <v>175120.7375185437</v>
      </c>
      <c r="O44" s="170">
        <f t="shared" si="10"/>
        <v>104196.8388235335</v>
      </c>
      <c r="P44" s="170">
        <f t="shared" si="4"/>
        <v>36775.354878894177</v>
      </c>
      <c r="Q44" s="160">
        <v>1</v>
      </c>
      <c r="S44" s="160">
        <v>1</v>
      </c>
      <c r="T44" s="171">
        <f t="shared" si="9"/>
        <v>0.31587499999999996</v>
      </c>
      <c r="U44" s="98">
        <f>D110</f>
        <v>15.2</v>
      </c>
      <c r="V44" s="98">
        <f>E110</f>
        <v>12.5</v>
      </c>
      <c r="W44" s="21">
        <f t="shared" si="5"/>
        <v>0.34184987108662168</v>
      </c>
      <c r="X44" s="170">
        <f>S44*T44*P44*U44*W44</f>
        <v>60360.264703092602</v>
      </c>
      <c r="Y44" s="170">
        <f>S44*T44*P44*V44*W44</f>
        <v>49638.375578201158</v>
      </c>
    </row>
    <row r="45" spans="1:25" ht="15.6" customHeight="1">
      <c r="A45" s="2"/>
      <c r="B45" s="2"/>
      <c r="C45" s="74" t="s">
        <v>82</v>
      </c>
      <c r="D45" s="17"/>
      <c r="E45" s="17"/>
      <c r="F45" s="17"/>
      <c r="G45" s="73"/>
      <c r="H45" s="2"/>
      <c r="W45" s="21" t="s">
        <v>23</v>
      </c>
      <c r="X45" s="172">
        <f>SUM(X22:X44)</f>
        <v>194681.01797467651</v>
      </c>
      <c r="Y45" s="172">
        <f>SUM(Y22:Y44)</f>
        <v>157754.01232196356</v>
      </c>
    </row>
    <row r="46" spans="1:25">
      <c r="A46" s="2"/>
      <c r="B46" s="2"/>
      <c r="C46" s="75"/>
      <c r="D46" s="17"/>
      <c r="E46" s="17"/>
      <c r="F46" s="17"/>
      <c r="G46" s="73"/>
      <c r="H46" s="2"/>
      <c r="W46" s="21" t="s">
        <v>206</v>
      </c>
      <c r="X46" s="200">
        <f>X45/12</f>
        <v>16223.418164556375</v>
      </c>
      <c r="Y46" s="200">
        <f>Y45/12</f>
        <v>13146.167693496964</v>
      </c>
    </row>
    <row r="47" spans="1:25">
      <c r="A47" s="2"/>
      <c r="B47" s="2"/>
      <c r="C47" s="55" t="s">
        <v>136</v>
      </c>
      <c r="D47" s="26"/>
      <c r="E47" s="76">
        <v>0.05</v>
      </c>
      <c r="F47" s="77"/>
      <c r="G47" s="78"/>
      <c r="H47" s="2"/>
    </row>
    <row r="48" spans="1:25" ht="16.5" thickBot="1">
      <c r="A48" s="2"/>
      <c r="B48" s="2"/>
      <c r="C48" s="431" t="s">
        <v>137</v>
      </c>
      <c r="D48" s="432"/>
      <c r="E48" s="79">
        <v>0.06</v>
      </c>
      <c r="F48" s="77"/>
      <c r="G48" s="80"/>
      <c r="H48" s="2"/>
      <c r="J48" s="127" t="s">
        <v>196</v>
      </c>
      <c r="K48" s="149"/>
      <c r="W48" s="160"/>
    </row>
    <row r="49" spans="1:25" ht="16.5" thickBot="1">
      <c r="A49" s="2"/>
      <c r="B49" s="2"/>
      <c r="C49" s="81" t="s">
        <v>138</v>
      </c>
      <c r="D49" s="82"/>
      <c r="E49" s="83">
        <v>7.0000000000000007E-2</v>
      </c>
      <c r="F49" s="17"/>
      <c r="G49" s="73"/>
      <c r="H49" s="2"/>
      <c r="K49" s="148"/>
      <c r="M49" s="165">
        <v>3.5000000000000003E-2</v>
      </c>
      <c r="X49" s="459" t="s">
        <v>272</v>
      </c>
      <c r="Y49" s="460"/>
    </row>
    <row r="50" spans="1:25" ht="31.5">
      <c r="A50" s="2"/>
      <c r="B50" s="2"/>
      <c r="C50" s="17"/>
      <c r="D50" s="84"/>
      <c r="E50" s="17"/>
      <c r="F50" s="3"/>
      <c r="G50" s="73"/>
      <c r="H50" s="2"/>
      <c r="J50" s="174" t="s">
        <v>188</v>
      </c>
      <c r="K50" s="175" t="s">
        <v>6</v>
      </c>
      <c r="L50" s="174" t="s">
        <v>189</v>
      </c>
      <c r="M50" s="174" t="s">
        <v>186</v>
      </c>
      <c r="N50" s="174" t="s">
        <v>197</v>
      </c>
      <c r="O50" s="174" t="s">
        <v>198</v>
      </c>
      <c r="P50" s="174" t="s">
        <v>199</v>
      </c>
      <c r="Q50" s="174" t="s">
        <v>200</v>
      </c>
      <c r="R50" s="174" t="s">
        <v>191</v>
      </c>
      <c r="S50" s="174" t="s">
        <v>192</v>
      </c>
      <c r="T50" s="174" t="s">
        <v>193</v>
      </c>
      <c r="U50" s="174" t="s">
        <v>201</v>
      </c>
      <c r="V50" s="174" t="s">
        <v>202</v>
      </c>
      <c r="W50" s="174" t="s">
        <v>194</v>
      </c>
      <c r="X50" s="174" t="s">
        <v>204</v>
      </c>
      <c r="Y50" s="174" t="s">
        <v>205</v>
      </c>
    </row>
    <row r="51" spans="1:25">
      <c r="A51" s="2"/>
      <c r="B51" s="2"/>
      <c r="C51" s="1" t="s">
        <v>39</v>
      </c>
      <c r="D51" s="17"/>
      <c r="E51" s="3"/>
      <c r="F51" s="85"/>
      <c r="G51" s="2"/>
      <c r="H51" s="2"/>
      <c r="M51" s="89">
        <v>92000</v>
      </c>
    </row>
    <row r="52" spans="1:25" ht="32.1" customHeight="1">
      <c r="A52" s="2"/>
      <c r="B52" s="2"/>
      <c r="C52" s="24"/>
      <c r="D52" s="17"/>
      <c r="E52" s="3"/>
      <c r="F52" s="85"/>
      <c r="G52" s="2"/>
      <c r="H52" s="2"/>
      <c r="M52" s="89">
        <v>92000</v>
      </c>
    </row>
    <row r="53" spans="1:25">
      <c r="A53" s="2"/>
      <c r="B53" s="2"/>
      <c r="C53" s="433" t="s">
        <v>139</v>
      </c>
      <c r="D53" s="434"/>
      <c r="E53" s="438" t="s">
        <v>16</v>
      </c>
      <c r="F53" s="439"/>
      <c r="G53" s="2"/>
      <c r="H53" s="2"/>
      <c r="M53" s="89">
        <v>98000</v>
      </c>
    </row>
    <row r="54" spans="1:25">
      <c r="A54" s="2"/>
      <c r="B54" s="2"/>
      <c r="C54" s="55"/>
      <c r="D54" s="131"/>
      <c r="E54" s="33"/>
      <c r="F54" s="132"/>
      <c r="G54" s="2"/>
      <c r="H54" s="2"/>
      <c r="J54" s="21">
        <v>0</v>
      </c>
      <c r="K54" s="21">
        <v>60</v>
      </c>
      <c r="L54" s="21">
        <v>7</v>
      </c>
      <c r="M54" s="170">
        <f>M53*(1+$M$49)</f>
        <v>101429.99999999999</v>
      </c>
      <c r="N54" s="151">
        <f>AVERAGE(M51:M53)</f>
        <v>94000</v>
      </c>
      <c r="O54" s="170">
        <f>1.75%*N54*L54</f>
        <v>11515.000000000002</v>
      </c>
      <c r="P54" s="202">
        <f>O54*(7/L54)</f>
        <v>11515.000000000002</v>
      </c>
      <c r="T54" s="160">
        <v>1</v>
      </c>
      <c r="W54" s="21">
        <f>$O$16^J54</f>
        <v>1</v>
      </c>
    </row>
    <row r="55" spans="1:25">
      <c r="A55" s="2"/>
      <c r="B55" s="2"/>
      <c r="C55" s="143" t="s">
        <v>140</v>
      </c>
      <c r="D55" s="84"/>
      <c r="E55" s="4"/>
      <c r="F55" s="133"/>
      <c r="G55" s="2"/>
      <c r="H55" s="2"/>
      <c r="J55" s="21">
        <f>J54+1</f>
        <v>1</v>
      </c>
      <c r="K55" s="21">
        <f>K54+1</f>
        <v>61</v>
      </c>
      <c r="L55" s="21">
        <f>L54+1</f>
        <v>8</v>
      </c>
      <c r="M55" s="170">
        <f>M54*(1+$M$49)</f>
        <v>104980.04999999997</v>
      </c>
      <c r="N55" s="151">
        <f t="shared" ref="N55:N59" si="11">AVERAGE(M52:M54)</f>
        <v>97143.333333333328</v>
      </c>
      <c r="O55" s="170">
        <f t="shared" ref="O55:O59" si="12">1.75%*N55*L55</f>
        <v>13600.066666666668</v>
      </c>
      <c r="P55" s="202">
        <f t="shared" ref="P55:P59" si="13">O55*(7/L55)</f>
        <v>11900.058333333334</v>
      </c>
      <c r="T55" s="171">
        <f>T54*(1-S54)*(1-R54)</f>
        <v>1</v>
      </c>
      <c r="W55" s="21">
        <f t="shared" ref="W55:W58" si="14">$O$16^J55</f>
        <v>0.95238095238095233</v>
      </c>
    </row>
    <row r="56" spans="1:25">
      <c r="A56" s="2"/>
      <c r="B56" s="2"/>
      <c r="C56" s="55" t="s">
        <v>141</v>
      </c>
      <c r="D56" s="131"/>
      <c r="E56" s="25" t="s">
        <v>147</v>
      </c>
      <c r="F56" s="132"/>
      <c r="G56" s="2"/>
      <c r="H56" s="2"/>
      <c r="J56" s="21">
        <f t="shared" ref="J56:J59" si="15">J55+1</f>
        <v>2</v>
      </c>
      <c r="K56" s="21">
        <f t="shared" ref="K56:K59" si="16">K55+1</f>
        <v>62</v>
      </c>
      <c r="L56" s="21">
        <f t="shared" ref="L56:L59" si="17">L55+1</f>
        <v>9</v>
      </c>
      <c r="M56" s="170">
        <f>M55*(1+$M$49)</f>
        <v>108654.35174999996</v>
      </c>
      <c r="N56" s="151">
        <f t="shared" si="11"/>
        <v>101470.01666666666</v>
      </c>
      <c r="O56" s="170">
        <f t="shared" si="12"/>
        <v>15981.527625000002</v>
      </c>
      <c r="P56" s="202">
        <f t="shared" si="13"/>
        <v>12430.077041666669</v>
      </c>
      <c r="Q56" s="21" t="s">
        <v>203</v>
      </c>
      <c r="S56" s="160">
        <v>0.65</v>
      </c>
      <c r="T56" s="171">
        <f t="shared" ref="T56:T59" si="18">T55*(1-S55)*(1-R55)</f>
        <v>1</v>
      </c>
      <c r="W56" s="21">
        <f t="shared" si="14"/>
        <v>0.90702947845804982</v>
      </c>
      <c r="X56" s="170">
        <f>S56*T56*P56*U59*W59</f>
        <v>96224.191260043095</v>
      </c>
      <c r="Y56" s="170">
        <f>S56*T56*P56*V59*W59</f>
        <v>79131.73623358809</v>
      </c>
    </row>
    <row r="57" spans="1:25">
      <c r="A57" s="2"/>
      <c r="B57" s="2"/>
      <c r="C57" s="440" t="s">
        <v>142</v>
      </c>
      <c r="D57" s="441"/>
      <c r="E57" s="55" t="s">
        <v>143</v>
      </c>
      <c r="F57" s="134"/>
      <c r="G57" s="2"/>
      <c r="H57" s="2"/>
      <c r="J57" s="21">
        <f t="shared" si="15"/>
        <v>3</v>
      </c>
      <c r="K57" s="21">
        <f t="shared" si="16"/>
        <v>63</v>
      </c>
      <c r="L57" s="21">
        <f t="shared" si="17"/>
        <v>10</v>
      </c>
      <c r="M57" s="170">
        <f>M56*(1+$M$49)</f>
        <v>112457.25406124994</v>
      </c>
      <c r="N57" s="151">
        <f t="shared" si="11"/>
        <v>105021.46724999997</v>
      </c>
      <c r="O57" s="170">
        <f t="shared" si="12"/>
        <v>18378.756768749998</v>
      </c>
      <c r="P57" s="202">
        <f t="shared" si="13"/>
        <v>12865.129738124997</v>
      </c>
      <c r="T57" s="171">
        <f t="shared" si="18"/>
        <v>0.35</v>
      </c>
      <c r="W57" s="21">
        <f t="shared" si="14"/>
        <v>0.86383759853147601</v>
      </c>
      <c r="X57" s="170"/>
      <c r="Y57" s="170"/>
    </row>
    <row r="58" spans="1:25">
      <c r="A58" s="2"/>
      <c r="B58" s="2"/>
      <c r="C58" s="138"/>
      <c r="D58" s="139"/>
      <c r="E58" s="144"/>
      <c r="F58" s="137"/>
      <c r="G58" s="2"/>
      <c r="H58" s="2"/>
      <c r="J58" s="21">
        <f t="shared" si="15"/>
        <v>4</v>
      </c>
      <c r="K58" s="21">
        <f t="shared" si="16"/>
        <v>64</v>
      </c>
      <c r="L58" s="21">
        <f t="shared" si="17"/>
        <v>11</v>
      </c>
      <c r="M58" s="170">
        <f>M57*(1+$M$49)</f>
        <v>116393.25795339368</v>
      </c>
      <c r="N58" s="151">
        <f t="shared" si="11"/>
        <v>108697.21860374995</v>
      </c>
      <c r="O58" s="170">
        <f t="shared" si="12"/>
        <v>20924.214581221866</v>
      </c>
      <c r="P58" s="202">
        <f t="shared" si="13"/>
        <v>13315.409278959369</v>
      </c>
      <c r="T58" s="171">
        <f t="shared" si="18"/>
        <v>0.35</v>
      </c>
      <c r="W58" s="21">
        <f t="shared" si="14"/>
        <v>0.82270247479188185</v>
      </c>
      <c r="X58" s="170"/>
      <c r="Y58" s="170"/>
    </row>
    <row r="59" spans="1:25">
      <c r="A59" s="2"/>
      <c r="B59" s="2"/>
      <c r="C59" s="142" t="s">
        <v>144</v>
      </c>
      <c r="D59" s="129"/>
      <c r="E59" s="129"/>
      <c r="F59" s="130"/>
      <c r="G59" s="2"/>
      <c r="H59" s="86"/>
      <c r="J59" s="21">
        <f t="shared" si="15"/>
        <v>5</v>
      </c>
      <c r="K59" s="21">
        <f t="shared" si="16"/>
        <v>65</v>
      </c>
      <c r="L59" s="21">
        <f t="shared" si="17"/>
        <v>12</v>
      </c>
      <c r="N59" s="151">
        <f t="shared" si="11"/>
        <v>112501.62125488119</v>
      </c>
      <c r="O59" s="170">
        <f t="shared" si="12"/>
        <v>23625.340463525052</v>
      </c>
      <c r="P59" s="202">
        <f t="shared" si="13"/>
        <v>13781.448603722947</v>
      </c>
      <c r="S59" s="160">
        <v>1</v>
      </c>
      <c r="T59" s="171">
        <f t="shared" si="18"/>
        <v>0.35</v>
      </c>
      <c r="U59" s="98">
        <f>D110</f>
        <v>15.2</v>
      </c>
      <c r="V59" s="98">
        <f>E110</f>
        <v>12.5</v>
      </c>
      <c r="W59" s="21">
        <f>$O$16^J59</f>
        <v>0.78352616646845885</v>
      </c>
      <c r="X59" s="170">
        <f>S59*T59*P59*U59*W59</f>
        <v>57446.028153999963</v>
      </c>
      <c r="Y59" s="170">
        <f>S59*T59*P59*V59*W59</f>
        <v>47241.799468749967</v>
      </c>
    </row>
    <row r="60" spans="1:25">
      <c r="A60" s="2"/>
      <c r="B60" s="2"/>
      <c r="C60" s="429" t="s">
        <v>145</v>
      </c>
      <c r="D60" s="430"/>
      <c r="E60" s="435" t="s">
        <v>32</v>
      </c>
      <c r="F60" s="436"/>
      <c r="G60" s="2"/>
      <c r="H60" s="86"/>
      <c r="W60" s="21" t="s">
        <v>23</v>
      </c>
      <c r="X60" s="172">
        <f>SUM(X54:X59)</f>
        <v>153670.21941404307</v>
      </c>
      <c r="Y60" s="172">
        <f>SUM(Y54:Y59)</f>
        <v>126373.53570233806</v>
      </c>
    </row>
    <row r="61" spans="1:25" ht="16.5" thickBot="1">
      <c r="A61" s="2"/>
      <c r="B61" s="2"/>
      <c r="C61" s="420" t="s">
        <v>146</v>
      </c>
      <c r="D61" s="421"/>
      <c r="E61" s="437" t="s">
        <v>33</v>
      </c>
      <c r="F61" s="423"/>
      <c r="G61" s="2"/>
      <c r="H61" s="86"/>
      <c r="W61" s="21" t="s">
        <v>206</v>
      </c>
      <c r="X61" s="172">
        <f>X60/7</f>
        <v>21952.888487720436</v>
      </c>
      <c r="Y61" s="172">
        <f>Y60/7</f>
        <v>18053.362243191154</v>
      </c>
    </row>
    <row r="62" spans="1:25" ht="16.5" thickBot="1">
      <c r="A62" s="2"/>
      <c r="B62" s="2"/>
      <c r="C62" s="25"/>
      <c r="D62" s="132"/>
      <c r="E62" s="140"/>
      <c r="F62" s="141"/>
      <c r="G62" s="2"/>
      <c r="H62" s="86"/>
      <c r="J62" s="127" t="s">
        <v>247</v>
      </c>
      <c r="L62" s="459" t="s">
        <v>249</v>
      </c>
      <c r="M62" s="461"/>
      <c r="N62" s="461"/>
      <c r="O62" s="461"/>
      <c r="P62" s="460"/>
      <c r="Q62" s="459" t="s">
        <v>270</v>
      </c>
      <c r="R62" s="461"/>
      <c r="S62" s="461"/>
      <c r="T62" s="460"/>
    </row>
    <row r="63" spans="1:25">
      <c r="A63" s="2"/>
      <c r="B63" s="2"/>
      <c r="C63" s="142" t="s">
        <v>148</v>
      </c>
      <c r="D63" s="129"/>
      <c r="E63" s="129"/>
      <c r="F63" s="130"/>
      <c r="G63" s="2"/>
      <c r="H63" s="86"/>
      <c r="J63" s="21" t="s">
        <v>6</v>
      </c>
      <c r="K63" s="21" t="s">
        <v>190</v>
      </c>
      <c r="L63" s="127" t="s">
        <v>208</v>
      </c>
      <c r="M63" s="21" t="s">
        <v>209</v>
      </c>
      <c r="N63" s="21" t="s">
        <v>248</v>
      </c>
      <c r="O63" s="21" t="s">
        <v>210</v>
      </c>
      <c r="P63" s="21" t="s">
        <v>211</v>
      </c>
      <c r="Q63" s="127" t="s">
        <v>208</v>
      </c>
      <c r="R63" s="21" t="s">
        <v>209</v>
      </c>
      <c r="S63" s="21" t="s">
        <v>204</v>
      </c>
      <c r="T63" s="21" t="s">
        <v>211</v>
      </c>
    </row>
    <row r="64" spans="1:25">
      <c r="A64" s="2"/>
      <c r="B64" s="2"/>
      <c r="C64" s="429" t="s">
        <v>145</v>
      </c>
      <c r="D64" s="430"/>
      <c r="E64" s="422" t="s">
        <v>149</v>
      </c>
      <c r="F64" s="423"/>
      <c r="G64" s="2"/>
      <c r="H64" s="86"/>
      <c r="J64" s="21">
        <v>61</v>
      </c>
      <c r="K64" s="151">
        <f>D86</f>
        <v>21000</v>
      </c>
      <c r="L64" s="98">
        <f>D110</f>
        <v>15.2</v>
      </c>
      <c r="M64" s="98">
        <f>E110</f>
        <v>12.5</v>
      </c>
      <c r="N64" s="169">
        <f>O16^(65-J64)</f>
        <v>0.82270247479188185</v>
      </c>
      <c r="O64" s="172">
        <f>K64*L64*N64</f>
        <v>262606.62995356868</v>
      </c>
      <c r="P64" s="172">
        <f>K64*M64*N64</f>
        <v>215959.399632869</v>
      </c>
      <c r="Q64" s="97">
        <f>D152</f>
        <v>15.4</v>
      </c>
      <c r="R64" s="97">
        <f>D129</f>
        <v>11.9</v>
      </c>
      <c r="S64" s="172">
        <f>Q64*K64</f>
        <v>323400</v>
      </c>
      <c r="T64" s="172">
        <f>R64*K64</f>
        <v>249900</v>
      </c>
    </row>
    <row r="65" spans="1:30" ht="16.149999999999999" customHeight="1" thickBot="1">
      <c r="A65" s="2"/>
      <c r="B65" s="2"/>
      <c r="C65" s="420" t="s">
        <v>146</v>
      </c>
      <c r="D65" s="421"/>
      <c r="E65" s="422" t="s">
        <v>150</v>
      </c>
      <c r="F65" s="423"/>
      <c r="G65" s="2"/>
      <c r="H65" s="86"/>
      <c r="I65" s="147"/>
      <c r="J65" s="127"/>
    </row>
    <row r="66" spans="1:30" ht="32.25" thickBot="1">
      <c r="A66" s="2"/>
      <c r="B66" s="2"/>
      <c r="C66" s="420" t="s">
        <v>151</v>
      </c>
      <c r="D66" s="421"/>
      <c r="E66" s="424">
        <v>100000</v>
      </c>
      <c r="F66" s="425"/>
      <c r="G66" s="2"/>
      <c r="H66" s="86"/>
      <c r="I66" s="147"/>
      <c r="J66" s="127" t="s">
        <v>212</v>
      </c>
      <c r="L66" s="212" t="s">
        <v>249</v>
      </c>
      <c r="M66" s="213"/>
      <c r="N66" s="213"/>
      <c r="O66" s="213"/>
      <c r="P66" s="214"/>
      <c r="Q66" s="459" t="s">
        <v>270</v>
      </c>
      <c r="R66" s="461"/>
      <c r="S66" s="461"/>
      <c r="T66" s="460"/>
    </row>
    <row r="67" spans="1:30">
      <c r="A67" s="2"/>
      <c r="B67" s="2"/>
      <c r="C67" s="420" t="s">
        <v>152</v>
      </c>
      <c r="D67" s="421"/>
      <c r="E67" s="426" t="s">
        <v>38</v>
      </c>
      <c r="F67" s="427"/>
      <c r="G67" s="2"/>
      <c r="H67" s="86"/>
      <c r="I67" s="147"/>
      <c r="J67" s="21" t="s">
        <v>6</v>
      </c>
      <c r="K67" s="21" t="s">
        <v>190</v>
      </c>
      <c r="L67" s="127" t="s">
        <v>208</v>
      </c>
      <c r="M67" s="21" t="s">
        <v>209</v>
      </c>
      <c r="N67" s="21" t="s">
        <v>210</v>
      </c>
      <c r="O67" s="21" t="s">
        <v>211</v>
      </c>
      <c r="Q67" s="127" t="s">
        <v>208</v>
      </c>
      <c r="R67" s="21" t="s">
        <v>209</v>
      </c>
      <c r="S67" s="21" t="s">
        <v>204</v>
      </c>
      <c r="T67" s="21" t="s">
        <v>211</v>
      </c>
    </row>
    <row r="68" spans="1:30">
      <c r="A68" s="2"/>
      <c r="B68" s="2"/>
      <c r="C68" s="2"/>
      <c r="D68" s="2"/>
      <c r="E68" s="2"/>
      <c r="F68" s="2"/>
      <c r="G68" s="2"/>
      <c r="H68" s="2"/>
      <c r="J68" s="21">
        <v>75</v>
      </c>
      <c r="K68" s="151">
        <f>D93</f>
        <v>53000</v>
      </c>
      <c r="L68" s="98">
        <f>D112</f>
        <v>12.7</v>
      </c>
      <c r="M68" s="98">
        <f>E112</f>
        <v>10.8</v>
      </c>
      <c r="N68" s="156">
        <f>K68*L68</f>
        <v>673100</v>
      </c>
      <c r="O68" s="200">
        <f>K68*M68</f>
        <v>572400</v>
      </c>
      <c r="Q68" s="98">
        <f>E159</f>
        <v>15.6</v>
      </c>
      <c r="R68" s="98">
        <f>E136</f>
        <v>11.8</v>
      </c>
      <c r="S68" s="172">
        <f>Q68*K68</f>
        <v>826800</v>
      </c>
      <c r="T68" s="172">
        <f>R68*K68</f>
        <v>625400</v>
      </c>
    </row>
    <row r="69" spans="1:30">
      <c r="A69" s="2"/>
      <c r="B69" s="2"/>
      <c r="C69" s="2"/>
      <c r="D69" s="2"/>
      <c r="E69" s="2"/>
      <c r="F69" s="2"/>
      <c r="G69" s="2"/>
      <c r="H69" s="2"/>
      <c r="I69" s="147"/>
    </row>
    <row r="70" spans="1:30">
      <c r="A70" s="2"/>
      <c r="B70" s="2"/>
      <c r="C70" s="2"/>
      <c r="D70" s="2"/>
      <c r="E70" s="2"/>
      <c r="F70" s="2"/>
      <c r="G70" s="2"/>
      <c r="H70" s="2"/>
      <c r="N70" s="151"/>
    </row>
    <row r="71" spans="1:30">
      <c r="A71" s="2"/>
      <c r="B71" s="2"/>
      <c r="C71" s="1" t="s">
        <v>153</v>
      </c>
      <c r="D71" s="17"/>
      <c r="E71" s="17"/>
      <c r="F71" s="17"/>
      <c r="G71" s="17"/>
      <c r="H71" s="2"/>
      <c r="J71" s="127" t="s">
        <v>261</v>
      </c>
      <c r="N71" s="151"/>
    </row>
    <row r="72" spans="1:30">
      <c r="A72" s="2"/>
      <c r="B72" s="2"/>
      <c r="C72" s="17"/>
      <c r="D72" s="17"/>
      <c r="E72" s="2"/>
      <c r="F72" s="2"/>
      <c r="G72" s="2"/>
      <c r="H72" s="2"/>
      <c r="M72" s="160"/>
      <c r="N72" s="151"/>
      <c r="P72" s="209" t="s">
        <v>250</v>
      </c>
      <c r="Q72" s="209" t="s">
        <v>251</v>
      </c>
    </row>
    <row r="73" spans="1:30">
      <c r="A73" s="2"/>
      <c r="B73" s="2"/>
      <c r="C73" s="145" t="s">
        <v>154</v>
      </c>
      <c r="D73" s="87" t="s">
        <v>9</v>
      </c>
      <c r="E73" s="87" t="s">
        <v>10</v>
      </c>
      <c r="F73" s="2"/>
      <c r="G73" s="2"/>
      <c r="H73" s="2"/>
      <c r="J73" s="127" t="s">
        <v>219</v>
      </c>
      <c r="O73" s="159" t="s">
        <v>253</v>
      </c>
      <c r="P73" s="162">
        <f>MAX(P80:P90)</f>
        <v>208376</v>
      </c>
      <c r="Q73" s="162">
        <f>MAX(Q80:Q90)</f>
        <v>129210.20000000003</v>
      </c>
      <c r="X73" s="127"/>
    </row>
    <row r="74" spans="1:30">
      <c r="A74" s="2"/>
      <c r="B74" s="2"/>
      <c r="C74" s="135" t="s">
        <v>6</v>
      </c>
      <c r="D74" s="88">
        <v>43</v>
      </c>
      <c r="E74" s="88">
        <v>60</v>
      </c>
      <c r="F74" s="2"/>
      <c r="G74" s="2"/>
      <c r="H74" s="2"/>
      <c r="J74" s="21" t="s">
        <v>6</v>
      </c>
      <c r="K74" s="21">
        <f>D74</f>
        <v>43</v>
      </c>
      <c r="O74" s="159" t="s">
        <v>267</v>
      </c>
      <c r="P74" s="207">
        <f>P85</f>
        <v>208376</v>
      </c>
      <c r="Q74" s="207">
        <f>Q85</f>
        <v>126392</v>
      </c>
      <c r="R74" s="210" t="s">
        <v>268</v>
      </c>
    </row>
    <row r="75" spans="1:30">
      <c r="A75" s="2"/>
      <c r="B75" s="2"/>
      <c r="C75" s="135" t="s">
        <v>155</v>
      </c>
      <c r="D75" s="89">
        <v>79000</v>
      </c>
      <c r="E75" s="89">
        <v>92000</v>
      </c>
      <c r="F75" s="2"/>
      <c r="G75" s="2"/>
      <c r="H75" s="2"/>
      <c r="J75" s="21" t="s">
        <v>189</v>
      </c>
      <c r="K75" s="21">
        <f>D78</f>
        <v>12</v>
      </c>
      <c r="O75" s="163" t="s">
        <v>254</v>
      </c>
      <c r="P75" s="164">
        <f>AVERAGE(P73:P74)</f>
        <v>208376</v>
      </c>
      <c r="Q75" s="164">
        <f>AVERAGE(Q73:Q74)</f>
        <v>127801.1</v>
      </c>
      <c r="R75" s="153"/>
      <c r="S75" s="154"/>
      <c r="T75" s="154"/>
      <c r="U75" s="155"/>
      <c r="V75" s="155"/>
      <c r="X75" s="151"/>
      <c r="Y75" s="151"/>
      <c r="Z75" s="151"/>
      <c r="AC75" s="151"/>
      <c r="AD75" s="151"/>
    </row>
    <row r="76" spans="1:30">
      <c r="A76" s="2"/>
      <c r="B76" s="2"/>
      <c r="C76" s="135" t="s">
        <v>156</v>
      </c>
      <c r="D76" s="89">
        <v>80000</v>
      </c>
      <c r="E76" s="89">
        <v>92000</v>
      </c>
      <c r="F76" s="2"/>
      <c r="G76" s="2"/>
      <c r="H76" s="2"/>
      <c r="J76" s="21" t="s">
        <v>255</v>
      </c>
      <c r="K76" s="21">
        <f>K74+K75</f>
        <v>55</v>
      </c>
      <c r="M76" s="151"/>
      <c r="N76" s="151"/>
      <c r="P76" s="152"/>
      <c r="Q76" s="152"/>
      <c r="R76" s="153"/>
      <c r="S76" s="154"/>
      <c r="T76" s="154"/>
      <c r="U76" s="155"/>
      <c r="V76" s="155"/>
      <c r="X76" s="151"/>
      <c r="Y76" s="151"/>
      <c r="Z76" s="151"/>
      <c r="AC76" s="151"/>
      <c r="AD76" s="151"/>
    </row>
    <row r="77" spans="1:30">
      <c r="A77" s="2"/>
      <c r="B77" s="2"/>
      <c r="C77" s="135" t="s">
        <v>157</v>
      </c>
      <c r="D77" s="89">
        <v>85000</v>
      </c>
      <c r="E77" s="89">
        <v>98000</v>
      </c>
      <c r="F77" s="2"/>
      <c r="G77" s="2"/>
      <c r="H77" s="2"/>
      <c r="J77" s="21" t="s">
        <v>256</v>
      </c>
      <c r="K77" s="21">
        <f>20-K75+K74</f>
        <v>51</v>
      </c>
      <c r="M77" s="151"/>
      <c r="N77" s="151"/>
      <c r="P77" s="152"/>
      <c r="Q77" s="152"/>
      <c r="R77" s="153"/>
      <c r="S77" s="154"/>
      <c r="T77" s="154"/>
      <c r="U77" s="155"/>
      <c r="V77" s="155"/>
      <c r="X77" s="151"/>
      <c r="Y77" s="151"/>
      <c r="Z77" s="151"/>
      <c r="AC77" s="156"/>
      <c r="AD77" s="156"/>
    </row>
    <row r="78" spans="1:30">
      <c r="A78" s="2"/>
      <c r="B78" s="2"/>
      <c r="C78" s="135" t="s">
        <v>158</v>
      </c>
      <c r="D78" s="88">
        <v>12</v>
      </c>
      <c r="E78" s="88">
        <v>7</v>
      </c>
      <c r="F78" s="2"/>
      <c r="G78" s="2"/>
      <c r="H78" s="2"/>
      <c r="M78" s="151"/>
      <c r="N78" s="21" t="s">
        <v>257</v>
      </c>
      <c r="O78" s="21" t="s">
        <v>263</v>
      </c>
      <c r="P78" s="152"/>
      <c r="Q78" s="152"/>
      <c r="R78" s="153"/>
      <c r="S78" s="154"/>
      <c r="T78" s="154"/>
      <c r="U78" s="155"/>
      <c r="V78" s="155"/>
      <c r="X78" s="151"/>
      <c r="Y78" s="151"/>
      <c r="Z78" s="151"/>
      <c r="AC78" s="156"/>
      <c r="AD78" s="156"/>
    </row>
    <row r="79" spans="1:30">
      <c r="A79" s="2"/>
      <c r="B79" s="2"/>
      <c r="C79" s="17"/>
      <c r="D79" s="17"/>
      <c r="E79" s="17"/>
      <c r="F79" s="42"/>
      <c r="G79" s="2"/>
      <c r="H79" s="2"/>
      <c r="J79" s="21" t="s">
        <v>258</v>
      </c>
      <c r="K79" s="21" t="s">
        <v>252</v>
      </c>
      <c r="L79" s="21" t="s">
        <v>259</v>
      </c>
      <c r="M79" s="21" t="s">
        <v>262</v>
      </c>
      <c r="N79" s="21" t="s">
        <v>260</v>
      </c>
      <c r="O79" s="21" t="s">
        <v>260</v>
      </c>
      <c r="P79" s="21" t="s">
        <v>264</v>
      </c>
      <c r="Q79" s="21" t="s">
        <v>265</v>
      </c>
      <c r="U79" s="157"/>
      <c r="V79" s="157"/>
      <c r="Y79" s="156"/>
      <c r="Z79" s="156"/>
      <c r="AC79" s="156"/>
      <c r="AD79" s="156"/>
    </row>
    <row r="80" spans="1:30">
      <c r="A80" s="2"/>
      <c r="B80" s="2"/>
      <c r="C80" s="17"/>
      <c r="D80" s="90"/>
      <c r="E80" s="90"/>
      <c r="F80" s="2"/>
      <c r="G80" s="2"/>
      <c r="H80" s="2"/>
      <c r="J80" s="21">
        <v>55</v>
      </c>
      <c r="K80" s="151">
        <f>$N$22</f>
        <v>81333.333333333328</v>
      </c>
      <c r="L80" s="171">
        <f>MIN(1,1-(5%*(60-J80)))</f>
        <v>0.75</v>
      </c>
      <c r="M80" s="170">
        <f>1.75%*K80*L80*$K$75</f>
        <v>12810</v>
      </c>
      <c r="N80" s="97">
        <f t="shared" ref="N80:N90" si="19">D141</f>
        <v>15.3</v>
      </c>
      <c r="O80" s="97">
        <f t="shared" ref="O80:O90" si="20">D118</f>
        <v>10</v>
      </c>
      <c r="P80" s="170">
        <f>N80*M80</f>
        <v>195993</v>
      </c>
      <c r="Q80" s="170">
        <f>M80*O80</f>
        <v>128100</v>
      </c>
      <c r="AC80" s="151"/>
      <c r="AD80" s="151"/>
    </row>
    <row r="81" spans="1:30">
      <c r="A81" s="2"/>
      <c r="B81" s="2"/>
      <c r="C81" s="145" t="s">
        <v>159</v>
      </c>
      <c r="D81" s="87" t="s">
        <v>11</v>
      </c>
      <c r="E81" s="90"/>
      <c r="F81" s="2"/>
      <c r="G81" s="2"/>
      <c r="H81" s="2"/>
      <c r="J81" s="21">
        <f>J80+1</f>
        <v>56</v>
      </c>
      <c r="K81" s="151">
        <f t="shared" ref="K81:K90" si="21">$N$22</f>
        <v>81333.333333333328</v>
      </c>
      <c r="L81" s="171">
        <f t="shared" ref="L81:L90" si="22">MIN(1,1-(5%*(60-J81)))</f>
        <v>0.8</v>
      </c>
      <c r="M81" s="170">
        <f t="shared" ref="M81:M90" si="23">1.75%*K81*L81*$K$75</f>
        <v>13664</v>
      </c>
      <c r="N81" s="97">
        <f t="shared" si="19"/>
        <v>14.7</v>
      </c>
      <c r="O81" s="97">
        <f t="shared" si="20"/>
        <v>9.4</v>
      </c>
      <c r="P81" s="170">
        <f t="shared" ref="P81:P90" si="24">N81*M81</f>
        <v>200860.79999999999</v>
      </c>
      <c r="Q81" s="170">
        <f t="shared" ref="Q81:Q90" si="25">M81*O81</f>
        <v>128441.60000000001</v>
      </c>
      <c r="AC81" s="151"/>
      <c r="AD81" s="151"/>
    </row>
    <row r="82" spans="1:30">
      <c r="A82" s="2"/>
      <c r="B82" s="2"/>
      <c r="C82" s="135" t="s">
        <v>6</v>
      </c>
      <c r="D82" s="88">
        <v>61</v>
      </c>
      <c r="E82" s="90"/>
      <c r="F82" s="2"/>
      <c r="G82" s="2"/>
      <c r="H82" s="2"/>
      <c r="J82" s="21">
        <f t="shared" ref="J82:J90" si="26">J81+1</f>
        <v>57</v>
      </c>
      <c r="K82" s="151">
        <f t="shared" si="21"/>
        <v>81333.333333333328</v>
      </c>
      <c r="L82" s="171">
        <f t="shared" si="22"/>
        <v>0.85</v>
      </c>
      <c r="M82" s="170">
        <f t="shared" si="23"/>
        <v>14518.000000000002</v>
      </c>
      <c r="N82" s="97">
        <f t="shared" si="19"/>
        <v>14</v>
      </c>
      <c r="O82" s="97">
        <f t="shared" si="20"/>
        <v>8.9</v>
      </c>
      <c r="P82" s="170">
        <f t="shared" si="24"/>
        <v>203252.00000000003</v>
      </c>
      <c r="Q82" s="170">
        <f t="shared" si="25"/>
        <v>129210.20000000003</v>
      </c>
      <c r="AC82" s="156"/>
      <c r="AD82" s="156"/>
    </row>
    <row r="83" spans="1:30">
      <c r="A83" s="2"/>
      <c r="B83" s="2"/>
      <c r="C83" s="136" t="s">
        <v>163</v>
      </c>
      <c r="D83" s="88" t="s">
        <v>182</v>
      </c>
      <c r="E83" s="90"/>
      <c r="F83" s="2"/>
      <c r="G83" s="2"/>
      <c r="H83" s="2"/>
      <c r="J83" s="21">
        <f t="shared" si="26"/>
        <v>58</v>
      </c>
      <c r="K83" s="151">
        <f t="shared" si="21"/>
        <v>81333.333333333328</v>
      </c>
      <c r="L83" s="171">
        <f t="shared" si="22"/>
        <v>0.9</v>
      </c>
      <c r="M83" s="170">
        <f t="shared" si="23"/>
        <v>15372.000000000004</v>
      </c>
      <c r="N83" s="97">
        <f t="shared" si="19"/>
        <v>13.4</v>
      </c>
      <c r="O83" s="97">
        <f t="shared" si="20"/>
        <v>8.4</v>
      </c>
      <c r="P83" s="170">
        <f t="shared" si="24"/>
        <v>205984.80000000005</v>
      </c>
      <c r="Q83" s="170">
        <f t="shared" si="25"/>
        <v>129124.80000000003</v>
      </c>
      <c r="AC83" s="156"/>
      <c r="AD83" s="156"/>
    </row>
    <row r="84" spans="1:30">
      <c r="A84" s="2"/>
      <c r="B84" s="2"/>
      <c r="C84" s="135" t="s">
        <v>160</v>
      </c>
      <c r="D84" s="88">
        <v>35</v>
      </c>
      <c r="E84" s="90"/>
      <c r="F84" s="2"/>
      <c r="G84" s="2"/>
      <c r="H84" s="2"/>
      <c r="J84" s="21">
        <f t="shared" si="26"/>
        <v>59</v>
      </c>
      <c r="K84" s="151">
        <f t="shared" si="21"/>
        <v>81333.333333333328</v>
      </c>
      <c r="L84" s="171">
        <f t="shared" si="22"/>
        <v>0.95</v>
      </c>
      <c r="M84" s="170">
        <f t="shared" si="23"/>
        <v>16226</v>
      </c>
      <c r="N84" s="97">
        <f t="shared" si="19"/>
        <v>12.8</v>
      </c>
      <c r="O84" s="97">
        <f t="shared" si="20"/>
        <v>7.9</v>
      </c>
      <c r="P84" s="170">
        <f t="shared" si="24"/>
        <v>207692.80000000002</v>
      </c>
      <c r="Q84" s="170">
        <f t="shared" si="25"/>
        <v>128185.40000000001</v>
      </c>
      <c r="X84" s="127"/>
    </row>
    <row r="85" spans="1:30">
      <c r="A85" s="2"/>
      <c r="B85" s="2"/>
      <c r="C85" s="135" t="s">
        <v>161</v>
      </c>
      <c r="D85" s="88">
        <v>9</v>
      </c>
      <c r="E85" s="90"/>
      <c r="F85" s="2"/>
      <c r="G85" s="2"/>
      <c r="H85" s="2"/>
      <c r="J85" s="21">
        <f t="shared" si="26"/>
        <v>60</v>
      </c>
      <c r="K85" s="151">
        <f t="shared" si="21"/>
        <v>81333.333333333328</v>
      </c>
      <c r="L85" s="171">
        <f t="shared" si="22"/>
        <v>1</v>
      </c>
      <c r="M85" s="170">
        <f t="shared" si="23"/>
        <v>17080</v>
      </c>
      <c r="N85" s="97">
        <f t="shared" si="19"/>
        <v>12.2</v>
      </c>
      <c r="O85" s="97">
        <f t="shared" si="20"/>
        <v>7.4</v>
      </c>
      <c r="P85" s="170">
        <f t="shared" si="24"/>
        <v>208376</v>
      </c>
      <c r="Q85" s="170">
        <f t="shared" si="25"/>
        <v>126392</v>
      </c>
    </row>
    <row r="86" spans="1:30">
      <c r="A86" s="2"/>
      <c r="B86" s="2"/>
      <c r="C86" s="135" t="s">
        <v>162</v>
      </c>
      <c r="D86" s="89">
        <v>21000</v>
      </c>
      <c r="E86" s="90"/>
      <c r="F86" s="2"/>
      <c r="G86" s="2"/>
      <c r="H86" s="2"/>
      <c r="J86" s="21">
        <f t="shared" si="26"/>
        <v>61</v>
      </c>
      <c r="K86" s="151">
        <f t="shared" si="21"/>
        <v>81333.333333333328</v>
      </c>
      <c r="L86" s="171">
        <f t="shared" si="22"/>
        <v>1</v>
      </c>
      <c r="M86" s="170">
        <f t="shared" si="23"/>
        <v>17080</v>
      </c>
      <c r="N86" s="97">
        <f t="shared" si="19"/>
        <v>11.6</v>
      </c>
      <c r="O86" s="97">
        <f t="shared" si="20"/>
        <v>7</v>
      </c>
      <c r="P86" s="170">
        <f t="shared" si="24"/>
        <v>198128</v>
      </c>
      <c r="Q86" s="170">
        <f t="shared" si="25"/>
        <v>119560</v>
      </c>
      <c r="R86" s="153"/>
      <c r="S86" s="154"/>
      <c r="T86" s="154"/>
      <c r="U86" s="155"/>
      <c r="V86" s="155"/>
      <c r="X86" s="151"/>
      <c r="Y86" s="151"/>
      <c r="Z86" s="151"/>
    </row>
    <row r="87" spans="1:30">
      <c r="A87" s="2"/>
      <c r="B87" s="2"/>
      <c r="C87" s="17"/>
      <c r="D87" s="90"/>
      <c r="E87" s="90"/>
      <c r="F87" s="2"/>
      <c r="G87" s="2"/>
      <c r="H87" s="2"/>
      <c r="J87" s="21">
        <f t="shared" si="26"/>
        <v>62</v>
      </c>
      <c r="K87" s="151">
        <f t="shared" si="21"/>
        <v>81333.333333333328</v>
      </c>
      <c r="L87" s="171">
        <f t="shared" si="22"/>
        <v>1</v>
      </c>
      <c r="M87" s="170">
        <f t="shared" si="23"/>
        <v>17080</v>
      </c>
      <c r="N87" s="97">
        <f t="shared" si="19"/>
        <v>11</v>
      </c>
      <c r="O87" s="97">
        <f t="shared" si="20"/>
        <v>6.6</v>
      </c>
      <c r="P87" s="170">
        <f t="shared" si="24"/>
        <v>187880</v>
      </c>
      <c r="Q87" s="170">
        <f t="shared" si="25"/>
        <v>112728</v>
      </c>
      <c r="R87" s="153"/>
      <c r="S87" s="154"/>
      <c r="T87" s="154"/>
      <c r="U87" s="155"/>
      <c r="V87" s="155"/>
      <c r="X87" s="151"/>
      <c r="Y87" s="151"/>
      <c r="Z87" s="151"/>
    </row>
    <row r="88" spans="1:30">
      <c r="A88" s="2"/>
      <c r="B88" s="2"/>
      <c r="C88" s="17"/>
      <c r="D88" s="90"/>
      <c r="E88" s="90"/>
      <c r="F88" s="2"/>
      <c r="G88" s="2"/>
      <c r="H88" s="2"/>
      <c r="J88" s="21">
        <f t="shared" si="26"/>
        <v>63</v>
      </c>
      <c r="K88" s="151">
        <f t="shared" si="21"/>
        <v>81333.333333333328</v>
      </c>
      <c r="L88" s="171">
        <f t="shared" si="22"/>
        <v>1</v>
      </c>
      <c r="M88" s="170">
        <f t="shared" si="23"/>
        <v>17080</v>
      </c>
      <c r="N88" s="97">
        <f t="shared" si="19"/>
        <v>10.5</v>
      </c>
      <c r="O88" s="97">
        <f t="shared" si="20"/>
        <v>6.2</v>
      </c>
      <c r="P88" s="170">
        <f t="shared" si="24"/>
        <v>179340</v>
      </c>
      <c r="Q88" s="170">
        <f t="shared" si="25"/>
        <v>105896</v>
      </c>
      <c r="R88" s="153"/>
      <c r="S88" s="154"/>
      <c r="T88" s="154"/>
      <c r="U88" s="155"/>
      <c r="V88" s="155"/>
      <c r="X88" s="151"/>
      <c r="Y88" s="151"/>
      <c r="Z88" s="151"/>
    </row>
    <row r="89" spans="1:30">
      <c r="A89" s="2"/>
      <c r="B89" s="2"/>
      <c r="C89" s="145" t="s">
        <v>164</v>
      </c>
      <c r="D89" s="87" t="s">
        <v>12</v>
      </c>
      <c r="E89" s="90"/>
      <c r="F89" s="2"/>
      <c r="G89" s="2"/>
      <c r="H89" s="2"/>
      <c r="J89" s="21">
        <f t="shared" si="26"/>
        <v>64</v>
      </c>
      <c r="K89" s="151">
        <f t="shared" si="21"/>
        <v>81333.333333333328</v>
      </c>
      <c r="L89" s="171">
        <f t="shared" si="22"/>
        <v>1</v>
      </c>
      <c r="M89" s="170">
        <f t="shared" si="23"/>
        <v>17080</v>
      </c>
      <c r="N89" s="97">
        <f t="shared" si="19"/>
        <v>10</v>
      </c>
      <c r="O89" s="97">
        <f t="shared" si="20"/>
        <v>5.8</v>
      </c>
      <c r="P89" s="170">
        <f t="shared" si="24"/>
        <v>170800</v>
      </c>
      <c r="Q89" s="170">
        <f t="shared" si="25"/>
        <v>99064</v>
      </c>
      <c r="U89" s="157"/>
      <c r="V89" s="157"/>
      <c r="Y89" s="156"/>
      <c r="Z89" s="156"/>
    </row>
    <row r="90" spans="1:30" ht="16.5" thickBot="1">
      <c r="A90" s="2"/>
      <c r="B90" s="2"/>
      <c r="C90" s="135" t="s">
        <v>6</v>
      </c>
      <c r="D90" s="91">
        <v>75</v>
      </c>
      <c r="E90" s="90"/>
      <c r="F90" s="2"/>
      <c r="G90" s="2"/>
      <c r="H90" s="2"/>
      <c r="J90" s="21">
        <f t="shared" si="26"/>
        <v>65</v>
      </c>
      <c r="K90" s="151">
        <f t="shared" si="21"/>
        <v>81333.333333333328</v>
      </c>
      <c r="L90" s="171">
        <f t="shared" si="22"/>
        <v>1</v>
      </c>
      <c r="M90" s="170">
        <f t="shared" si="23"/>
        <v>17080</v>
      </c>
      <c r="N90" s="97">
        <f t="shared" si="19"/>
        <v>9.5</v>
      </c>
      <c r="O90" s="97">
        <f t="shared" si="20"/>
        <v>5.5</v>
      </c>
      <c r="P90" s="170">
        <f t="shared" si="24"/>
        <v>162260</v>
      </c>
      <c r="Q90" s="170">
        <f t="shared" si="25"/>
        <v>93940</v>
      </c>
    </row>
    <row r="91" spans="1:30" ht="16.5" thickBot="1">
      <c r="A91" s="2"/>
      <c r="B91" s="2"/>
      <c r="C91" s="135" t="s">
        <v>165</v>
      </c>
      <c r="D91" s="91">
        <v>73</v>
      </c>
      <c r="E91" s="90"/>
      <c r="F91" s="10"/>
      <c r="G91" s="2"/>
      <c r="H91" s="2"/>
      <c r="J91" s="150"/>
      <c r="N91" s="150"/>
      <c r="O91" s="208" t="s">
        <v>266</v>
      </c>
      <c r="P91" s="222">
        <f>MAX(P80:P90)</f>
        <v>208376</v>
      </c>
      <c r="Q91" s="223">
        <f>MAX(Q80:Q90)</f>
        <v>129210.20000000003</v>
      </c>
    </row>
    <row r="92" spans="1:30">
      <c r="A92" s="2"/>
      <c r="B92" s="2"/>
      <c r="C92" s="135" t="s">
        <v>166</v>
      </c>
      <c r="D92" s="92">
        <v>43101</v>
      </c>
      <c r="E92" s="90"/>
      <c r="F92" s="2"/>
      <c r="G92" s="2"/>
      <c r="H92" s="2"/>
      <c r="J92" s="127" t="s">
        <v>213</v>
      </c>
      <c r="O92" s="158"/>
    </row>
    <row r="93" spans="1:30">
      <c r="A93" s="2"/>
      <c r="B93" s="2"/>
      <c r="C93" s="135" t="s">
        <v>167</v>
      </c>
      <c r="D93" s="89">
        <v>53000</v>
      </c>
      <c r="E93" s="90"/>
      <c r="F93" s="2"/>
      <c r="G93" s="2"/>
      <c r="H93" s="2"/>
      <c r="K93" s="176"/>
    </row>
    <row r="94" spans="1:30">
      <c r="A94" s="2"/>
      <c r="B94" s="2"/>
      <c r="C94" s="135" t="s">
        <v>168</v>
      </c>
      <c r="D94" s="91" t="s">
        <v>13</v>
      </c>
      <c r="E94" s="90"/>
      <c r="F94" s="2"/>
      <c r="G94" s="2"/>
      <c r="H94" s="2"/>
      <c r="J94" s="210" t="s">
        <v>269</v>
      </c>
      <c r="O94" s="160"/>
      <c r="R94" s="159"/>
    </row>
    <row r="95" spans="1:30">
      <c r="A95" s="2"/>
      <c r="B95" s="428"/>
      <c r="C95" s="428"/>
      <c r="D95" s="17"/>
      <c r="E95" s="17"/>
      <c r="F95" s="17"/>
      <c r="G95" s="17"/>
      <c r="H95" s="2"/>
      <c r="P95" s="151"/>
      <c r="R95" s="151"/>
    </row>
    <row r="96" spans="1:30">
      <c r="A96" s="2"/>
      <c r="B96" s="2"/>
      <c r="C96" s="1" t="s">
        <v>14</v>
      </c>
      <c r="D96" s="1"/>
      <c r="E96" s="17"/>
      <c r="F96" s="17"/>
      <c r="G96" s="17"/>
      <c r="H96" s="2"/>
      <c r="J96" s="21" t="s">
        <v>6</v>
      </c>
      <c r="K96" s="151" t="s">
        <v>189</v>
      </c>
      <c r="L96" s="21" t="s">
        <v>214</v>
      </c>
      <c r="M96" s="21" t="s">
        <v>215</v>
      </c>
      <c r="N96" s="21" t="s">
        <v>209</v>
      </c>
      <c r="O96" s="21" t="s">
        <v>216</v>
      </c>
      <c r="P96" s="21" t="s">
        <v>217</v>
      </c>
    </row>
    <row r="97" spans="1:17 16384:16384">
      <c r="A97" s="2"/>
      <c r="B97" s="2"/>
      <c r="C97" s="17"/>
      <c r="D97" s="17"/>
      <c r="E97" s="17"/>
      <c r="F97" s="17"/>
      <c r="G97" s="17"/>
      <c r="H97" s="2"/>
      <c r="J97" s="127">
        <f>K54</f>
        <v>60</v>
      </c>
      <c r="K97" s="156">
        <v>7</v>
      </c>
      <c r="L97" s="156">
        <f t="shared" ref="L97:L102" si="27">$P$54</f>
        <v>11515.000000000002</v>
      </c>
      <c r="M97" s="97">
        <f t="shared" ref="M97:M102" si="28">D153</f>
        <v>19</v>
      </c>
      <c r="N97" s="98">
        <f t="shared" ref="N97:N102" si="29">D130</f>
        <v>15.5</v>
      </c>
      <c r="O97" s="170">
        <f>L97*$M$102/M97*M97</f>
        <v>170422</v>
      </c>
      <c r="P97" s="170">
        <f>L97*$N$102/N97*N97</f>
        <v>130119.50000000003</v>
      </c>
    </row>
    <row r="98" spans="1:17 16384:16384">
      <c r="A98" s="2"/>
      <c r="B98" s="2"/>
      <c r="C98" s="58" t="s">
        <v>169</v>
      </c>
      <c r="D98" s="28"/>
      <c r="E98" s="93">
        <v>1888770</v>
      </c>
      <c r="F98" s="17"/>
      <c r="G98" s="17"/>
      <c r="H98" s="2"/>
      <c r="J98" s="21">
        <f>J97+1</f>
        <v>61</v>
      </c>
      <c r="K98" s="21">
        <f>K97+1</f>
        <v>8</v>
      </c>
      <c r="L98" s="156">
        <f t="shared" si="27"/>
        <v>11515.000000000002</v>
      </c>
      <c r="M98" s="97">
        <f t="shared" si="28"/>
        <v>18.100000000000001</v>
      </c>
      <c r="N98" s="98">
        <f t="shared" si="29"/>
        <v>14.6</v>
      </c>
      <c r="O98" s="170">
        <f t="shared" ref="O98:O101" si="30">L98*$M$102/M98*M98</f>
        <v>170422.00000000003</v>
      </c>
      <c r="P98" s="170">
        <f t="shared" ref="P98:P101" si="31">L98*$N$102/N98*N98</f>
        <v>130119.50000000004</v>
      </c>
    </row>
    <row r="99" spans="1:17 16384:16384">
      <c r="A99" s="2"/>
      <c r="B99" s="2"/>
      <c r="C99" s="17"/>
      <c r="D99" s="17"/>
      <c r="E99" s="17"/>
      <c r="F99" s="17"/>
      <c r="G99" s="17"/>
      <c r="H99" s="2"/>
      <c r="J99" s="21">
        <f t="shared" ref="J99:K102" si="32">J98+1</f>
        <v>62</v>
      </c>
      <c r="K99" s="21">
        <f t="shared" si="32"/>
        <v>9</v>
      </c>
      <c r="L99" s="156">
        <f t="shared" si="27"/>
        <v>11515.000000000002</v>
      </c>
      <c r="M99" s="97">
        <f t="shared" si="28"/>
        <v>17.2</v>
      </c>
      <c r="N99" s="98">
        <f t="shared" si="29"/>
        <v>13.7</v>
      </c>
      <c r="O99" s="170">
        <f t="shared" si="30"/>
        <v>170422.00000000003</v>
      </c>
      <c r="P99" s="170">
        <f t="shared" si="31"/>
        <v>130119.50000000004</v>
      </c>
    </row>
    <row r="100" spans="1:17 16384:16384">
      <c r="A100" s="2"/>
      <c r="B100" s="10"/>
      <c r="C100" s="12" t="s">
        <v>40</v>
      </c>
      <c r="D100" s="8"/>
      <c r="E100" s="8"/>
      <c r="F100" s="12"/>
      <c r="G100" s="12"/>
      <c r="H100" s="10"/>
      <c r="J100" s="21">
        <f t="shared" si="32"/>
        <v>63</v>
      </c>
      <c r="K100" s="21">
        <f t="shared" si="32"/>
        <v>10</v>
      </c>
      <c r="L100" s="156">
        <f t="shared" si="27"/>
        <v>11515.000000000002</v>
      </c>
      <c r="M100" s="97">
        <f t="shared" si="28"/>
        <v>16.399999999999999</v>
      </c>
      <c r="N100" s="98">
        <f t="shared" si="29"/>
        <v>12.9</v>
      </c>
      <c r="O100" s="170">
        <f t="shared" si="30"/>
        <v>170422.00000000003</v>
      </c>
      <c r="P100" s="170">
        <f t="shared" si="31"/>
        <v>130119.50000000004</v>
      </c>
    </row>
    <row r="101" spans="1:17 16384:16384" ht="16.5" thickBot="1">
      <c r="A101" s="2"/>
      <c r="B101" s="10"/>
      <c r="C101" s="10"/>
      <c r="D101" s="10"/>
      <c r="E101" s="10"/>
      <c r="F101" s="10"/>
      <c r="G101" s="10"/>
      <c r="H101" s="10"/>
      <c r="J101" s="21">
        <f t="shared" si="32"/>
        <v>64</v>
      </c>
      <c r="K101" s="21">
        <f t="shared" si="32"/>
        <v>11</v>
      </c>
      <c r="L101" s="156">
        <f t="shared" si="27"/>
        <v>11515.000000000002</v>
      </c>
      <c r="M101" s="97">
        <f t="shared" si="28"/>
        <v>15.6</v>
      </c>
      <c r="N101" s="98">
        <f t="shared" si="29"/>
        <v>12.1</v>
      </c>
      <c r="O101" s="170">
        <f t="shared" si="30"/>
        <v>170422.00000000003</v>
      </c>
      <c r="P101" s="170">
        <f t="shared" si="31"/>
        <v>130119.50000000001</v>
      </c>
    </row>
    <row r="102" spans="1:17 16384:16384" ht="16.5" thickBot="1">
      <c r="A102" s="2"/>
      <c r="B102" s="15"/>
      <c r="C102" s="15" t="s">
        <v>41</v>
      </c>
      <c r="D102" s="10"/>
      <c r="E102" s="10"/>
      <c r="F102" s="10"/>
      <c r="G102" s="10"/>
      <c r="H102" s="10"/>
      <c r="J102" s="21">
        <f t="shared" si="32"/>
        <v>65</v>
      </c>
      <c r="K102" s="21">
        <f t="shared" si="32"/>
        <v>12</v>
      </c>
      <c r="L102" s="156">
        <f t="shared" si="27"/>
        <v>11515.000000000002</v>
      </c>
      <c r="M102" s="97">
        <f t="shared" si="28"/>
        <v>14.8</v>
      </c>
      <c r="N102" s="224">
        <f t="shared" si="29"/>
        <v>11.3</v>
      </c>
      <c r="O102" s="225">
        <f>L102*M102</f>
        <v>170422.00000000003</v>
      </c>
      <c r="P102" s="226">
        <f>N102*L102</f>
        <v>130119.50000000003</v>
      </c>
      <c r="Q102" s="21" t="s">
        <v>218</v>
      </c>
    </row>
    <row r="103" spans="1:17 16384:16384">
      <c r="A103" s="2"/>
      <c r="B103" s="15"/>
      <c r="C103" s="15"/>
      <c r="D103" s="10"/>
      <c r="E103" s="10"/>
      <c r="F103" s="10"/>
      <c r="G103" s="10"/>
      <c r="H103" s="10"/>
    </row>
    <row r="104" spans="1:17 16384:16384">
      <c r="A104" s="2"/>
      <c r="B104" s="15"/>
      <c r="C104" s="94"/>
      <c r="D104" s="95" t="s">
        <v>17</v>
      </c>
      <c r="E104" s="95" t="s">
        <v>42</v>
      </c>
      <c r="F104" s="10"/>
      <c r="G104" s="10"/>
      <c r="H104" s="10"/>
    </row>
    <row r="105" spans="1:17 16384:16384" ht="18.75">
      <c r="A105" s="2"/>
      <c r="B105" s="15"/>
      <c r="C105" s="96" t="s">
        <v>120</v>
      </c>
      <c r="D105" s="97">
        <v>17</v>
      </c>
      <c r="E105" s="98">
        <v>13.6</v>
      </c>
      <c r="F105" s="10"/>
      <c r="G105" s="10"/>
      <c r="H105" s="10"/>
      <c r="K105" s="161"/>
    </row>
    <row r="106" spans="1:17 16384:16384" ht="18.75">
      <c r="A106" s="2"/>
      <c r="B106" s="15"/>
      <c r="C106" s="96" t="s">
        <v>121</v>
      </c>
      <c r="D106" s="98">
        <v>16.600000000000001</v>
      </c>
      <c r="E106" s="98">
        <v>13.4</v>
      </c>
      <c r="F106" s="10"/>
      <c r="G106" s="10"/>
      <c r="H106" s="10"/>
    </row>
    <row r="107" spans="1:17 16384:16384" ht="18.75">
      <c r="A107" s="2"/>
      <c r="B107" s="15"/>
      <c r="C107" s="96" t="s">
        <v>122</v>
      </c>
      <c r="D107" s="97">
        <v>16.3</v>
      </c>
      <c r="E107" s="98">
        <v>13.1</v>
      </c>
      <c r="F107" s="10"/>
      <c r="G107" s="10"/>
      <c r="H107" s="10"/>
      <c r="XFD107" s="21">
        <f>XEY94</f>
        <v>0</v>
      </c>
    </row>
    <row r="108" spans="1:17 16384:16384" ht="18.75">
      <c r="A108" s="2"/>
      <c r="B108" s="15"/>
      <c r="C108" s="96" t="s">
        <v>123</v>
      </c>
      <c r="D108" s="98">
        <v>15.9</v>
      </c>
      <c r="E108" s="98">
        <v>12.9</v>
      </c>
      <c r="F108" s="10"/>
      <c r="G108" s="10"/>
      <c r="H108" s="10"/>
      <c r="K108" s="127"/>
      <c r="L108" s="127"/>
    </row>
    <row r="109" spans="1:17 16384:16384" ht="18.75">
      <c r="A109" s="2"/>
      <c r="B109" s="15"/>
      <c r="C109" s="96" t="s">
        <v>124</v>
      </c>
      <c r="D109" s="98">
        <v>15.6</v>
      </c>
      <c r="E109" s="98">
        <v>12.7</v>
      </c>
      <c r="F109" s="10"/>
      <c r="G109" s="10"/>
      <c r="H109" s="10"/>
      <c r="J109" s="150"/>
    </row>
    <row r="110" spans="1:17 16384:16384" ht="18.75">
      <c r="A110" s="2"/>
      <c r="B110" s="15"/>
      <c r="C110" s="96" t="s">
        <v>125</v>
      </c>
      <c r="D110" s="98">
        <v>15.2</v>
      </c>
      <c r="E110" s="98">
        <v>12.5</v>
      </c>
      <c r="F110" s="10"/>
      <c r="G110" s="10"/>
      <c r="H110" s="10"/>
      <c r="N110" s="151"/>
      <c r="O110" s="159"/>
      <c r="P110" s="162"/>
      <c r="Q110" s="162"/>
    </row>
    <row r="111" spans="1:17 16384:16384" ht="18.75">
      <c r="A111" s="2"/>
      <c r="B111" s="15"/>
      <c r="C111" s="96"/>
      <c r="D111" s="99"/>
      <c r="E111" s="99"/>
      <c r="F111" s="10"/>
      <c r="G111" s="10"/>
      <c r="H111" s="10"/>
    </row>
    <row r="112" spans="1:17 16384:16384" ht="18.75">
      <c r="A112" s="2"/>
      <c r="B112" s="15"/>
      <c r="C112" s="96" t="s">
        <v>126</v>
      </c>
      <c r="D112" s="98">
        <v>12.7</v>
      </c>
      <c r="E112" s="98">
        <v>10.8</v>
      </c>
      <c r="F112" s="10"/>
      <c r="G112" s="10"/>
      <c r="H112" s="10"/>
      <c r="N112" s="151"/>
      <c r="O112" s="163"/>
      <c r="P112" s="164"/>
      <c r="Q112" s="164"/>
    </row>
    <row r="113" spans="1:17">
      <c r="A113" s="2"/>
      <c r="B113" s="100"/>
      <c r="C113" s="101"/>
      <c r="D113" s="101"/>
      <c r="E113" s="101"/>
      <c r="F113" s="101"/>
      <c r="G113" s="101"/>
      <c r="H113" s="101"/>
      <c r="N113" s="151"/>
    </row>
    <row r="114" spans="1:17">
      <c r="A114" s="2"/>
      <c r="B114" s="100"/>
      <c r="C114" s="101"/>
      <c r="D114" s="101"/>
      <c r="E114" s="101"/>
      <c r="F114" s="101"/>
      <c r="G114" s="101"/>
      <c r="H114" s="101"/>
    </row>
    <row r="115" spans="1:17">
      <c r="A115" s="2"/>
      <c r="B115" s="100"/>
      <c r="C115" s="15" t="s">
        <v>43</v>
      </c>
      <c r="D115" s="94"/>
      <c r="E115" s="94"/>
      <c r="F115" s="101"/>
      <c r="G115" s="101"/>
      <c r="H115" s="101"/>
    </row>
    <row r="116" spans="1:17">
      <c r="A116" s="2"/>
      <c r="B116" s="100"/>
      <c r="C116" s="94"/>
      <c r="D116" s="94"/>
      <c r="E116" s="94"/>
      <c r="F116" s="101"/>
      <c r="G116" s="101"/>
      <c r="H116" s="101"/>
    </row>
    <row r="117" spans="1:17">
      <c r="A117" s="2"/>
      <c r="B117" s="100"/>
      <c r="C117" s="94"/>
      <c r="D117" s="102" t="s">
        <v>44</v>
      </c>
      <c r="E117" s="102" t="s">
        <v>45</v>
      </c>
      <c r="F117" s="8"/>
      <c r="G117" s="101"/>
      <c r="H117" s="101"/>
      <c r="M117" s="155"/>
      <c r="N117" s="154"/>
      <c r="O117" s="154"/>
      <c r="P117" s="155"/>
      <c r="Q117" s="155"/>
    </row>
    <row r="118" spans="1:17" ht="18.75">
      <c r="A118" s="2"/>
      <c r="B118" s="100"/>
      <c r="C118" s="96" t="s">
        <v>46</v>
      </c>
      <c r="D118" s="97">
        <v>10</v>
      </c>
      <c r="E118" s="99"/>
      <c r="F118" s="101"/>
      <c r="G118" s="101"/>
      <c r="H118" s="101"/>
      <c r="M118" s="155"/>
      <c r="N118" s="154"/>
      <c r="O118" s="154"/>
      <c r="P118" s="155"/>
      <c r="Q118" s="155"/>
    </row>
    <row r="119" spans="1:17" ht="18.75">
      <c r="A119" s="2"/>
      <c r="B119" s="100"/>
      <c r="C119" s="96" t="s">
        <v>47</v>
      </c>
      <c r="D119" s="97">
        <v>9.4</v>
      </c>
      <c r="E119" s="99"/>
      <c r="F119" s="101"/>
      <c r="G119" s="101"/>
      <c r="H119" s="101"/>
      <c r="M119" s="155"/>
      <c r="N119" s="154"/>
      <c r="O119" s="154"/>
      <c r="P119" s="155"/>
      <c r="Q119" s="155"/>
    </row>
    <row r="120" spans="1:17" ht="18.75">
      <c r="A120" s="2"/>
      <c r="B120" s="100"/>
      <c r="C120" s="96" t="s">
        <v>48</v>
      </c>
      <c r="D120" s="97">
        <v>8.9</v>
      </c>
      <c r="E120" s="99"/>
      <c r="F120" s="101"/>
      <c r="G120" s="101"/>
      <c r="H120" s="101"/>
      <c r="M120" s="155"/>
      <c r="N120" s="154"/>
      <c r="O120" s="154"/>
      <c r="P120" s="155"/>
      <c r="Q120" s="155"/>
    </row>
    <row r="121" spans="1:17" ht="18.75">
      <c r="A121" s="2"/>
      <c r="B121" s="100"/>
      <c r="C121" s="96" t="s">
        <v>49</v>
      </c>
      <c r="D121" s="97">
        <v>8.4</v>
      </c>
      <c r="E121" s="99"/>
      <c r="F121" s="101"/>
      <c r="G121" s="101"/>
      <c r="H121" s="101"/>
      <c r="M121" s="155"/>
      <c r="N121" s="154"/>
      <c r="O121" s="154"/>
      <c r="P121" s="155"/>
      <c r="Q121" s="155"/>
    </row>
    <row r="122" spans="1:17" ht="18.75">
      <c r="A122" s="2"/>
      <c r="B122" s="100"/>
      <c r="C122" s="96" t="s">
        <v>50</v>
      </c>
      <c r="D122" s="97">
        <v>7.9</v>
      </c>
      <c r="E122" s="99"/>
      <c r="F122" s="101"/>
      <c r="G122" s="101"/>
      <c r="H122" s="101"/>
      <c r="M122" s="155"/>
      <c r="N122" s="154"/>
      <c r="O122" s="154"/>
      <c r="P122" s="155"/>
      <c r="Q122" s="155"/>
    </row>
    <row r="123" spans="1:17" ht="18.75">
      <c r="A123" s="2"/>
      <c r="B123" s="100"/>
      <c r="C123" s="96" t="s">
        <v>51</v>
      </c>
      <c r="D123" s="97">
        <v>7.4</v>
      </c>
      <c r="E123" s="99"/>
      <c r="F123" s="101"/>
      <c r="G123" s="101"/>
      <c r="H123" s="101"/>
      <c r="M123" s="155"/>
      <c r="N123" s="155"/>
      <c r="O123" s="155"/>
      <c r="P123" s="155"/>
      <c r="Q123" s="155"/>
    </row>
    <row r="124" spans="1:17" ht="18.75">
      <c r="A124" s="2"/>
      <c r="B124" s="100"/>
      <c r="C124" s="96" t="s">
        <v>52</v>
      </c>
      <c r="D124" s="97">
        <v>7</v>
      </c>
      <c r="E124" s="99"/>
      <c r="F124" s="101"/>
      <c r="G124" s="101"/>
      <c r="H124" s="101"/>
      <c r="M124" s="165"/>
      <c r="N124" s="155"/>
      <c r="O124" s="155"/>
      <c r="P124" s="155"/>
      <c r="Q124" s="155"/>
    </row>
    <row r="125" spans="1:17" ht="18.75">
      <c r="A125" s="2"/>
      <c r="B125" s="100"/>
      <c r="C125" s="96" t="s">
        <v>53</v>
      </c>
      <c r="D125" s="97">
        <v>6.6</v>
      </c>
      <c r="E125" s="99"/>
      <c r="F125" s="101"/>
      <c r="G125" s="101"/>
      <c r="H125" s="101"/>
      <c r="M125" s="165"/>
      <c r="N125" s="155"/>
      <c r="O125" s="155"/>
      <c r="P125" s="155"/>
      <c r="Q125" s="155"/>
    </row>
    <row r="126" spans="1:17" ht="18.75">
      <c r="A126" s="2"/>
      <c r="B126" s="100"/>
      <c r="C126" s="96" t="s">
        <v>54</v>
      </c>
      <c r="D126" s="97">
        <v>6.2</v>
      </c>
      <c r="E126" s="99"/>
      <c r="F126" s="101"/>
      <c r="G126" s="101"/>
      <c r="H126" s="101"/>
      <c r="M126" s="165"/>
      <c r="N126" s="155"/>
      <c r="O126" s="155"/>
      <c r="P126" s="155"/>
      <c r="Q126" s="155"/>
    </row>
    <row r="127" spans="1:17" ht="18.75">
      <c r="A127" s="2"/>
      <c r="B127" s="100"/>
      <c r="C127" s="96" t="s">
        <v>55</v>
      </c>
      <c r="D127" s="97">
        <v>5.8</v>
      </c>
      <c r="E127" s="99"/>
      <c r="F127" s="101"/>
      <c r="G127" s="101"/>
      <c r="H127" s="101"/>
      <c r="M127" s="165"/>
      <c r="N127" s="155"/>
      <c r="O127" s="155"/>
      <c r="P127" s="155"/>
      <c r="Q127" s="155"/>
    </row>
    <row r="128" spans="1:17" ht="18.75">
      <c r="A128" s="2"/>
      <c r="B128" s="100"/>
      <c r="C128" s="96" t="s">
        <v>56</v>
      </c>
      <c r="D128" s="97">
        <v>5.5</v>
      </c>
      <c r="E128" s="99"/>
      <c r="F128" s="101"/>
      <c r="G128" s="101"/>
      <c r="H128" s="101"/>
      <c r="M128" s="165"/>
      <c r="N128" s="155"/>
      <c r="O128" s="155"/>
      <c r="P128" s="155"/>
      <c r="Q128" s="155"/>
    </row>
    <row r="129" spans="1:17" ht="18.75">
      <c r="A129" s="2"/>
      <c r="B129" s="100"/>
      <c r="C129" s="96" t="s">
        <v>179</v>
      </c>
      <c r="D129" s="97">
        <v>11.9</v>
      </c>
      <c r="E129" s="99"/>
      <c r="F129" s="101"/>
      <c r="G129" s="101"/>
      <c r="H129" s="101"/>
      <c r="M129" s="160"/>
      <c r="N129" s="155"/>
      <c r="O129" s="155"/>
      <c r="P129" s="155"/>
      <c r="Q129" s="155"/>
    </row>
    <row r="130" spans="1:17" ht="18.75">
      <c r="A130" s="2"/>
      <c r="B130" s="100"/>
      <c r="C130" s="96" t="s">
        <v>120</v>
      </c>
      <c r="D130" s="98">
        <v>15.5</v>
      </c>
      <c r="E130" s="99"/>
      <c r="F130" s="101"/>
      <c r="G130" s="101"/>
      <c r="H130" s="101"/>
      <c r="M130" s="160"/>
      <c r="N130" s="155"/>
      <c r="O130" s="155"/>
      <c r="P130" s="155"/>
      <c r="Q130" s="155"/>
    </row>
    <row r="131" spans="1:17" ht="18.75">
      <c r="A131" s="2"/>
      <c r="B131" s="100"/>
      <c r="C131" s="96" t="s">
        <v>57</v>
      </c>
      <c r="D131" s="98">
        <v>14.6</v>
      </c>
      <c r="E131" s="99"/>
      <c r="F131" s="101"/>
      <c r="G131" s="101"/>
      <c r="H131" s="101"/>
      <c r="M131" s="160"/>
      <c r="N131" s="155"/>
      <c r="O131" s="155"/>
      <c r="P131" s="155"/>
      <c r="Q131" s="155"/>
    </row>
    <row r="132" spans="1:17" ht="18.75">
      <c r="A132" s="2"/>
      <c r="B132" s="100"/>
      <c r="C132" s="96" t="s">
        <v>58</v>
      </c>
      <c r="D132" s="98">
        <v>13.7</v>
      </c>
      <c r="E132" s="99"/>
      <c r="F132" s="101"/>
      <c r="G132" s="101"/>
      <c r="H132" s="101"/>
      <c r="M132" s="160"/>
      <c r="N132" s="155"/>
      <c r="O132" s="155"/>
      <c r="P132" s="155"/>
      <c r="Q132" s="155"/>
    </row>
    <row r="133" spans="1:17" ht="18.75">
      <c r="A133" s="2"/>
      <c r="B133" s="100"/>
      <c r="C133" s="96" t="s">
        <v>59</v>
      </c>
      <c r="D133" s="98">
        <v>12.9</v>
      </c>
      <c r="E133" s="99"/>
      <c r="F133" s="101"/>
      <c r="G133" s="101"/>
      <c r="H133" s="101"/>
      <c r="M133" s="160"/>
      <c r="N133" s="155"/>
      <c r="O133" s="155"/>
      <c r="P133" s="155"/>
      <c r="Q133" s="155"/>
    </row>
    <row r="134" spans="1:17" ht="18.75">
      <c r="A134" s="2"/>
      <c r="B134" s="100"/>
      <c r="C134" s="96" t="s">
        <v>60</v>
      </c>
      <c r="D134" s="98">
        <v>12.1</v>
      </c>
      <c r="E134" s="99"/>
      <c r="F134" s="101"/>
      <c r="G134" s="101"/>
      <c r="H134" s="101"/>
      <c r="M134" s="160"/>
      <c r="N134" s="155"/>
      <c r="O134" s="155"/>
      <c r="P134" s="155"/>
      <c r="Q134" s="155"/>
    </row>
    <row r="135" spans="1:17" ht="18.75">
      <c r="A135" s="2"/>
      <c r="B135" s="100"/>
      <c r="C135" s="96" t="s">
        <v>61</v>
      </c>
      <c r="D135" s="98">
        <v>11.3</v>
      </c>
      <c r="E135" s="99"/>
      <c r="F135" s="101"/>
      <c r="G135" s="101"/>
      <c r="H135" s="101"/>
    </row>
    <row r="136" spans="1:17" ht="18.75">
      <c r="A136" s="2"/>
      <c r="B136" s="100"/>
      <c r="C136" s="96" t="s">
        <v>127</v>
      </c>
      <c r="D136" s="98"/>
      <c r="E136" s="98">
        <v>11.8</v>
      </c>
      <c r="F136" s="101"/>
      <c r="G136" s="101"/>
      <c r="H136" s="101"/>
    </row>
    <row r="137" spans="1:17">
      <c r="A137" s="2"/>
      <c r="B137" s="100"/>
      <c r="C137" s="101"/>
      <c r="D137" s="101"/>
      <c r="E137" s="101"/>
      <c r="F137" s="101"/>
      <c r="G137" s="101"/>
      <c r="H137" s="101"/>
      <c r="M137" s="162"/>
      <c r="N137" s="162"/>
    </row>
    <row r="138" spans="1:17">
      <c r="A138" s="2"/>
      <c r="B138" s="100"/>
      <c r="C138" s="15" t="s">
        <v>62</v>
      </c>
      <c r="D138" s="94"/>
      <c r="E138" s="94"/>
      <c r="F138" s="101"/>
      <c r="G138" s="101"/>
      <c r="H138" s="101"/>
      <c r="K138" s="151"/>
      <c r="L138" s="152"/>
      <c r="M138" s="155"/>
      <c r="N138" s="155"/>
      <c r="O138" s="154"/>
      <c r="P138" s="155"/>
      <c r="Q138" s="155"/>
    </row>
    <row r="139" spans="1:17">
      <c r="A139" s="2"/>
      <c r="B139" s="100"/>
      <c r="C139" s="94"/>
      <c r="D139" s="94"/>
      <c r="E139" s="94"/>
      <c r="F139" s="101"/>
      <c r="G139" s="101"/>
      <c r="H139" s="101"/>
      <c r="K139" s="151"/>
      <c r="L139" s="152"/>
      <c r="M139" s="155"/>
      <c r="N139" s="177"/>
      <c r="O139" s="154"/>
      <c r="P139" s="155"/>
      <c r="Q139" s="155"/>
    </row>
    <row r="140" spans="1:17">
      <c r="A140" s="2"/>
      <c r="B140" s="100"/>
      <c r="C140" s="94"/>
      <c r="D140" s="102" t="s">
        <v>44</v>
      </c>
      <c r="E140" s="102" t="s">
        <v>45</v>
      </c>
      <c r="F140" s="8"/>
      <c r="G140" s="101"/>
      <c r="H140" s="101"/>
      <c r="K140" s="151"/>
      <c r="L140" s="152"/>
      <c r="M140" s="155"/>
      <c r="N140" s="154"/>
      <c r="O140" s="154"/>
      <c r="P140" s="155"/>
      <c r="Q140" s="155"/>
    </row>
    <row r="141" spans="1:17" ht="18.75">
      <c r="A141" s="2"/>
      <c r="B141" s="100"/>
      <c r="C141" s="96" t="s">
        <v>46</v>
      </c>
      <c r="D141" s="97">
        <v>15.3</v>
      </c>
      <c r="E141" s="99"/>
      <c r="F141" s="101"/>
      <c r="G141" s="101"/>
      <c r="H141" s="101"/>
      <c r="J141" s="155"/>
      <c r="N141" s="154"/>
      <c r="O141" s="154"/>
      <c r="P141" s="155"/>
      <c r="Q141" s="155"/>
    </row>
    <row r="142" spans="1:17" ht="18.75">
      <c r="A142" s="2"/>
      <c r="B142" s="100"/>
      <c r="C142" s="96" t="s">
        <v>47</v>
      </c>
      <c r="D142" s="97">
        <v>14.7</v>
      </c>
      <c r="E142" s="99"/>
      <c r="F142" s="101"/>
      <c r="G142" s="101"/>
      <c r="H142" s="101"/>
      <c r="J142" s="155"/>
      <c r="N142" s="154"/>
      <c r="O142" s="154"/>
      <c r="P142" s="155"/>
      <c r="Q142" s="155"/>
    </row>
    <row r="143" spans="1:17" ht="18.75">
      <c r="A143" s="2"/>
      <c r="B143" s="100"/>
      <c r="C143" s="96" t="s">
        <v>48</v>
      </c>
      <c r="D143" s="97">
        <v>14</v>
      </c>
      <c r="E143" s="99"/>
      <c r="F143" s="101"/>
      <c r="G143" s="101"/>
      <c r="H143" s="101"/>
      <c r="J143" s="155"/>
      <c r="N143" s="154"/>
      <c r="O143" s="154"/>
      <c r="P143" s="155"/>
      <c r="Q143" s="155"/>
    </row>
    <row r="144" spans="1:17" ht="18.75">
      <c r="A144" s="2"/>
      <c r="B144" s="100"/>
      <c r="C144" s="96" t="s">
        <v>49</v>
      </c>
      <c r="D144" s="97">
        <v>13.4</v>
      </c>
      <c r="E144" s="99"/>
      <c r="F144" s="101"/>
      <c r="G144" s="101"/>
      <c r="H144" s="101"/>
      <c r="J144" s="155"/>
      <c r="N144" s="154"/>
      <c r="O144" s="154"/>
      <c r="P144" s="155"/>
      <c r="Q144" s="155"/>
    </row>
    <row r="145" spans="1:20" ht="18.75">
      <c r="A145" s="2"/>
      <c r="B145" s="100"/>
      <c r="C145" s="96" t="s">
        <v>50</v>
      </c>
      <c r="D145" s="97">
        <v>12.8</v>
      </c>
      <c r="E145" s="99"/>
      <c r="F145" s="101"/>
      <c r="G145" s="101"/>
      <c r="H145" s="101"/>
      <c r="J145" s="155"/>
      <c r="N145" s="154"/>
      <c r="O145" s="154"/>
      <c r="P145" s="155"/>
      <c r="Q145" s="155"/>
    </row>
    <row r="146" spans="1:20" ht="18.75">
      <c r="A146" s="2"/>
      <c r="B146" s="100"/>
      <c r="C146" s="96" t="s">
        <v>51</v>
      </c>
      <c r="D146" s="97">
        <v>12.2</v>
      </c>
      <c r="E146" s="99"/>
      <c r="F146" s="101"/>
      <c r="G146" s="101"/>
      <c r="H146" s="101"/>
      <c r="J146" s="155"/>
      <c r="O146" s="150"/>
    </row>
    <row r="147" spans="1:20" ht="18.75">
      <c r="A147" s="2"/>
      <c r="B147" s="100"/>
      <c r="C147" s="96" t="s">
        <v>52</v>
      </c>
      <c r="D147" s="97">
        <v>11.6</v>
      </c>
      <c r="E147" s="99"/>
      <c r="F147" s="101"/>
      <c r="G147" s="101"/>
      <c r="H147" s="101"/>
      <c r="J147" s="155"/>
    </row>
    <row r="148" spans="1:20" ht="18.75">
      <c r="A148" s="2"/>
      <c r="B148" s="100"/>
      <c r="C148" s="96" t="s">
        <v>53</v>
      </c>
      <c r="D148" s="97">
        <v>11</v>
      </c>
      <c r="E148" s="99"/>
      <c r="F148" s="101"/>
      <c r="G148" s="101"/>
      <c r="H148" s="101"/>
    </row>
    <row r="149" spans="1:20" ht="18.75">
      <c r="A149" s="2"/>
      <c r="B149" s="100"/>
      <c r="C149" s="96" t="s">
        <v>54</v>
      </c>
      <c r="D149" s="97">
        <v>10.5</v>
      </c>
      <c r="E149" s="99"/>
      <c r="F149" s="101"/>
      <c r="G149" s="101"/>
      <c r="H149" s="101"/>
      <c r="T149" s="159"/>
    </row>
    <row r="150" spans="1:20" ht="18.75">
      <c r="A150" s="2"/>
      <c r="B150" s="100"/>
      <c r="C150" s="96" t="s">
        <v>55</v>
      </c>
      <c r="D150" s="97">
        <v>10</v>
      </c>
      <c r="E150" s="99"/>
      <c r="F150" s="101"/>
      <c r="G150" s="101"/>
      <c r="H150" s="101"/>
      <c r="P150" s="151"/>
      <c r="Q150" s="151"/>
      <c r="T150" s="151"/>
    </row>
    <row r="151" spans="1:20" ht="18.75">
      <c r="A151" s="2"/>
      <c r="B151" s="100"/>
      <c r="C151" s="96" t="s">
        <v>56</v>
      </c>
      <c r="D151" s="97">
        <v>9.5</v>
      </c>
      <c r="E151" s="99"/>
      <c r="F151" s="101"/>
      <c r="G151" s="101"/>
      <c r="H151" s="101"/>
      <c r="M151" s="159"/>
      <c r="N151" s="173"/>
    </row>
    <row r="152" spans="1:20" ht="18.75">
      <c r="A152" s="2"/>
      <c r="B152" s="100"/>
      <c r="C152" s="96" t="s">
        <v>179</v>
      </c>
      <c r="D152" s="97">
        <v>15.4</v>
      </c>
      <c r="E152" s="99"/>
      <c r="F152" s="101"/>
      <c r="G152" s="101"/>
      <c r="H152" s="101"/>
      <c r="J152" s="151"/>
      <c r="M152" s="151"/>
      <c r="N152" s="156"/>
      <c r="P152" s="156"/>
      <c r="Q152" s="156"/>
      <c r="T152" s="156"/>
    </row>
    <row r="153" spans="1:20" ht="18.75">
      <c r="A153" s="2"/>
      <c r="B153" s="100"/>
      <c r="C153" s="96" t="s">
        <v>120</v>
      </c>
      <c r="D153" s="97">
        <v>19</v>
      </c>
      <c r="E153" s="99"/>
      <c r="F153" s="101"/>
      <c r="G153" s="101"/>
      <c r="H153" s="101"/>
    </row>
    <row r="154" spans="1:20" ht="18.75">
      <c r="A154" s="2"/>
      <c r="B154" s="100"/>
      <c r="C154" s="96" t="s">
        <v>57</v>
      </c>
      <c r="D154" s="98">
        <v>18.100000000000001</v>
      </c>
      <c r="E154" s="99"/>
      <c r="F154" s="101"/>
      <c r="G154" s="101"/>
      <c r="H154" s="101"/>
      <c r="J154" s="156"/>
      <c r="M154" s="156"/>
      <c r="N154" s="151"/>
    </row>
    <row r="155" spans="1:20" ht="18.75">
      <c r="A155" s="2"/>
      <c r="B155" s="100"/>
      <c r="C155" s="96" t="s">
        <v>58</v>
      </c>
      <c r="D155" s="98">
        <v>17.2</v>
      </c>
      <c r="E155" s="99"/>
      <c r="F155" s="101"/>
      <c r="G155" s="101"/>
      <c r="H155" s="101"/>
    </row>
    <row r="156" spans="1:20" ht="18.75">
      <c r="A156" s="2"/>
      <c r="B156" s="100"/>
      <c r="C156" s="96" t="s">
        <v>59</v>
      </c>
      <c r="D156" s="98">
        <v>16.399999999999999</v>
      </c>
      <c r="E156" s="99"/>
      <c r="F156" s="101"/>
      <c r="G156" s="101"/>
      <c r="H156" s="101"/>
    </row>
    <row r="157" spans="1:20" ht="18.75">
      <c r="A157" s="2"/>
      <c r="B157" s="100"/>
      <c r="C157" s="96" t="s">
        <v>60</v>
      </c>
      <c r="D157" s="98">
        <v>15.6</v>
      </c>
      <c r="E157" s="99"/>
      <c r="F157" s="101"/>
      <c r="G157" s="101"/>
      <c r="H157" s="101"/>
      <c r="N157" s="151"/>
    </row>
    <row r="158" spans="1:20" ht="18.75">
      <c r="A158" s="2"/>
      <c r="B158" s="100"/>
      <c r="C158" s="96" t="s">
        <v>61</v>
      </c>
      <c r="D158" s="98">
        <v>14.8</v>
      </c>
      <c r="E158" s="99"/>
      <c r="F158" s="101"/>
      <c r="G158" s="101"/>
      <c r="H158" s="101"/>
      <c r="N158" s="151"/>
    </row>
    <row r="159" spans="1:20" ht="18.75">
      <c r="A159" s="2"/>
      <c r="B159" s="100"/>
      <c r="C159" s="96" t="s">
        <v>127</v>
      </c>
      <c r="D159" s="98"/>
      <c r="E159" s="98">
        <v>15.6</v>
      </c>
      <c r="F159" s="101"/>
      <c r="G159" s="101"/>
      <c r="H159" s="101"/>
      <c r="N159" s="151"/>
    </row>
    <row r="160" spans="1:20">
      <c r="A160" s="2"/>
      <c r="B160" s="100"/>
      <c r="C160" s="101"/>
      <c r="D160" s="101"/>
      <c r="E160" s="101"/>
      <c r="F160" s="101"/>
      <c r="G160" s="101"/>
      <c r="H160" s="101"/>
    </row>
    <row r="161" spans="1:15">
      <c r="A161" s="2"/>
      <c r="B161" s="10"/>
      <c r="C161" s="10"/>
      <c r="D161" s="10"/>
      <c r="E161" s="10"/>
      <c r="F161" s="10"/>
      <c r="G161" s="10"/>
      <c r="H161" s="10"/>
    </row>
    <row r="162" spans="1:15">
      <c r="A162" s="5" t="s">
        <v>28</v>
      </c>
      <c r="B162" s="103" t="s">
        <v>79</v>
      </c>
      <c r="C162" s="9" t="s">
        <v>170</v>
      </c>
      <c r="D162" s="10"/>
      <c r="E162" s="10"/>
      <c r="F162" s="10"/>
      <c r="G162" s="10"/>
      <c r="H162" s="10"/>
    </row>
    <row r="163" spans="1:15">
      <c r="A163" s="5"/>
      <c r="B163" s="103"/>
      <c r="C163" s="104"/>
      <c r="D163" s="10"/>
      <c r="E163" s="10"/>
      <c r="F163" s="10"/>
      <c r="G163" s="10"/>
      <c r="H163" s="10"/>
      <c r="N163" s="173"/>
    </row>
    <row r="164" spans="1:15">
      <c r="A164" s="5"/>
      <c r="B164" s="103"/>
      <c r="C164" s="105" t="s">
        <v>67</v>
      </c>
      <c r="D164" s="106"/>
      <c r="E164" s="106"/>
      <c r="F164" s="106"/>
      <c r="G164" s="107"/>
      <c r="H164" s="10"/>
    </row>
    <row r="165" spans="1:15">
      <c r="A165" s="2"/>
      <c r="B165" s="108"/>
      <c r="C165" s="10"/>
      <c r="D165" s="10"/>
      <c r="E165" s="10"/>
      <c r="F165" s="10"/>
      <c r="G165" s="10"/>
      <c r="H165" s="10"/>
    </row>
    <row r="166" spans="1:15">
      <c r="A166" s="2"/>
      <c r="B166" s="108"/>
      <c r="C166" s="104" t="s">
        <v>70</v>
      </c>
      <c r="D166" s="10"/>
      <c r="E166" s="109">
        <f>E98</f>
        <v>1888770</v>
      </c>
      <c r="F166" s="10"/>
      <c r="G166" s="10"/>
      <c r="H166" s="10"/>
    </row>
    <row r="167" spans="1:15">
      <c r="A167" s="2"/>
      <c r="B167" s="108"/>
      <c r="C167" s="9"/>
      <c r="D167" s="10"/>
      <c r="E167" s="10"/>
      <c r="F167" s="10"/>
      <c r="G167" s="10"/>
      <c r="H167" s="10"/>
    </row>
    <row r="168" spans="1:15">
      <c r="A168" s="2"/>
      <c r="B168" s="108"/>
      <c r="C168" s="104" t="s">
        <v>63</v>
      </c>
      <c r="D168" s="10"/>
      <c r="E168" s="10"/>
      <c r="F168" s="10"/>
      <c r="G168" s="10"/>
      <c r="H168" s="10"/>
      <c r="J168" s="21" t="s">
        <v>22</v>
      </c>
    </row>
    <row r="169" spans="1:15">
      <c r="A169" s="2"/>
      <c r="B169" s="108"/>
      <c r="C169" s="9" t="s">
        <v>18</v>
      </c>
      <c r="D169" s="10"/>
      <c r="E169" s="109">
        <f>SUM(K9:K10)</f>
        <v>348351.23738871957</v>
      </c>
      <c r="F169" s="10"/>
      <c r="G169" s="10"/>
      <c r="H169" s="10"/>
      <c r="J169" s="21" t="s">
        <v>220</v>
      </c>
    </row>
    <row r="170" spans="1:15">
      <c r="A170" s="2"/>
      <c r="B170" s="108"/>
      <c r="C170" s="9" t="s">
        <v>19</v>
      </c>
      <c r="D170" s="10"/>
      <c r="E170" s="109">
        <f>K11</f>
        <v>262606.62995356868</v>
      </c>
      <c r="F170" s="10"/>
      <c r="G170" s="10"/>
      <c r="H170" s="10"/>
      <c r="J170" s="21">
        <v>1</v>
      </c>
      <c r="K170" s="165">
        <f>E47</f>
        <v>0.05</v>
      </c>
      <c r="L170" s="127"/>
    </row>
    <row r="171" spans="1:15">
      <c r="A171" s="2"/>
      <c r="B171" s="108"/>
      <c r="C171" s="9" t="s">
        <v>20</v>
      </c>
      <c r="D171" s="10"/>
      <c r="E171" s="109">
        <f>K12</f>
        <v>673100</v>
      </c>
      <c r="F171" s="10"/>
      <c r="G171" s="10"/>
      <c r="H171" s="10"/>
      <c r="J171" s="21">
        <v>2</v>
      </c>
      <c r="K171" s="165">
        <f>E48</f>
        <v>0.06</v>
      </c>
      <c r="M171" s="165"/>
      <c r="O171" s="165"/>
    </row>
    <row r="172" spans="1:15">
      <c r="A172" s="2"/>
      <c r="B172" s="108"/>
      <c r="C172" s="9" t="s">
        <v>21</v>
      </c>
      <c r="D172" s="10"/>
      <c r="E172" s="110">
        <f>SUM(E169:E171)</f>
        <v>1284057.8673422881</v>
      </c>
      <c r="F172" s="10"/>
      <c r="G172" s="10"/>
      <c r="H172" s="10"/>
      <c r="J172" s="21">
        <v>3</v>
      </c>
      <c r="K172" s="21">
        <f>MAX(0,5%-E49)</f>
        <v>0</v>
      </c>
    </row>
    <row r="173" spans="1:15">
      <c r="A173" s="2"/>
      <c r="B173" s="108"/>
      <c r="C173" s="9" t="s">
        <v>22</v>
      </c>
      <c r="D173" s="10"/>
      <c r="E173" s="109">
        <f>K173*L13</f>
        <v>117973.56424228878</v>
      </c>
      <c r="F173" s="10"/>
      <c r="G173" s="10"/>
      <c r="H173" s="10"/>
      <c r="J173" s="21" t="s">
        <v>22</v>
      </c>
      <c r="K173" s="165">
        <f>SUM(K170:K172)</f>
        <v>0.11</v>
      </c>
      <c r="M173" s="162"/>
      <c r="N173" s="162"/>
      <c r="O173" s="162"/>
    </row>
    <row r="174" spans="1:15">
      <c r="A174" s="2"/>
      <c r="B174" s="108"/>
      <c r="C174" s="104" t="s">
        <v>23</v>
      </c>
      <c r="D174" s="10"/>
      <c r="E174" s="110">
        <f>SUM(E172:E173)</f>
        <v>1402031.4315845768</v>
      </c>
      <c r="F174" s="8"/>
      <c r="G174" s="111"/>
      <c r="H174" s="10"/>
      <c r="M174" s="151"/>
      <c r="N174" s="162"/>
    </row>
    <row r="175" spans="1:15">
      <c r="A175" s="2"/>
      <c r="B175" s="108"/>
      <c r="C175" s="9"/>
      <c r="D175" s="10"/>
      <c r="E175" s="10"/>
      <c r="F175" s="8"/>
      <c r="G175" s="112"/>
      <c r="H175" s="10"/>
      <c r="M175" s="162"/>
      <c r="O175" s="162"/>
    </row>
    <row r="176" spans="1:15">
      <c r="A176" s="2"/>
      <c r="B176" s="108"/>
      <c r="C176" s="104" t="s">
        <v>24</v>
      </c>
      <c r="D176" s="10"/>
      <c r="E176" s="110">
        <f>E166-E174</f>
        <v>486738.56841542316</v>
      </c>
      <c r="F176" s="10"/>
      <c r="G176" s="111"/>
      <c r="H176" s="10"/>
      <c r="M176" s="162"/>
      <c r="N176" s="162"/>
      <c r="O176" s="162"/>
    </row>
    <row r="177" spans="1:15">
      <c r="A177" s="2"/>
      <c r="B177" s="108"/>
      <c r="C177" s="9"/>
      <c r="D177" s="10"/>
      <c r="E177" s="113"/>
      <c r="F177" s="10"/>
      <c r="G177" s="111"/>
      <c r="H177" s="10"/>
      <c r="O177" s="162"/>
    </row>
    <row r="178" spans="1:15">
      <c r="A178" s="2"/>
      <c r="B178" s="108"/>
      <c r="C178" s="10"/>
      <c r="D178" s="10"/>
      <c r="E178" s="10"/>
      <c r="F178" s="10"/>
      <c r="G178" s="10"/>
      <c r="H178" s="10"/>
    </row>
    <row r="179" spans="1:15">
      <c r="A179" s="2"/>
      <c r="B179" s="108"/>
      <c r="C179" s="104" t="s">
        <v>27</v>
      </c>
      <c r="D179" s="10"/>
      <c r="E179" s="109">
        <f>E98-E66</f>
        <v>1788770</v>
      </c>
      <c r="F179" s="10"/>
      <c r="G179" s="10"/>
      <c r="H179" s="10"/>
      <c r="I179" s="127"/>
    </row>
    <row r="180" spans="1:15">
      <c r="A180" s="2"/>
      <c r="B180" s="108"/>
      <c r="C180" s="104" t="s">
        <v>69</v>
      </c>
      <c r="D180" s="10"/>
      <c r="E180" s="10"/>
      <c r="F180" s="10"/>
      <c r="G180" s="10"/>
      <c r="H180" s="10"/>
      <c r="J180" s="166"/>
      <c r="L180" s="166"/>
    </row>
    <row r="181" spans="1:15">
      <c r="A181" s="2"/>
      <c r="B181" s="108"/>
      <c r="C181" s="9" t="s">
        <v>18</v>
      </c>
      <c r="D181" s="10"/>
      <c r="E181" s="109">
        <f>P9+P10</f>
        <v>257920.60000000003</v>
      </c>
      <c r="F181" s="10"/>
      <c r="G181" s="10"/>
      <c r="H181" s="10"/>
      <c r="L181" s="127"/>
    </row>
    <row r="182" spans="1:15">
      <c r="A182" s="2"/>
      <c r="B182" s="108"/>
      <c r="C182" s="9" t="s">
        <v>19</v>
      </c>
      <c r="D182" s="10"/>
      <c r="E182" s="109">
        <f>P11</f>
        <v>249900</v>
      </c>
      <c r="F182" s="10"/>
      <c r="G182" s="10"/>
      <c r="H182" s="10"/>
      <c r="J182" s="162"/>
      <c r="L182" s="162"/>
    </row>
    <row r="183" spans="1:15">
      <c r="A183" s="2"/>
      <c r="B183" s="108"/>
      <c r="C183" s="9" t="s">
        <v>20</v>
      </c>
      <c r="D183" s="10"/>
      <c r="E183" s="109">
        <f>P12</f>
        <v>625400</v>
      </c>
      <c r="F183" s="10"/>
      <c r="G183" s="10"/>
      <c r="H183" s="10"/>
      <c r="J183" s="162"/>
      <c r="L183" s="162"/>
    </row>
    <row r="184" spans="1:15">
      <c r="A184" s="2"/>
      <c r="B184" s="108"/>
      <c r="C184" s="104" t="s">
        <v>23</v>
      </c>
      <c r="D184" s="10"/>
      <c r="E184" s="110">
        <f>SUM(E181:E183)</f>
        <v>1133220.6000000001</v>
      </c>
      <c r="F184" s="10"/>
      <c r="G184" s="10"/>
      <c r="H184" s="10"/>
      <c r="I184" s="127"/>
      <c r="J184" s="162"/>
      <c r="L184" s="162"/>
    </row>
    <row r="185" spans="1:15">
      <c r="A185" s="2"/>
      <c r="B185" s="108"/>
      <c r="C185" s="9"/>
      <c r="D185" s="10"/>
      <c r="E185" s="9"/>
      <c r="F185" s="10"/>
      <c r="G185" s="10"/>
      <c r="H185" s="10"/>
    </row>
    <row r="186" spans="1:15">
      <c r="A186" s="2"/>
      <c r="B186" s="108"/>
      <c r="C186" s="104" t="s">
        <v>25</v>
      </c>
      <c r="D186" s="10"/>
      <c r="E186" s="110">
        <f>E179-E184</f>
        <v>655549.39999999991</v>
      </c>
      <c r="F186" s="10"/>
      <c r="G186" s="10"/>
      <c r="H186" s="10"/>
    </row>
    <row r="187" spans="1:15">
      <c r="A187" s="2"/>
      <c r="B187" s="108"/>
      <c r="C187" s="104" t="s">
        <v>64</v>
      </c>
      <c r="D187" s="10"/>
      <c r="E187" s="114">
        <f>(E179+100000)/E184</f>
        <v>1.6667275550762137</v>
      </c>
      <c r="F187" s="10"/>
      <c r="G187" s="10"/>
      <c r="H187" s="10"/>
    </row>
    <row r="188" spans="1:15">
      <c r="A188" s="2"/>
      <c r="B188" s="108"/>
      <c r="C188" s="9"/>
      <c r="D188" s="10"/>
      <c r="E188" s="115"/>
      <c r="F188" s="10"/>
      <c r="G188" s="10"/>
      <c r="H188" s="10"/>
      <c r="L188" s="167"/>
    </row>
    <row r="189" spans="1:15">
      <c r="A189" s="2"/>
      <c r="B189" s="108"/>
      <c r="C189" s="104" t="s">
        <v>71</v>
      </c>
      <c r="D189" s="10"/>
      <c r="E189" s="109">
        <f>E179</f>
        <v>1788770</v>
      </c>
      <c r="F189" s="111"/>
      <c r="G189" s="10"/>
      <c r="H189" s="10"/>
    </row>
    <row r="190" spans="1:15">
      <c r="A190" s="2"/>
      <c r="B190" s="108"/>
      <c r="C190" s="104" t="s">
        <v>72</v>
      </c>
      <c r="D190" s="10"/>
      <c r="E190" s="10"/>
      <c r="F190" s="10"/>
      <c r="G190" s="10"/>
      <c r="H190" s="10"/>
      <c r="J190" s="162"/>
      <c r="L190" s="162"/>
    </row>
    <row r="191" spans="1:15">
      <c r="A191" s="2"/>
      <c r="B191" s="108"/>
      <c r="C191" s="9" t="s">
        <v>18</v>
      </c>
      <c r="D191" s="10"/>
      <c r="E191" s="109">
        <f>O9+O10</f>
        <v>378798</v>
      </c>
      <c r="F191" s="10"/>
      <c r="G191" s="10"/>
      <c r="H191" s="10"/>
      <c r="J191" s="162"/>
      <c r="L191" s="162"/>
    </row>
    <row r="192" spans="1:15">
      <c r="A192" s="2"/>
      <c r="B192" s="108"/>
      <c r="C192" s="9" t="s">
        <v>19</v>
      </c>
      <c r="D192" s="10"/>
      <c r="E192" s="109">
        <f>O11</f>
        <v>323400</v>
      </c>
      <c r="F192" s="10"/>
      <c r="G192" s="10"/>
      <c r="H192" s="10"/>
    </row>
    <row r="193" spans="1:12">
      <c r="A193" s="2"/>
      <c r="B193" s="108"/>
      <c r="C193" s="9" t="s">
        <v>20</v>
      </c>
      <c r="D193" s="10"/>
      <c r="E193" s="109">
        <f>O12</f>
        <v>826800</v>
      </c>
      <c r="F193" s="10"/>
      <c r="G193" s="10"/>
      <c r="H193" s="10"/>
      <c r="J193" s="151"/>
    </row>
    <row r="194" spans="1:12">
      <c r="A194" s="2"/>
      <c r="B194" s="108"/>
      <c r="C194" s="104" t="s">
        <v>23</v>
      </c>
      <c r="D194" s="10"/>
      <c r="E194" s="110">
        <f>SUM(E191:E193)</f>
        <v>1528998</v>
      </c>
      <c r="F194" s="111"/>
      <c r="G194" s="116"/>
      <c r="H194" s="10"/>
      <c r="I194" s="150"/>
      <c r="J194" s="162"/>
      <c r="L194" s="162"/>
    </row>
    <row r="195" spans="1:12">
      <c r="A195" s="2"/>
      <c r="B195" s="108"/>
      <c r="C195" s="9"/>
      <c r="D195" s="10"/>
      <c r="E195" s="9"/>
      <c r="F195" s="10"/>
      <c r="G195" s="10"/>
      <c r="H195" s="10"/>
    </row>
    <row r="196" spans="1:12">
      <c r="A196" s="2"/>
      <c r="B196" s="108"/>
      <c r="C196" s="104" t="s">
        <v>26</v>
      </c>
      <c r="D196" s="10"/>
      <c r="E196" s="110">
        <f>E189-E194</f>
        <v>259772</v>
      </c>
      <c r="F196" s="10"/>
      <c r="G196" s="116"/>
      <c r="H196" s="10"/>
      <c r="L196" s="162"/>
    </row>
    <row r="197" spans="1:12">
      <c r="A197" s="2"/>
      <c r="B197" s="108"/>
      <c r="C197" s="9" t="s">
        <v>65</v>
      </c>
      <c r="D197" s="10"/>
      <c r="E197" s="114">
        <f>(E189+100000)/E194</f>
        <v>1.2352991959440105</v>
      </c>
      <c r="F197" s="10"/>
      <c r="G197" s="111"/>
      <c r="H197" s="10"/>
    </row>
    <row r="198" spans="1:12">
      <c r="A198" s="2"/>
      <c r="B198" s="108"/>
      <c r="C198" s="10"/>
      <c r="D198" s="10"/>
      <c r="E198" s="10"/>
      <c r="F198" s="10"/>
      <c r="G198" s="8"/>
      <c r="H198" s="10"/>
    </row>
    <row r="199" spans="1:12">
      <c r="A199" s="5" t="s">
        <v>30</v>
      </c>
      <c r="B199" s="103" t="s">
        <v>80</v>
      </c>
      <c r="C199" s="9" t="s">
        <v>180</v>
      </c>
      <c r="D199" s="10"/>
      <c r="E199" s="10"/>
      <c r="F199" s="10"/>
      <c r="G199" s="8"/>
      <c r="H199" s="10"/>
      <c r="J199" s="151"/>
    </row>
    <row r="200" spans="1:12">
      <c r="A200" s="4"/>
      <c r="B200" s="103"/>
      <c r="C200" s="104"/>
      <c r="D200" s="10"/>
      <c r="E200" s="10"/>
      <c r="F200" s="10"/>
      <c r="G200" s="10"/>
      <c r="H200" s="10"/>
      <c r="J200" s="162"/>
    </row>
    <row r="201" spans="1:12">
      <c r="A201" s="4"/>
      <c r="B201" s="103"/>
      <c r="C201" s="105" t="s">
        <v>67</v>
      </c>
      <c r="D201" s="106"/>
      <c r="E201" s="106"/>
      <c r="F201" s="106"/>
      <c r="G201" s="107"/>
      <c r="H201" s="10"/>
      <c r="J201" s="162"/>
    </row>
    <row r="202" spans="1:12">
      <c r="A202" s="4"/>
      <c r="B202" s="103"/>
      <c r="C202" s="104"/>
      <c r="D202" s="10"/>
      <c r="E202" s="10"/>
      <c r="F202" s="10"/>
      <c r="G202" s="10"/>
      <c r="H202" s="10"/>
    </row>
    <row r="203" spans="1:12">
      <c r="A203" s="2"/>
      <c r="B203" s="108"/>
      <c r="C203" s="10"/>
      <c r="D203" s="10"/>
      <c r="E203" s="10"/>
      <c r="F203" s="10"/>
      <c r="G203" s="10"/>
      <c r="H203" s="10"/>
      <c r="J203" s="21" t="s">
        <v>283</v>
      </c>
    </row>
    <row r="204" spans="1:12">
      <c r="A204" s="2"/>
      <c r="B204" s="108"/>
      <c r="C204" s="104"/>
      <c r="D204" s="10"/>
      <c r="E204" s="10"/>
      <c r="F204" s="10"/>
      <c r="G204" s="10"/>
      <c r="H204" s="10"/>
    </row>
    <row r="205" spans="1:12">
      <c r="A205" s="2"/>
      <c r="B205" s="108"/>
      <c r="C205" s="104" t="s">
        <v>34</v>
      </c>
      <c r="D205" s="10"/>
      <c r="E205" s="10"/>
      <c r="F205" s="146">
        <f>K207</f>
        <v>283322.09999999986</v>
      </c>
      <c r="G205" s="10"/>
      <c r="H205" s="10"/>
      <c r="J205" s="180" t="s">
        <v>224</v>
      </c>
      <c r="K205" s="178">
        <f>E176</f>
        <v>486738.56841542316</v>
      </c>
      <c r="L205" s="178">
        <f>E242</f>
        <v>241065.82914361614</v>
      </c>
    </row>
    <row r="206" spans="1:12" ht="26.25">
      <c r="A206" s="2"/>
      <c r="B206" s="108"/>
      <c r="C206" s="9"/>
      <c r="D206" s="10"/>
      <c r="E206" s="10"/>
      <c r="F206" s="10"/>
      <c r="G206" s="10"/>
      <c r="H206" s="10"/>
      <c r="J206" s="180" t="s">
        <v>273</v>
      </c>
      <c r="K206" s="178">
        <f>E166-1.05*E194</f>
        <v>283322.09999999986</v>
      </c>
      <c r="L206" s="178">
        <f>E238-1.05*E247</f>
        <v>20243.359909817344</v>
      </c>
    </row>
    <row r="207" spans="1:12" ht="39">
      <c r="A207" s="2"/>
      <c r="B207" s="108"/>
      <c r="C207" s="104" t="s">
        <v>29</v>
      </c>
      <c r="D207" s="10"/>
      <c r="E207" s="10"/>
      <c r="F207" s="109">
        <f>K219</f>
        <v>0</v>
      </c>
      <c r="G207" s="10"/>
      <c r="H207" s="10"/>
      <c r="J207" s="180" t="s">
        <v>223</v>
      </c>
      <c r="K207" s="183">
        <f>MIN(K205:K206)</f>
        <v>283322.09999999986</v>
      </c>
      <c r="L207" s="183">
        <f>MIN(L205:L206)</f>
        <v>20243.359909817344</v>
      </c>
    </row>
    <row r="208" spans="1:12">
      <c r="A208" s="2"/>
      <c r="B208" s="108"/>
      <c r="C208" s="9"/>
      <c r="D208" s="10"/>
      <c r="E208" s="10"/>
      <c r="F208" s="8"/>
      <c r="G208" s="8"/>
      <c r="H208" s="10"/>
      <c r="J208" s="217" t="s">
        <v>274</v>
      </c>
      <c r="K208" s="227">
        <v>2024</v>
      </c>
      <c r="L208" s="227">
        <v>2025</v>
      </c>
    </row>
    <row r="209" spans="1:14">
      <c r="A209" s="2"/>
      <c r="B209" s="108"/>
      <c r="C209" s="104" t="s">
        <v>66</v>
      </c>
      <c r="D209" s="117"/>
      <c r="E209" s="10"/>
      <c r="F209" s="109">
        <f>K223</f>
        <v>0</v>
      </c>
      <c r="G209" s="10"/>
      <c r="H209" s="10"/>
      <c r="J209" s="180" t="s">
        <v>276</v>
      </c>
      <c r="K209" s="178">
        <f>M13</f>
        <v>38176.306652276813</v>
      </c>
      <c r="L209" s="178">
        <f>K209*(1+5%)</f>
        <v>40085.121984890655</v>
      </c>
    </row>
    <row r="210" spans="1:14">
      <c r="A210" s="2"/>
      <c r="B210" s="108"/>
      <c r="C210" s="104"/>
      <c r="D210" s="117"/>
      <c r="E210" s="10"/>
      <c r="F210" s="113"/>
      <c r="G210" s="10"/>
      <c r="H210" s="10"/>
      <c r="J210" s="180" t="s">
        <v>277</v>
      </c>
      <c r="K210" s="178">
        <f>11%*N13</f>
        <v>3431.9482930356926</v>
      </c>
      <c r="L210" s="178">
        <f>K210*(1+5%)</f>
        <v>3603.5457076874773</v>
      </c>
    </row>
    <row r="211" spans="1:14">
      <c r="A211" s="6"/>
      <c r="B211" s="20"/>
      <c r="C211" s="8"/>
      <c r="D211" s="8"/>
      <c r="E211" s="8"/>
      <c r="F211" s="8"/>
      <c r="G211" s="8"/>
      <c r="H211" s="10"/>
      <c r="J211" s="180" t="s">
        <v>242</v>
      </c>
      <c r="K211" s="178">
        <v>50000</v>
      </c>
      <c r="L211" s="178">
        <v>50000</v>
      </c>
    </row>
    <row r="212" spans="1:14">
      <c r="A212" s="5" t="s">
        <v>31</v>
      </c>
      <c r="B212" s="103" t="s">
        <v>81</v>
      </c>
      <c r="C212" s="9" t="s">
        <v>76</v>
      </c>
      <c r="D212" s="8"/>
      <c r="E212" s="8"/>
      <c r="F212" s="8"/>
      <c r="G212" s="8"/>
      <c r="H212" s="10"/>
      <c r="J212" s="180" t="s">
        <v>241</v>
      </c>
      <c r="K212" s="178">
        <f>K211*11%</f>
        <v>5500</v>
      </c>
      <c r="L212" s="178">
        <f>L211*11%</f>
        <v>5500</v>
      </c>
    </row>
    <row r="213" spans="1:14">
      <c r="A213" s="6"/>
      <c r="B213" s="20"/>
      <c r="C213" s="8"/>
      <c r="D213" s="8"/>
      <c r="E213" s="8"/>
      <c r="F213" s="8"/>
      <c r="G213" s="8"/>
      <c r="H213" s="10"/>
      <c r="J213" s="180" t="s">
        <v>240</v>
      </c>
      <c r="K213" s="183">
        <f>SUM(K209:K212)</f>
        <v>97108.25494531251</v>
      </c>
      <c r="L213" s="183">
        <f>SUM(L209:L212)</f>
        <v>99188.667692578136</v>
      </c>
    </row>
    <row r="214" spans="1:14">
      <c r="A214" s="6"/>
      <c r="B214" s="20"/>
      <c r="C214" s="414" t="s">
        <v>222</v>
      </c>
      <c r="D214" s="414"/>
      <c r="E214" s="414"/>
      <c r="F214" s="414"/>
      <c r="G214" s="415"/>
      <c r="H214" s="10"/>
      <c r="J214" s="180" t="s">
        <v>239</v>
      </c>
      <c r="K214" s="179">
        <f>SUM(Q9:Q10)*6.5%</f>
        <v>11895</v>
      </c>
      <c r="L214" s="179">
        <f>SUM(R9:R10)*6.5%</f>
        <v>12311.325000000001</v>
      </c>
      <c r="N214" s="173"/>
    </row>
    <row r="215" spans="1:14">
      <c r="A215" s="6"/>
      <c r="B215" s="20"/>
      <c r="C215" s="416"/>
      <c r="D215" s="416"/>
      <c r="E215" s="416"/>
      <c r="F215" s="416"/>
      <c r="G215" s="417"/>
      <c r="H215" s="10"/>
      <c r="J215" s="180" t="s">
        <v>238</v>
      </c>
      <c r="K215" s="179">
        <f>K213-K214</f>
        <v>85213.25494531251</v>
      </c>
      <c r="L215" s="179">
        <f>L213-L214</f>
        <v>86877.342692578139</v>
      </c>
    </row>
    <row r="216" spans="1:14">
      <c r="A216" s="6"/>
      <c r="B216" s="20"/>
      <c r="C216" s="416"/>
      <c r="D216" s="416"/>
      <c r="E216" s="416"/>
      <c r="F216" s="416"/>
      <c r="G216" s="417"/>
      <c r="H216" s="10"/>
      <c r="J216" s="217" t="s">
        <v>275</v>
      </c>
      <c r="K216" s="170">
        <f>MIN(K213,K207)</f>
        <v>97108.25494531251</v>
      </c>
      <c r="L216" s="170">
        <f>MIN(L213,L207)</f>
        <v>20243.359909817344</v>
      </c>
    </row>
    <row r="217" spans="1:14" ht="26.25">
      <c r="A217" s="6"/>
      <c r="B217" s="20"/>
      <c r="C217" s="416"/>
      <c r="D217" s="416"/>
      <c r="E217" s="416"/>
      <c r="F217" s="416"/>
      <c r="G217" s="417"/>
      <c r="H217" s="10"/>
      <c r="J217" s="217" t="s">
        <v>278</v>
      </c>
      <c r="K217" s="170">
        <f>K207-K216</f>
        <v>186213.84505468735</v>
      </c>
      <c r="L217" s="162">
        <f>MIN(L216,K217)</f>
        <v>20243.359909817344</v>
      </c>
    </row>
    <row r="218" spans="1:14" ht="16.5" thickBot="1">
      <c r="A218" s="6"/>
      <c r="B218" s="20"/>
      <c r="C218" s="418"/>
      <c r="D218" s="418"/>
      <c r="E218" s="418"/>
      <c r="F218" s="418"/>
      <c r="G218" s="419"/>
      <c r="H218" s="10"/>
    </row>
    <row r="219" spans="1:14" ht="27" thickBot="1">
      <c r="A219" s="6"/>
      <c r="B219" s="108"/>
      <c r="C219" s="10"/>
      <c r="D219" s="10"/>
      <c r="E219" s="10"/>
      <c r="F219" s="10"/>
      <c r="G219" s="10"/>
      <c r="H219" s="10"/>
      <c r="J219" s="217" t="s">
        <v>29</v>
      </c>
      <c r="K219" s="218">
        <f>K213-K216</f>
        <v>0</v>
      </c>
      <c r="L219" s="218">
        <f>L215-L216</f>
        <v>66633.982782760795</v>
      </c>
    </row>
    <row r="220" spans="1:14">
      <c r="A220" s="6"/>
      <c r="B220" s="20"/>
      <c r="C220" s="15" t="s">
        <v>171</v>
      </c>
      <c r="D220" s="15"/>
      <c r="E220" s="15"/>
      <c r="F220" s="15"/>
      <c r="G220" s="8"/>
      <c r="H220" s="10"/>
      <c r="K220" s="173"/>
    </row>
    <row r="221" spans="1:14" ht="26.25">
      <c r="A221" s="6"/>
      <c r="B221" s="20"/>
      <c r="C221" s="8"/>
      <c r="D221" s="8"/>
      <c r="E221" s="8"/>
      <c r="F221" s="8"/>
      <c r="G221" s="8"/>
      <c r="H221" s="10"/>
      <c r="J221" s="180" t="s">
        <v>279</v>
      </c>
      <c r="K221" s="219">
        <f>E166/E174</f>
        <v>1.3471666593560681</v>
      </c>
      <c r="L221" s="219">
        <f>E238/E240</f>
        <v>1.1652342058738074</v>
      </c>
    </row>
    <row r="222" spans="1:14" ht="26.25">
      <c r="A222" s="6"/>
      <c r="B222" s="20"/>
      <c r="C222" s="104" t="s">
        <v>172</v>
      </c>
      <c r="D222" s="8"/>
      <c r="E222" s="113"/>
      <c r="F222" s="8"/>
      <c r="G222" s="8"/>
      <c r="H222" s="10"/>
      <c r="J222" s="180" t="s">
        <v>280</v>
      </c>
      <c r="K222" s="220" t="str">
        <f>IF(K221&gt;1.25, "Y", "N")</f>
        <v>Y</v>
      </c>
      <c r="L222" s="220" t="str">
        <f>IF(L221&gt;1.25, "Y", "N")</f>
        <v>N</v>
      </c>
    </row>
    <row r="223" spans="1:14" ht="26.25">
      <c r="A223" s="6"/>
      <c r="B223" s="20"/>
      <c r="C223" s="104"/>
      <c r="D223" s="8"/>
      <c r="E223" s="113"/>
      <c r="F223" s="8"/>
      <c r="G223" s="8"/>
      <c r="H223" s="10"/>
      <c r="J223" s="217" t="s">
        <v>281</v>
      </c>
      <c r="K223" s="221">
        <f>IF(K222="Y",0,K215)</f>
        <v>0</v>
      </c>
      <c r="L223" s="221">
        <f>IF(L222="Y",0,L215)</f>
        <v>86877.342692578139</v>
      </c>
    </row>
    <row r="224" spans="1:14">
      <c r="A224" s="6"/>
      <c r="B224" s="20"/>
      <c r="C224" s="118" t="s">
        <v>173</v>
      </c>
      <c r="D224" s="119"/>
      <c r="E224" s="120">
        <v>1700000</v>
      </c>
      <c r="F224" s="8"/>
      <c r="G224" s="8"/>
      <c r="H224" s="10"/>
    </row>
    <row r="225" spans="1:16">
      <c r="A225" s="6"/>
      <c r="B225" s="20"/>
      <c r="C225" s="52" t="s">
        <v>174</v>
      </c>
      <c r="D225" s="121"/>
      <c r="E225" s="122">
        <v>50000</v>
      </c>
      <c r="F225" s="8"/>
      <c r="G225" s="8"/>
      <c r="H225" s="10"/>
    </row>
    <row r="226" spans="1:16">
      <c r="A226" s="6"/>
      <c r="B226" s="20"/>
      <c r="C226" s="8"/>
      <c r="D226" s="8"/>
      <c r="E226" s="113"/>
      <c r="F226" s="8"/>
      <c r="G226" s="8"/>
      <c r="H226" s="10"/>
    </row>
    <row r="227" spans="1:16">
      <c r="A227" s="6"/>
      <c r="B227" s="20"/>
      <c r="C227" s="104" t="s">
        <v>92</v>
      </c>
      <c r="D227" s="8"/>
      <c r="E227" s="113"/>
      <c r="F227" s="8"/>
      <c r="G227" s="8"/>
      <c r="H227" s="10"/>
    </row>
    <row r="228" spans="1:16">
      <c r="A228" s="6"/>
      <c r="B228" s="20"/>
      <c r="C228" s="8"/>
      <c r="D228" s="8"/>
      <c r="E228" s="8"/>
      <c r="F228" s="8"/>
      <c r="G228" s="8"/>
      <c r="H228" s="10"/>
    </row>
    <row r="229" spans="1:16">
      <c r="A229" s="6"/>
      <c r="B229" s="20"/>
      <c r="C229" s="118" t="s">
        <v>175</v>
      </c>
      <c r="D229" s="119"/>
      <c r="E229" s="412">
        <v>50000</v>
      </c>
      <c r="F229" s="413"/>
      <c r="G229" s="8"/>
      <c r="H229" s="10"/>
    </row>
    <row r="230" spans="1:16">
      <c r="A230" s="6"/>
      <c r="B230" s="20"/>
      <c r="C230" s="118" t="s">
        <v>93</v>
      </c>
      <c r="D230" s="119"/>
      <c r="E230" s="412" t="s">
        <v>176</v>
      </c>
      <c r="F230" s="413"/>
      <c r="G230" s="8"/>
      <c r="H230" s="10"/>
    </row>
    <row r="231" spans="1:16">
      <c r="A231" s="6"/>
      <c r="B231" s="20"/>
      <c r="C231" s="9"/>
      <c r="D231" s="8"/>
      <c r="E231" s="123"/>
      <c r="F231" s="123"/>
      <c r="G231" s="8"/>
      <c r="H231" s="10"/>
    </row>
    <row r="232" spans="1:16">
      <c r="A232" s="5" t="s">
        <v>68</v>
      </c>
      <c r="B232" s="103" t="s">
        <v>80</v>
      </c>
      <c r="C232" s="9" t="s">
        <v>177</v>
      </c>
      <c r="D232" s="8"/>
      <c r="E232" s="123"/>
      <c r="F232" s="123"/>
      <c r="G232" s="8"/>
      <c r="H232" s="10"/>
    </row>
    <row r="233" spans="1:16">
      <c r="A233" s="5"/>
      <c r="B233" s="103"/>
      <c r="C233" s="9"/>
      <c r="D233" s="8"/>
      <c r="E233" s="123"/>
      <c r="F233" s="123"/>
      <c r="G233" s="8"/>
      <c r="H233" s="10"/>
    </row>
    <row r="234" spans="1:16">
      <c r="A234" s="6"/>
      <c r="B234" s="20"/>
      <c r="C234" s="105" t="s">
        <v>67</v>
      </c>
      <c r="D234" s="106"/>
      <c r="E234" s="106"/>
      <c r="F234" s="106"/>
      <c r="G234" s="107"/>
      <c r="H234" s="10"/>
    </row>
    <row r="235" spans="1:16">
      <c r="A235" s="6"/>
      <c r="B235" s="20"/>
      <c r="C235" s="9"/>
      <c r="D235" s="8"/>
      <c r="E235" s="123"/>
      <c r="F235" s="123"/>
      <c r="G235" s="8"/>
      <c r="H235" s="10"/>
    </row>
    <row r="236" spans="1:16">
      <c r="A236" s="6"/>
      <c r="B236" s="20"/>
      <c r="C236" s="9" t="s">
        <v>85</v>
      </c>
      <c r="D236" s="10"/>
      <c r="E236" s="109">
        <f>SUM(K209:K210)</f>
        <v>41608.254945312503</v>
      </c>
      <c r="F236" s="123"/>
      <c r="G236" s="8"/>
      <c r="H236" s="10"/>
    </row>
    <row r="237" spans="1:16">
      <c r="A237" s="6"/>
      <c r="B237" s="20"/>
      <c r="C237" s="9"/>
      <c r="D237" s="8"/>
      <c r="E237" s="123"/>
      <c r="F237" s="123"/>
      <c r="G237" s="8"/>
      <c r="H237" s="10"/>
    </row>
    <row r="238" spans="1:16">
      <c r="A238" s="6"/>
      <c r="B238" s="20"/>
      <c r="C238" s="104" t="s">
        <v>70</v>
      </c>
      <c r="D238" s="8"/>
      <c r="E238" s="110">
        <f>E224</f>
        <v>1700000</v>
      </c>
      <c r="F238" s="123"/>
      <c r="G238" s="8"/>
      <c r="H238" s="10"/>
      <c r="J238" s="21" t="s">
        <v>221</v>
      </c>
      <c r="K238" s="173"/>
    </row>
    <row r="239" spans="1:16">
      <c r="A239" s="6"/>
      <c r="B239" s="20"/>
      <c r="C239" s="104"/>
      <c r="D239" s="8"/>
      <c r="E239" s="110"/>
      <c r="F239" s="123"/>
      <c r="G239" s="8"/>
      <c r="H239" s="10"/>
      <c r="J239" s="191" t="s">
        <v>173</v>
      </c>
      <c r="K239" s="190"/>
      <c r="L239" s="189">
        <v>1700000</v>
      </c>
      <c r="M239" s="178"/>
      <c r="N239" s="178"/>
      <c r="O239" s="178"/>
      <c r="P239" s="178"/>
    </row>
    <row r="240" spans="1:16">
      <c r="A240" s="6"/>
      <c r="B240" s="20"/>
      <c r="C240" s="104" t="s">
        <v>86</v>
      </c>
      <c r="D240" s="8"/>
      <c r="E240" s="109">
        <f>K248</f>
        <v>1458934.1708563839</v>
      </c>
      <c r="F240" s="123"/>
      <c r="G240" s="8"/>
      <c r="H240" s="10"/>
      <c r="J240" s="188" t="s">
        <v>174</v>
      </c>
      <c r="K240" s="187"/>
      <c r="L240" s="186">
        <v>50000</v>
      </c>
      <c r="M240" s="178"/>
      <c r="N240" s="178"/>
      <c r="O240" s="178"/>
      <c r="P240" s="178"/>
    </row>
    <row r="241" spans="1:16">
      <c r="A241" s="6"/>
      <c r="B241" s="20"/>
      <c r="C241" s="123"/>
      <c r="D241" s="123"/>
      <c r="E241" s="123"/>
      <c r="F241" s="123"/>
      <c r="G241" s="8"/>
      <c r="H241" s="10"/>
      <c r="J241" s="188" t="s">
        <v>237</v>
      </c>
      <c r="K241" s="187"/>
      <c r="L241" s="186">
        <v>50000</v>
      </c>
      <c r="M241" s="178"/>
      <c r="N241" s="178"/>
      <c r="O241" s="178"/>
      <c r="P241" s="178"/>
    </row>
    <row r="242" spans="1:16">
      <c r="A242" s="6"/>
      <c r="B242" s="20"/>
      <c r="C242" s="104" t="s">
        <v>88</v>
      </c>
      <c r="D242" s="8"/>
      <c r="E242" s="110">
        <f>E238-E240</f>
        <v>241065.82914361614</v>
      </c>
      <c r="F242" s="123"/>
      <c r="G242" s="8"/>
      <c r="H242" s="10"/>
      <c r="J242" s="184" t="s">
        <v>236</v>
      </c>
      <c r="K242" s="178"/>
      <c r="L242" s="182">
        <v>0.05</v>
      </c>
      <c r="M242" s="178"/>
      <c r="N242" s="178"/>
      <c r="O242" s="178"/>
      <c r="P242" s="178"/>
    </row>
    <row r="243" spans="1:16">
      <c r="A243" s="6"/>
      <c r="B243" s="20"/>
      <c r="C243" s="104"/>
      <c r="D243" s="8"/>
      <c r="E243" s="123"/>
      <c r="F243" s="123"/>
      <c r="G243" s="8"/>
      <c r="H243" s="10"/>
      <c r="J243" s="184" t="s">
        <v>235</v>
      </c>
      <c r="K243" s="178"/>
      <c r="L243" s="228">
        <f>((E191+E192)*0.045+E193*0.046)/E194</f>
        <v>4.5540746292670103E-2</v>
      </c>
      <c r="M243" s="178" t="s">
        <v>282</v>
      </c>
      <c r="N243" s="178"/>
      <c r="O243" s="178"/>
      <c r="P243" s="178"/>
    </row>
    <row r="244" spans="1:16">
      <c r="A244" s="6"/>
      <c r="B244" s="20"/>
      <c r="C244" s="104"/>
      <c r="D244" s="8"/>
      <c r="E244" s="123"/>
      <c r="F244" s="123"/>
      <c r="G244" s="8"/>
      <c r="H244" s="10"/>
      <c r="J244" s="184" t="s">
        <v>234</v>
      </c>
      <c r="K244" s="462" t="s">
        <v>233</v>
      </c>
      <c r="L244" s="462"/>
      <c r="M244" s="462" t="s">
        <v>185</v>
      </c>
      <c r="N244" s="462"/>
      <c r="O244" s="462" t="s">
        <v>232</v>
      </c>
      <c r="P244" s="462"/>
    </row>
    <row r="245" spans="1:16">
      <c r="A245" s="6"/>
      <c r="B245" s="20"/>
      <c r="C245" s="104" t="s">
        <v>71</v>
      </c>
      <c r="D245" s="10"/>
      <c r="E245" s="109">
        <f>E238-100000</f>
        <v>1600000</v>
      </c>
      <c r="F245" s="124"/>
      <c r="G245" s="8"/>
      <c r="H245" s="10"/>
      <c r="J245"/>
      <c r="K245" s="178" t="s">
        <v>231</v>
      </c>
      <c r="L245" s="178" t="s">
        <v>230</v>
      </c>
      <c r="M245" s="178" t="s">
        <v>231</v>
      </c>
      <c r="N245" s="178" t="s">
        <v>230</v>
      </c>
      <c r="O245" s="178" t="s">
        <v>229</v>
      </c>
      <c r="P245" s="178" t="s">
        <v>228</v>
      </c>
    </row>
    <row r="246" spans="1:16" ht="38.25">
      <c r="A246" s="6"/>
      <c r="B246" s="20"/>
      <c r="C246" s="104"/>
      <c r="D246" s="8"/>
      <c r="E246" s="123"/>
      <c r="F246" s="123"/>
      <c r="G246" s="8"/>
      <c r="H246" s="10"/>
      <c r="J246" s="185" t="s">
        <v>227</v>
      </c>
      <c r="K246" s="178">
        <f>(K13+M13)*(1+L242)-L240*(1+L242/2)</f>
        <v>1337095.8826942933</v>
      </c>
      <c r="L246" s="178">
        <f>(L13+N13)*(1+L242)-L240*(1+L242/2)</f>
        <v>1107620.8014735517</v>
      </c>
      <c r="M246" s="178"/>
      <c r="N246" s="178"/>
      <c r="O246" s="183">
        <f>(O13+L241)*(1+L243)-L240*(1+L243/2)</f>
        <v>1599768.2286573166</v>
      </c>
      <c r="P246" s="178"/>
    </row>
    <row r="247" spans="1:16">
      <c r="A247" s="6"/>
      <c r="B247" s="20"/>
      <c r="C247" s="104" t="s">
        <v>87</v>
      </c>
      <c r="D247" s="8"/>
      <c r="E247" s="109">
        <f>O246</f>
        <v>1599768.2286573166</v>
      </c>
      <c r="F247" s="123"/>
      <c r="G247" s="8"/>
      <c r="H247" s="10"/>
      <c r="J247" s="184" t="s">
        <v>22</v>
      </c>
      <c r="K247" s="178"/>
      <c r="L247" s="178">
        <f>L246*11%</f>
        <v>121838.28816209068</v>
      </c>
      <c r="M247" s="178"/>
      <c r="N247" s="178"/>
      <c r="O247" s="178"/>
      <c r="P247" s="178"/>
    </row>
    <row r="248" spans="1:16">
      <c r="A248" s="6"/>
      <c r="B248" s="20"/>
      <c r="C248" s="104"/>
      <c r="D248" s="8"/>
      <c r="E248" s="123"/>
      <c r="F248" s="123"/>
      <c r="G248" s="8"/>
      <c r="H248" s="10"/>
      <c r="J248" s="184" t="s">
        <v>226</v>
      </c>
      <c r="K248" s="183">
        <f>K246+L247</f>
        <v>1458934.1708563839</v>
      </c>
      <c r="L248" s="178"/>
      <c r="M248" s="178"/>
      <c r="N248" s="178"/>
      <c r="O248" s="178"/>
      <c r="P248" s="178"/>
    </row>
    <row r="249" spans="1:16">
      <c r="A249" s="6"/>
      <c r="B249" s="20"/>
      <c r="C249" s="104" t="s">
        <v>89</v>
      </c>
      <c r="D249" s="8"/>
      <c r="E249" s="110">
        <f>E245-E247</f>
        <v>231.77134268335067</v>
      </c>
      <c r="F249" s="123"/>
      <c r="G249" s="8"/>
      <c r="H249" s="10"/>
      <c r="J249" s="184" t="s">
        <v>116</v>
      </c>
      <c r="K249" s="178">
        <f>L239</f>
        <v>1700000</v>
      </c>
      <c r="L249" s="178"/>
      <c r="M249" s="178"/>
      <c r="N249" s="178"/>
      <c r="O249" s="178"/>
      <c r="P249" s="178"/>
    </row>
    <row r="250" spans="1:16">
      <c r="A250" s="6"/>
      <c r="B250" s="20"/>
      <c r="C250" s="104" t="s">
        <v>91</v>
      </c>
      <c r="D250" s="8"/>
      <c r="E250" s="125">
        <f>E238/E247</f>
        <v>1.0626539329555305</v>
      </c>
      <c r="F250" s="123"/>
      <c r="G250" s="8"/>
      <c r="H250" s="10"/>
      <c r="J250" t="s">
        <v>225</v>
      </c>
      <c r="K250" s="183">
        <f>K249-K248</f>
        <v>241065.82914361614</v>
      </c>
      <c r="L250" s="178"/>
      <c r="M250" s="178"/>
      <c r="N250" s="178"/>
      <c r="O250" s="178"/>
      <c r="P250" s="178"/>
    </row>
    <row r="251" spans="1:16">
      <c r="A251" s="6"/>
      <c r="B251" s="20"/>
      <c r="C251" s="9"/>
      <c r="D251" s="8"/>
      <c r="E251" s="123"/>
      <c r="F251" s="123"/>
      <c r="G251" s="8"/>
      <c r="H251" s="10"/>
      <c r="J251"/>
      <c r="K251" s="182">
        <f>K249/K248</f>
        <v>1.1652342058738074</v>
      </c>
      <c r="L251" s="178"/>
      <c r="M251" s="178"/>
      <c r="N251" s="178"/>
      <c r="O251" s="181">
        <f>K249/O246</f>
        <v>1.0626539329555305</v>
      </c>
      <c r="P251" s="178"/>
    </row>
    <row r="252" spans="1:16">
      <c r="A252" s="16" t="s">
        <v>90</v>
      </c>
      <c r="B252" s="108" t="s">
        <v>81</v>
      </c>
      <c r="C252" s="9" t="s">
        <v>178</v>
      </c>
      <c r="D252" s="8"/>
      <c r="E252" s="8"/>
      <c r="F252" s="8"/>
      <c r="G252" s="8"/>
      <c r="H252" s="8"/>
    </row>
    <row r="253" spans="1:16">
      <c r="A253" s="16"/>
      <c r="B253" s="20"/>
      <c r="C253" s="104"/>
      <c r="D253" s="8"/>
      <c r="E253" s="8"/>
      <c r="F253" s="8"/>
      <c r="G253" s="8"/>
      <c r="H253" s="10"/>
    </row>
    <row r="254" spans="1:16">
      <c r="A254" s="6"/>
      <c r="B254" s="20"/>
      <c r="C254" s="105" t="s">
        <v>67</v>
      </c>
      <c r="D254" s="106"/>
      <c r="E254" s="106"/>
      <c r="F254" s="106"/>
      <c r="G254" s="107"/>
      <c r="H254" s="10"/>
    </row>
    <row r="255" spans="1:16">
      <c r="A255" s="6"/>
      <c r="B255" s="20"/>
      <c r="C255" s="126"/>
      <c r="D255" s="94"/>
      <c r="E255" s="94"/>
      <c r="F255" s="106"/>
      <c r="G255" s="94"/>
      <c r="H255" s="10"/>
    </row>
    <row r="256" spans="1:16">
      <c r="A256" s="6"/>
      <c r="B256" s="20"/>
      <c r="C256" s="104" t="s">
        <v>73</v>
      </c>
      <c r="D256" s="8"/>
      <c r="E256" s="8"/>
      <c r="F256" s="109">
        <f>L217</f>
        <v>20243.359909817344</v>
      </c>
      <c r="G256" s="8"/>
      <c r="H256" s="10"/>
    </row>
    <row r="257" spans="1:11">
      <c r="A257" s="6"/>
      <c r="B257" s="20"/>
      <c r="C257" s="9"/>
      <c r="D257" s="8"/>
      <c r="E257" s="8"/>
      <c r="F257" s="8"/>
      <c r="G257" s="8"/>
      <c r="H257" s="10"/>
    </row>
    <row r="258" spans="1:11">
      <c r="A258" s="6"/>
      <c r="B258" s="20"/>
      <c r="C258" s="104" t="s">
        <v>74</v>
      </c>
      <c r="D258" s="8"/>
      <c r="E258" s="8"/>
      <c r="F258" s="109">
        <f>L219</f>
        <v>66633.982782760795</v>
      </c>
      <c r="G258" s="8"/>
      <c r="H258" s="10"/>
    </row>
    <row r="259" spans="1:11">
      <c r="A259" s="6"/>
      <c r="B259" s="20"/>
      <c r="C259" s="8"/>
      <c r="D259" s="8"/>
      <c r="E259" s="8"/>
      <c r="F259" s="8"/>
      <c r="G259" s="8"/>
      <c r="H259" s="10"/>
    </row>
    <row r="260" spans="1:11">
      <c r="A260" s="6"/>
      <c r="B260" s="20"/>
      <c r="C260" s="104" t="s">
        <v>77</v>
      </c>
      <c r="D260" s="117"/>
      <c r="E260" s="10"/>
      <c r="F260" s="109">
        <f>L223</f>
        <v>86877.342692578139</v>
      </c>
      <c r="G260" s="8"/>
      <c r="H260" s="10"/>
      <c r="K260" s="167"/>
    </row>
    <row r="261" spans="1:11">
      <c r="A261" s="6"/>
      <c r="B261" s="8"/>
      <c r="C261" s="8"/>
      <c r="D261" s="8"/>
      <c r="E261" s="8"/>
      <c r="F261" s="8"/>
      <c r="G261" s="8"/>
      <c r="H261" s="10"/>
      <c r="K261" s="167"/>
    </row>
    <row r="262" spans="1:11">
      <c r="A262" s="6"/>
      <c r="B262" s="8"/>
      <c r="C262" s="8"/>
      <c r="D262" s="8"/>
      <c r="E262" s="8"/>
      <c r="F262" s="8"/>
      <c r="G262" s="8"/>
      <c r="H262" s="10"/>
    </row>
    <row r="263" spans="1:11">
      <c r="A263" s="6"/>
      <c r="B263" s="8"/>
      <c r="C263" s="8"/>
      <c r="D263" s="8"/>
      <c r="E263" s="8"/>
      <c r="F263" s="8"/>
      <c r="G263" s="8"/>
      <c r="H263" s="10"/>
    </row>
    <row r="264" spans="1:11">
      <c r="A264" s="3"/>
      <c r="B264" s="8"/>
      <c r="C264" s="8"/>
      <c r="D264" s="8"/>
      <c r="E264" s="8"/>
      <c r="F264" s="8"/>
      <c r="G264" s="8"/>
      <c r="H264" s="10"/>
      <c r="K264" s="169"/>
    </row>
    <row r="265" spans="1:11">
      <c r="A265" s="3"/>
      <c r="B265" s="8"/>
      <c r="C265" s="8"/>
      <c r="D265" s="8"/>
      <c r="E265" s="8"/>
      <c r="F265" s="8"/>
      <c r="G265" s="8"/>
      <c r="H265" s="10"/>
      <c r="K265" s="169"/>
    </row>
    <row r="266" spans="1:11">
      <c r="A266" s="3"/>
      <c r="B266" s="8"/>
      <c r="C266" s="11"/>
      <c r="D266" s="9"/>
      <c r="E266" s="12"/>
      <c r="F266" s="13"/>
      <c r="G266" s="12"/>
      <c r="H266" s="10"/>
      <c r="K266" s="169"/>
    </row>
    <row r="267" spans="1:11">
      <c r="A267" s="7"/>
      <c r="B267" s="14"/>
      <c r="C267" s="12"/>
      <c r="D267" s="15"/>
      <c r="E267" s="12"/>
      <c r="F267" s="12"/>
      <c r="G267" s="12"/>
      <c r="H267" s="10"/>
      <c r="K267" s="173"/>
    </row>
    <row r="270" spans="1:11">
      <c r="K270" s="173"/>
    </row>
    <row r="271" spans="1:11">
      <c r="K271" s="173"/>
    </row>
    <row r="274" spans="11:12">
      <c r="K274" s="168"/>
    </row>
    <row r="275" spans="11:12">
      <c r="L275" s="173"/>
    </row>
  </sheetData>
  <mergeCells count="44">
    <mergeCell ref="X17:Y17"/>
    <mergeCell ref="X49:Y49"/>
    <mergeCell ref="Q66:T66"/>
    <mergeCell ref="K244:L244"/>
    <mergeCell ref="M244:N244"/>
    <mergeCell ref="O244:P244"/>
    <mergeCell ref="L62:P62"/>
    <mergeCell ref="Q62:T62"/>
    <mergeCell ref="C42:D42"/>
    <mergeCell ref="E42:F42"/>
    <mergeCell ref="C4:G4"/>
    <mergeCell ref="E9:G9"/>
    <mergeCell ref="E19:G19"/>
    <mergeCell ref="C32:D34"/>
    <mergeCell ref="C35:D35"/>
    <mergeCell ref="C36:D38"/>
    <mergeCell ref="C39:D39"/>
    <mergeCell ref="E39:F40"/>
    <mergeCell ref="C41:D41"/>
    <mergeCell ref="E41:F41"/>
    <mergeCell ref="C21:G21"/>
    <mergeCell ref="C53:D53"/>
    <mergeCell ref="C60:D60"/>
    <mergeCell ref="E60:F60"/>
    <mergeCell ref="C61:D61"/>
    <mergeCell ref="E61:F61"/>
    <mergeCell ref="E53:F53"/>
    <mergeCell ref="C57:D57"/>
    <mergeCell ref="K7:L7"/>
    <mergeCell ref="M7:N7"/>
    <mergeCell ref="O7:P7"/>
    <mergeCell ref="E230:F230"/>
    <mergeCell ref="E229:F229"/>
    <mergeCell ref="C214:G218"/>
    <mergeCell ref="C65:D65"/>
    <mergeCell ref="E65:F65"/>
    <mergeCell ref="C66:D66"/>
    <mergeCell ref="E66:F66"/>
    <mergeCell ref="C67:D67"/>
    <mergeCell ref="E67:F67"/>
    <mergeCell ref="B95:C95"/>
    <mergeCell ref="C64:D64"/>
    <mergeCell ref="E64:F64"/>
    <mergeCell ref="C48:D4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92D17-3108-4B0F-8CFA-3E0E1BFD7BB7}">
  <dimension ref="A1:BN2203"/>
  <sheetViews>
    <sheetView zoomScale="85" zoomScaleNormal="85" workbookViewId="0">
      <selection activeCell="B47" sqref="B47"/>
    </sheetView>
  </sheetViews>
  <sheetFormatPr defaultColWidth="8.7109375" defaultRowHeight="15.75"/>
  <cols>
    <col min="1" max="1" width="19" style="229" bestFit="1" customWidth="1"/>
    <col min="2" max="2" width="131.140625" style="94" bestFit="1" customWidth="1"/>
    <col min="3" max="3" width="10.85546875" style="94" bestFit="1" customWidth="1"/>
    <col min="4" max="4" width="10.7109375" style="94" bestFit="1" customWidth="1"/>
    <col min="5" max="5" width="8.7109375" style="94"/>
    <col min="6" max="6" width="9.28515625" style="94" customWidth="1"/>
    <col min="7" max="7" width="23.5703125" style="94" customWidth="1"/>
    <col min="8" max="8" width="16" style="94" customWidth="1"/>
    <col min="9" max="9" width="15.28515625" style="94" customWidth="1"/>
    <col min="10" max="10" width="2" style="229" customWidth="1"/>
    <col min="11" max="11" width="2.28515625" style="231" customWidth="1"/>
    <col min="12" max="12" width="20.5703125" style="230" bestFit="1" customWidth="1"/>
    <col min="13" max="13" width="2.7109375" style="230" bestFit="1" customWidth="1"/>
    <col min="14" max="14" width="10.28515625" style="230" customWidth="1"/>
    <col min="15" max="15" width="14.7109375" style="230" customWidth="1"/>
    <col min="16" max="36" width="11.140625" style="230" customWidth="1"/>
    <col min="37" max="37" width="1.7109375" customWidth="1"/>
    <col min="38" max="38" width="14.140625" style="230" customWidth="1"/>
    <col min="39" max="59" width="11.140625" style="230" customWidth="1"/>
    <col min="60" max="60" width="11.140625" style="229" customWidth="1"/>
    <col min="61" max="16384" width="8.7109375" style="229"/>
  </cols>
  <sheetData>
    <row r="1" spans="1:59">
      <c r="A1" s="18" t="s">
        <v>94</v>
      </c>
      <c r="D1" s="94" t="s">
        <v>310</v>
      </c>
      <c r="L1" s="21" t="s">
        <v>94</v>
      </c>
      <c r="M1" s="234"/>
    </row>
    <row r="2" spans="1:59">
      <c r="A2" s="18" t="s">
        <v>345</v>
      </c>
      <c r="L2" s="21" t="str">
        <f>A2</f>
        <v>Question 4</v>
      </c>
    </row>
    <row r="3" spans="1:59">
      <c r="A3" s="126"/>
      <c r="L3" s="21"/>
      <c r="N3" s="234" t="s">
        <v>344</v>
      </c>
      <c r="AE3" s="242"/>
      <c r="AI3"/>
      <c r="BB3" s="242"/>
      <c r="BD3"/>
      <c r="BE3"/>
      <c r="BF3"/>
    </row>
    <row r="4" spans="1:59">
      <c r="A4" s="126" t="s">
        <v>343</v>
      </c>
      <c r="B4" s="94" t="s">
        <v>342</v>
      </c>
      <c r="L4" s="21" t="s">
        <v>181</v>
      </c>
      <c r="N4" s="233"/>
      <c r="O4" s="233"/>
      <c r="P4" s="233"/>
      <c r="Q4" s="233"/>
      <c r="R4" s="233"/>
      <c r="S4" s="233"/>
      <c r="T4" s="233"/>
      <c r="U4" s="233"/>
      <c r="V4" s="233"/>
      <c r="W4" s="233"/>
      <c r="X4" s="233"/>
      <c r="Y4" s="233"/>
      <c r="Z4" s="233"/>
      <c r="AA4" s="233"/>
      <c r="AB4" s="233"/>
      <c r="AC4" s="233"/>
      <c r="AD4" s="233"/>
      <c r="AE4" s="240"/>
      <c r="AF4" s="240"/>
      <c r="AK4" s="235"/>
      <c r="AL4" s="233"/>
      <c r="AM4" s="233"/>
      <c r="AN4" s="233"/>
      <c r="AO4" s="233"/>
      <c r="AP4" s="233"/>
      <c r="AQ4" s="233"/>
      <c r="AR4" s="233"/>
      <c r="AS4" s="233"/>
      <c r="AT4" s="233"/>
      <c r="AU4" s="233"/>
      <c r="AV4" s="233"/>
      <c r="AW4" s="233"/>
      <c r="AX4" s="233"/>
      <c r="AY4" s="233"/>
      <c r="AZ4" s="233"/>
      <c r="BA4" s="233"/>
      <c r="BB4" s="240"/>
      <c r="BC4" s="240"/>
      <c r="BG4" s="242"/>
    </row>
    <row r="5" spans="1:59">
      <c r="A5" s="126"/>
      <c r="B5" s="94" t="s">
        <v>341</v>
      </c>
      <c r="N5"/>
      <c r="O5" s="270" t="s">
        <v>304</v>
      </c>
      <c r="P5" s="269"/>
      <c r="Q5" s="269"/>
      <c r="R5" s="269"/>
      <c r="S5" s="269"/>
      <c r="T5" s="463" t="s">
        <v>190</v>
      </c>
      <c r="U5" s="463"/>
      <c r="V5" s="463" t="s">
        <v>302</v>
      </c>
      <c r="W5" s="463"/>
      <c r="X5" s="463" t="s">
        <v>301</v>
      </c>
      <c r="Y5" s="463"/>
      <c r="Z5" s="463" t="s">
        <v>300</v>
      </c>
      <c r="AA5" s="463"/>
      <c r="AB5" s="463"/>
      <c r="AC5" s="268"/>
      <c r="AD5" s="464" t="s">
        <v>340</v>
      </c>
      <c r="AE5" s="464"/>
      <c r="AF5" s="464" t="s">
        <v>339</v>
      </c>
      <c r="AG5" s="464"/>
      <c r="AH5" s="464" t="s">
        <v>206</v>
      </c>
      <c r="AI5" s="465"/>
      <c r="AK5" s="235"/>
      <c r="AL5" s="270" t="s">
        <v>303</v>
      </c>
      <c r="AM5" s="269"/>
      <c r="AN5" s="269"/>
      <c r="AO5" s="269"/>
      <c r="AP5" s="269"/>
      <c r="AQ5" s="466" t="s">
        <v>190</v>
      </c>
      <c r="AR5" s="466"/>
      <c r="AS5" s="466" t="s">
        <v>302</v>
      </c>
      <c r="AT5" s="466"/>
      <c r="AU5" s="466" t="s">
        <v>301</v>
      </c>
      <c r="AV5" s="466"/>
      <c r="AW5" s="466" t="s">
        <v>300</v>
      </c>
      <c r="AX5" s="466"/>
      <c r="AY5" s="466"/>
      <c r="AZ5" s="268"/>
      <c r="BA5" s="268"/>
      <c r="BB5" s="464" t="s">
        <v>340</v>
      </c>
      <c r="BC5" s="464"/>
      <c r="BD5" s="464" t="s">
        <v>339</v>
      </c>
      <c r="BE5" s="464"/>
      <c r="BF5" s="464" t="s">
        <v>206</v>
      </c>
      <c r="BG5" s="465"/>
    </row>
    <row r="6" spans="1:59">
      <c r="A6" s="126"/>
      <c r="L6" s="234"/>
      <c r="N6"/>
      <c r="O6" s="267" t="s">
        <v>298</v>
      </c>
      <c r="P6" s="266" t="s">
        <v>6</v>
      </c>
      <c r="Q6" s="266" t="s">
        <v>189</v>
      </c>
      <c r="R6" s="266" t="s">
        <v>186</v>
      </c>
      <c r="S6" s="266" t="s">
        <v>297</v>
      </c>
      <c r="T6" s="266" t="s">
        <v>293</v>
      </c>
      <c r="U6" s="266" t="s">
        <v>292</v>
      </c>
      <c r="V6" s="266" t="s">
        <v>293</v>
      </c>
      <c r="W6" s="266" t="s">
        <v>292</v>
      </c>
      <c r="X6" s="266" t="s">
        <v>293</v>
      </c>
      <c r="Y6" s="266" t="s">
        <v>292</v>
      </c>
      <c r="Z6" s="266" t="s">
        <v>293</v>
      </c>
      <c r="AA6" s="266" t="s">
        <v>292</v>
      </c>
      <c r="AB6" s="266" t="s">
        <v>296</v>
      </c>
      <c r="AC6" s="266" t="s">
        <v>338</v>
      </c>
      <c r="AD6" s="266" t="s">
        <v>293</v>
      </c>
      <c r="AE6" s="266" t="s">
        <v>292</v>
      </c>
      <c r="AF6" s="266" t="s">
        <v>293</v>
      </c>
      <c r="AG6" s="266" t="s">
        <v>292</v>
      </c>
      <c r="AH6" s="266" t="s">
        <v>293</v>
      </c>
      <c r="AI6" s="265" t="s">
        <v>292</v>
      </c>
      <c r="AK6" s="290"/>
      <c r="AL6" s="267" t="s">
        <v>298</v>
      </c>
      <c r="AM6" s="266" t="s">
        <v>6</v>
      </c>
      <c r="AN6" s="266" t="s">
        <v>189</v>
      </c>
      <c r="AO6" s="266" t="s">
        <v>186</v>
      </c>
      <c r="AP6" s="266" t="s">
        <v>297</v>
      </c>
      <c r="AQ6" s="266" t="s">
        <v>293</v>
      </c>
      <c r="AR6" s="266" t="s">
        <v>292</v>
      </c>
      <c r="AS6" s="266" t="s">
        <v>293</v>
      </c>
      <c r="AT6" s="266" t="s">
        <v>292</v>
      </c>
      <c r="AU6" s="266" t="s">
        <v>293</v>
      </c>
      <c r="AV6" s="266" t="s">
        <v>292</v>
      </c>
      <c r="AW6" s="266" t="s">
        <v>293</v>
      </c>
      <c r="AX6" s="266" t="s">
        <v>292</v>
      </c>
      <c r="AY6" s="266" t="s">
        <v>296</v>
      </c>
      <c r="AZ6" s="266"/>
      <c r="BA6" s="266" t="s">
        <v>337</v>
      </c>
      <c r="BB6" s="266" t="s">
        <v>293</v>
      </c>
      <c r="BC6" s="266" t="s">
        <v>292</v>
      </c>
      <c r="BD6" s="266" t="s">
        <v>293</v>
      </c>
      <c r="BE6" s="266" t="s">
        <v>292</v>
      </c>
      <c r="BF6" s="266" t="s">
        <v>293</v>
      </c>
      <c r="BG6" s="265" t="s">
        <v>292</v>
      </c>
    </row>
    <row r="7" spans="1:59">
      <c r="A7" s="126"/>
      <c r="B7" s="278" t="s">
        <v>35</v>
      </c>
      <c r="L7" s="250"/>
      <c r="N7"/>
      <c r="O7" s="249">
        <f>2023</f>
        <v>2023</v>
      </c>
      <c r="P7" s="233">
        <f>$C$28</f>
        <v>39</v>
      </c>
      <c r="Q7" s="233">
        <v>10</v>
      </c>
      <c r="R7" s="264">
        <f>C30</f>
        <v>75000</v>
      </c>
      <c r="S7" s="233">
        <f t="shared" ref="S7:S33" si="0">MIN(1,1-3%*(65-P7))</f>
        <v>0.21999999999999997</v>
      </c>
      <c r="T7" s="240">
        <f t="shared" ref="T7:T33" si="1">S7*R7*1.25%*Q7</f>
        <v>2062.4999999999995</v>
      </c>
      <c r="U7" s="240">
        <f t="shared" ref="U7:U33" si="2">R7*1.25%*Q7</f>
        <v>9375</v>
      </c>
      <c r="V7" s="233">
        <f t="shared" ref="V7:V33" si="3">IF(P7=55,$C$35,IF(P7=65,$C$34,0))</f>
        <v>0</v>
      </c>
      <c r="W7" s="243">
        <f t="shared" ref="W7:W33" si="4">$C$34</f>
        <v>14.5</v>
      </c>
      <c r="X7" s="233">
        <f t="shared" ref="X7:X33" si="5">(1+4.5%)^-(P7-P$7)</f>
        <v>1</v>
      </c>
      <c r="Y7" s="233">
        <f t="shared" ref="Y7:Y33" si="6">(1+4.5%)^-(65-P$7)</f>
        <v>0.31840248485926437</v>
      </c>
      <c r="Z7" s="233">
        <f t="shared" ref="Z7:Z33" si="7">IF(P7=55,40%,IF(P7=65,100%,0))</f>
        <v>0</v>
      </c>
      <c r="AA7" s="233">
        <f t="shared" ref="AA7:AA33" si="8">IF(P7&lt;40,5%,0)</f>
        <v>0.05</v>
      </c>
      <c r="AB7" s="233">
        <v>1</v>
      </c>
      <c r="AC7" s="233">
        <f t="shared" ref="AC7:AC33" si="9">Q$7/Q7</f>
        <v>1</v>
      </c>
      <c r="AD7" s="240">
        <f t="shared" ref="AD7:AD33" si="10">AB7*Z7*X7*V7*T7</f>
        <v>0</v>
      </c>
      <c r="AE7" s="240">
        <f t="shared" ref="AE7:AE33" si="11">AB7*AA7*Y7*W7*U7</f>
        <v>2164.1418892778129</v>
      </c>
      <c r="AF7" s="240">
        <f t="shared" ref="AF7:AF33" si="12">AD7*AC7</f>
        <v>0</v>
      </c>
      <c r="AG7" s="240">
        <f t="shared" ref="AG7:AG33" si="13">AE7*AC7</f>
        <v>2164.1418892778129</v>
      </c>
      <c r="AH7" s="240">
        <f t="shared" ref="AH7:AH33" si="14">AF7/Q$7</f>
        <v>0</v>
      </c>
      <c r="AI7" s="248">
        <f t="shared" ref="AI7:AI33" si="15">AG7/Q$7</f>
        <v>216.41418892778128</v>
      </c>
      <c r="AK7" s="235"/>
      <c r="AL7" s="249">
        <f>2023</f>
        <v>2023</v>
      </c>
      <c r="AM7" s="233">
        <f>$D$28</f>
        <v>50</v>
      </c>
      <c r="AN7" s="233">
        <v>15</v>
      </c>
      <c r="AO7" s="264">
        <v>220000</v>
      </c>
      <c r="AP7" s="233">
        <f t="shared" ref="AP7:AP22" si="16">MIN(1,1-3%*(65-AM7))</f>
        <v>0.55000000000000004</v>
      </c>
      <c r="AQ7" s="240">
        <f t="shared" ref="AQ7:AQ22" si="17">AP7*AO7*1.25%*AN7</f>
        <v>22687.500000000004</v>
      </c>
      <c r="AR7" s="240">
        <f t="shared" ref="AR7:AR22" si="18">AO7*1.25%*AN7</f>
        <v>41250</v>
      </c>
      <c r="AS7" s="233">
        <f t="shared" ref="AS7:AS22" si="19">IF(AM7=55,$C$35,IF(AM7=65,$C$34,0))</f>
        <v>0</v>
      </c>
      <c r="AT7" s="243">
        <f t="shared" ref="AT7:AT22" si="20">$C$34</f>
        <v>14.5</v>
      </c>
      <c r="AU7" s="233">
        <f t="shared" ref="AU7:AU22" si="21">(1+4.5%)^-(AM7-AM$7)</f>
        <v>1</v>
      </c>
      <c r="AV7" s="233">
        <f t="shared" ref="AV7:AV22" si="22">(1+4.5%)^-(65-AM$7)</f>
        <v>0.51672044231576797</v>
      </c>
      <c r="AW7" s="233">
        <f t="shared" ref="AW7:AW22" si="23">IF(AM7=55,40%,IF(AM7=65,100%,0))</f>
        <v>0</v>
      </c>
      <c r="AX7" s="233">
        <f t="shared" ref="AX7:AX22" si="24">IF(AM7&lt;40,5%,0)</f>
        <v>0</v>
      </c>
      <c r="AY7" s="233">
        <v>1</v>
      </c>
      <c r="AZ7" s="233"/>
      <c r="BA7" s="233">
        <f t="shared" ref="BA7:BA22" si="25">AN$7/AN7</f>
        <v>1</v>
      </c>
      <c r="BB7" s="240">
        <f t="shared" ref="BB7:BB22" si="26">AY7*AW7*AU7*AS7*AQ7</f>
        <v>0</v>
      </c>
      <c r="BC7" s="240">
        <f t="shared" ref="BC7:BC22" si="27">AY7*AX7*AV7*AT7*AR7</f>
        <v>0</v>
      </c>
      <c r="BD7" s="242">
        <f t="shared" ref="BD7:BD22" si="28">BB7*BA7</f>
        <v>0</v>
      </c>
      <c r="BE7" s="242">
        <f t="shared" ref="BE7:BE22" si="29">BC7*BA7</f>
        <v>0</v>
      </c>
      <c r="BF7" s="242">
        <f t="shared" ref="BF7:BF22" si="30">BD7/AN$7</f>
        <v>0</v>
      </c>
      <c r="BG7" s="287">
        <f t="shared" ref="BG7:BG22" si="31">BE7/AN$7</f>
        <v>0</v>
      </c>
    </row>
    <row r="8" spans="1:59">
      <c r="A8" s="126"/>
      <c r="B8" s="277"/>
      <c r="L8" s="250"/>
      <c r="N8"/>
      <c r="O8" s="249">
        <f t="shared" ref="O8:O33" si="32">O7+1</f>
        <v>2024</v>
      </c>
      <c r="P8" s="233">
        <f t="shared" ref="P8:P33" si="33">P7+1</f>
        <v>40</v>
      </c>
      <c r="Q8" s="233">
        <f t="shared" ref="Q8:Q33" si="34">Q7+1</f>
        <v>11</v>
      </c>
      <c r="R8" s="240">
        <f t="shared" ref="R8:R33" si="35">R7*1.0325</f>
        <v>77437.5</v>
      </c>
      <c r="S8" s="233">
        <f t="shared" si="0"/>
        <v>0.25</v>
      </c>
      <c r="T8" s="240">
        <f t="shared" si="1"/>
        <v>2661.9140625</v>
      </c>
      <c r="U8" s="240">
        <f t="shared" si="2"/>
        <v>10647.65625</v>
      </c>
      <c r="V8" s="233">
        <f t="shared" si="3"/>
        <v>0</v>
      </c>
      <c r="W8" s="243">
        <f t="shared" si="4"/>
        <v>14.5</v>
      </c>
      <c r="X8" s="233">
        <f t="shared" si="5"/>
        <v>0.95693779904306231</v>
      </c>
      <c r="Y8" s="233">
        <f t="shared" si="6"/>
        <v>0.31840248485926437</v>
      </c>
      <c r="Z8" s="233">
        <f t="shared" si="7"/>
        <v>0</v>
      </c>
      <c r="AA8" s="233">
        <f t="shared" si="8"/>
        <v>0</v>
      </c>
      <c r="AB8" s="233">
        <f t="shared" ref="AB8:AB33" si="36">AB7*(1-Z7)*(1-AA7)</f>
        <v>0.95</v>
      </c>
      <c r="AC8" s="233">
        <f t="shared" si="9"/>
        <v>0.90909090909090906</v>
      </c>
      <c r="AD8" s="240">
        <f t="shared" si="10"/>
        <v>0</v>
      </c>
      <c r="AE8" s="240">
        <f t="shared" si="11"/>
        <v>0</v>
      </c>
      <c r="AF8" s="240">
        <f t="shared" si="12"/>
        <v>0</v>
      </c>
      <c r="AG8" s="240">
        <f t="shared" si="13"/>
        <v>0</v>
      </c>
      <c r="AH8" s="240">
        <f t="shared" si="14"/>
        <v>0</v>
      </c>
      <c r="AI8" s="248">
        <f t="shared" si="15"/>
        <v>0</v>
      </c>
      <c r="AK8" s="235"/>
      <c r="AL8" s="249">
        <f t="shared" ref="AL8:AL22" si="37">AL7+1</f>
        <v>2024</v>
      </c>
      <c r="AM8" s="233">
        <f t="shared" ref="AM8:AM22" si="38">AM7+1</f>
        <v>51</v>
      </c>
      <c r="AN8" s="233">
        <f t="shared" ref="AN8:AN22" si="39">AN7+1</f>
        <v>16</v>
      </c>
      <c r="AO8" s="233">
        <f t="shared" ref="AO8:AO22" si="40">AO7*1.0325</f>
        <v>227150</v>
      </c>
      <c r="AP8" s="233">
        <f t="shared" si="16"/>
        <v>0.58000000000000007</v>
      </c>
      <c r="AQ8" s="240">
        <f t="shared" si="17"/>
        <v>26349.400000000009</v>
      </c>
      <c r="AR8" s="240">
        <f t="shared" si="18"/>
        <v>45430</v>
      </c>
      <c r="AS8" s="233">
        <f t="shared" si="19"/>
        <v>0</v>
      </c>
      <c r="AT8" s="243">
        <f t="shared" si="20"/>
        <v>14.5</v>
      </c>
      <c r="AU8" s="233">
        <f t="shared" si="21"/>
        <v>0.95693779904306231</v>
      </c>
      <c r="AV8" s="233">
        <f t="shared" si="22"/>
        <v>0.51672044231576797</v>
      </c>
      <c r="AW8" s="233">
        <f t="shared" si="23"/>
        <v>0</v>
      </c>
      <c r="AX8" s="233">
        <f t="shared" si="24"/>
        <v>0</v>
      </c>
      <c r="AY8" s="233">
        <f t="shared" ref="AY8:AY22" si="41">AY7*(1-AW7)*(1-AX7)</f>
        <v>1</v>
      </c>
      <c r="AZ8" s="233"/>
      <c r="BA8" s="233">
        <f t="shared" si="25"/>
        <v>0.9375</v>
      </c>
      <c r="BB8" s="240">
        <f t="shared" si="26"/>
        <v>0</v>
      </c>
      <c r="BC8" s="240">
        <f t="shared" si="27"/>
        <v>0</v>
      </c>
      <c r="BD8" s="242">
        <f t="shared" si="28"/>
        <v>0</v>
      </c>
      <c r="BE8" s="242">
        <f t="shared" si="29"/>
        <v>0</v>
      </c>
      <c r="BF8" s="242">
        <f t="shared" si="30"/>
        <v>0</v>
      </c>
      <c r="BG8" s="287">
        <f t="shared" si="31"/>
        <v>0</v>
      </c>
    </row>
    <row r="9" spans="1:59">
      <c r="A9" s="126"/>
      <c r="B9" s="284" t="s">
        <v>99</v>
      </c>
      <c r="C9" s="468" t="s">
        <v>336</v>
      </c>
      <c r="D9" s="468"/>
      <c r="E9" s="468"/>
      <c r="F9" s="289"/>
      <c r="L9" s="250"/>
      <c r="N9"/>
      <c r="O9" s="249">
        <f t="shared" si="32"/>
        <v>2025</v>
      </c>
      <c r="P9" s="233">
        <f t="shared" si="33"/>
        <v>41</v>
      </c>
      <c r="Q9" s="233">
        <f t="shared" si="34"/>
        <v>12</v>
      </c>
      <c r="R9" s="240">
        <f t="shared" si="35"/>
        <v>79954.21875</v>
      </c>
      <c r="S9" s="233">
        <f t="shared" si="0"/>
        <v>0.28000000000000003</v>
      </c>
      <c r="T9" s="240">
        <f t="shared" si="1"/>
        <v>3358.0771875000005</v>
      </c>
      <c r="U9" s="240">
        <f t="shared" si="2"/>
        <v>11993.1328125</v>
      </c>
      <c r="V9" s="233">
        <f t="shared" si="3"/>
        <v>0</v>
      </c>
      <c r="W9" s="243">
        <f t="shared" si="4"/>
        <v>14.5</v>
      </c>
      <c r="X9" s="233">
        <f t="shared" si="5"/>
        <v>0.91572995123738021</v>
      </c>
      <c r="Y9" s="233">
        <f t="shared" si="6"/>
        <v>0.31840248485926437</v>
      </c>
      <c r="Z9" s="233">
        <f t="shared" si="7"/>
        <v>0</v>
      </c>
      <c r="AA9" s="233">
        <f t="shared" si="8"/>
        <v>0</v>
      </c>
      <c r="AB9" s="233">
        <f t="shared" si="36"/>
        <v>0.95</v>
      </c>
      <c r="AC9" s="233">
        <f t="shared" si="9"/>
        <v>0.83333333333333337</v>
      </c>
      <c r="AD9" s="240">
        <f t="shared" si="10"/>
        <v>0</v>
      </c>
      <c r="AE9" s="240">
        <f t="shared" si="11"/>
        <v>0</v>
      </c>
      <c r="AF9" s="240">
        <f t="shared" si="12"/>
        <v>0</v>
      </c>
      <c r="AG9" s="240">
        <f t="shared" si="13"/>
        <v>0</v>
      </c>
      <c r="AH9" s="240">
        <f t="shared" si="14"/>
        <v>0</v>
      </c>
      <c r="AI9" s="248">
        <f t="shared" si="15"/>
        <v>0</v>
      </c>
      <c r="AK9" s="235"/>
      <c r="AL9" s="249">
        <f t="shared" si="37"/>
        <v>2025</v>
      </c>
      <c r="AM9" s="233">
        <f t="shared" si="38"/>
        <v>52</v>
      </c>
      <c r="AN9" s="233">
        <f t="shared" si="39"/>
        <v>17</v>
      </c>
      <c r="AO9" s="240">
        <f t="shared" si="40"/>
        <v>234532.375</v>
      </c>
      <c r="AP9" s="233">
        <f t="shared" si="16"/>
        <v>0.61</v>
      </c>
      <c r="AQ9" s="240">
        <f t="shared" si="17"/>
        <v>30401.259109375002</v>
      </c>
      <c r="AR9" s="240">
        <f t="shared" si="18"/>
        <v>49838.129687500004</v>
      </c>
      <c r="AS9" s="233">
        <f t="shared" si="19"/>
        <v>0</v>
      </c>
      <c r="AT9" s="243">
        <f t="shared" si="20"/>
        <v>14.5</v>
      </c>
      <c r="AU9" s="233">
        <f t="shared" si="21"/>
        <v>0.91572995123738021</v>
      </c>
      <c r="AV9" s="233">
        <f t="shared" si="22"/>
        <v>0.51672044231576797</v>
      </c>
      <c r="AW9" s="233">
        <f t="shared" si="23"/>
        <v>0</v>
      </c>
      <c r="AX9" s="233">
        <f t="shared" si="24"/>
        <v>0</v>
      </c>
      <c r="AY9" s="233">
        <f t="shared" si="41"/>
        <v>1</v>
      </c>
      <c r="AZ9" s="233"/>
      <c r="BA9" s="233">
        <f t="shared" si="25"/>
        <v>0.88235294117647056</v>
      </c>
      <c r="BB9" s="240">
        <f t="shared" si="26"/>
        <v>0</v>
      </c>
      <c r="BC9" s="240">
        <f t="shared" si="27"/>
        <v>0</v>
      </c>
      <c r="BD9" s="242">
        <f t="shared" si="28"/>
        <v>0</v>
      </c>
      <c r="BE9" s="242">
        <f t="shared" si="29"/>
        <v>0</v>
      </c>
      <c r="BF9" s="242">
        <f t="shared" si="30"/>
        <v>0</v>
      </c>
      <c r="BG9" s="287">
        <f t="shared" si="31"/>
        <v>0</v>
      </c>
    </row>
    <row r="10" spans="1:59">
      <c r="A10" s="126"/>
      <c r="B10" s="284" t="s">
        <v>335</v>
      </c>
      <c r="C10" s="468" t="s">
        <v>334</v>
      </c>
      <c r="D10" s="468"/>
      <c r="E10" s="468"/>
      <c r="L10" s="234"/>
      <c r="N10"/>
      <c r="O10" s="249">
        <f t="shared" si="32"/>
        <v>2026</v>
      </c>
      <c r="P10" s="233">
        <f t="shared" si="33"/>
        <v>42</v>
      </c>
      <c r="Q10" s="233">
        <f t="shared" si="34"/>
        <v>13</v>
      </c>
      <c r="R10" s="240">
        <f t="shared" si="35"/>
        <v>82552.730859374991</v>
      </c>
      <c r="S10" s="233">
        <f t="shared" si="0"/>
        <v>0.31000000000000005</v>
      </c>
      <c r="T10" s="240">
        <f t="shared" si="1"/>
        <v>4158.5938170410163</v>
      </c>
      <c r="U10" s="240">
        <f t="shared" si="2"/>
        <v>13414.818764648435</v>
      </c>
      <c r="V10" s="233">
        <f t="shared" si="3"/>
        <v>0</v>
      </c>
      <c r="W10" s="243">
        <f t="shared" si="4"/>
        <v>14.5</v>
      </c>
      <c r="X10" s="233">
        <f t="shared" si="5"/>
        <v>0.87629660405490928</v>
      </c>
      <c r="Y10" s="233">
        <f t="shared" si="6"/>
        <v>0.31840248485926437</v>
      </c>
      <c r="Z10" s="233">
        <f t="shared" si="7"/>
        <v>0</v>
      </c>
      <c r="AA10" s="233">
        <f t="shared" si="8"/>
        <v>0</v>
      </c>
      <c r="AB10" s="233">
        <f t="shared" si="36"/>
        <v>0.95</v>
      </c>
      <c r="AC10" s="233">
        <f t="shared" si="9"/>
        <v>0.76923076923076927</v>
      </c>
      <c r="AD10" s="240">
        <f t="shared" si="10"/>
        <v>0</v>
      </c>
      <c r="AE10" s="240">
        <f t="shared" si="11"/>
        <v>0</v>
      </c>
      <c r="AF10" s="240">
        <f t="shared" si="12"/>
        <v>0</v>
      </c>
      <c r="AG10" s="240">
        <f t="shared" si="13"/>
        <v>0</v>
      </c>
      <c r="AH10" s="240">
        <f t="shared" si="14"/>
        <v>0</v>
      </c>
      <c r="AI10" s="248">
        <f t="shared" si="15"/>
        <v>0</v>
      </c>
      <c r="AK10" s="235"/>
      <c r="AL10" s="249">
        <f t="shared" si="37"/>
        <v>2026</v>
      </c>
      <c r="AM10" s="233">
        <f t="shared" si="38"/>
        <v>53</v>
      </c>
      <c r="AN10" s="233">
        <f t="shared" si="39"/>
        <v>18</v>
      </c>
      <c r="AO10" s="240">
        <f t="shared" si="40"/>
        <v>242154.6771875</v>
      </c>
      <c r="AP10" s="233">
        <f t="shared" si="16"/>
        <v>0.64</v>
      </c>
      <c r="AQ10" s="240">
        <f t="shared" si="17"/>
        <v>34870.273515000001</v>
      </c>
      <c r="AR10" s="240">
        <f t="shared" si="18"/>
        <v>54484.802367187505</v>
      </c>
      <c r="AS10" s="233">
        <f t="shared" si="19"/>
        <v>0</v>
      </c>
      <c r="AT10" s="243">
        <f t="shared" si="20"/>
        <v>14.5</v>
      </c>
      <c r="AU10" s="233">
        <f t="shared" si="21"/>
        <v>0.87629660405490928</v>
      </c>
      <c r="AV10" s="233">
        <f t="shared" si="22"/>
        <v>0.51672044231576797</v>
      </c>
      <c r="AW10" s="233">
        <f t="shared" si="23"/>
        <v>0</v>
      </c>
      <c r="AX10" s="233">
        <f t="shared" si="24"/>
        <v>0</v>
      </c>
      <c r="AY10" s="233">
        <f t="shared" si="41"/>
        <v>1</v>
      </c>
      <c r="AZ10" s="233"/>
      <c r="BA10" s="233">
        <f t="shared" si="25"/>
        <v>0.83333333333333337</v>
      </c>
      <c r="BB10" s="240">
        <f t="shared" si="26"/>
        <v>0</v>
      </c>
      <c r="BC10" s="240">
        <f t="shared" si="27"/>
        <v>0</v>
      </c>
      <c r="BD10" s="242">
        <f t="shared" si="28"/>
        <v>0</v>
      </c>
      <c r="BE10" s="242">
        <f t="shared" si="29"/>
        <v>0</v>
      </c>
      <c r="BF10" s="242">
        <f t="shared" si="30"/>
        <v>0</v>
      </c>
      <c r="BG10" s="287">
        <f t="shared" si="31"/>
        <v>0</v>
      </c>
    </row>
    <row r="11" spans="1:59">
      <c r="A11" s="126"/>
      <c r="B11" s="284" t="s">
        <v>333</v>
      </c>
      <c r="C11" s="468" t="s">
        <v>0</v>
      </c>
      <c r="D11" s="468"/>
      <c r="E11" s="468"/>
      <c r="F11" s="18"/>
      <c r="G11" s="18"/>
      <c r="H11" s="18"/>
      <c r="L11" s="250"/>
      <c r="N11"/>
      <c r="O11" s="249">
        <f t="shared" si="32"/>
        <v>2027</v>
      </c>
      <c r="P11" s="233">
        <f t="shared" si="33"/>
        <v>43</v>
      </c>
      <c r="Q11" s="233">
        <f t="shared" si="34"/>
        <v>14</v>
      </c>
      <c r="R11" s="240">
        <f t="shared" si="35"/>
        <v>85235.69461230468</v>
      </c>
      <c r="S11" s="233">
        <f t="shared" si="0"/>
        <v>0.34000000000000008</v>
      </c>
      <c r="T11" s="240">
        <f t="shared" si="1"/>
        <v>5071.5238294321298</v>
      </c>
      <c r="U11" s="240">
        <f t="shared" si="2"/>
        <v>14916.246557153321</v>
      </c>
      <c r="V11" s="233">
        <f t="shared" si="3"/>
        <v>0</v>
      </c>
      <c r="W11" s="243">
        <f t="shared" si="4"/>
        <v>14.5</v>
      </c>
      <c r="X11" s="233">
        <f t="shared" si="5"/>
        <v>0.83856134359321488</v>
      </c>
      <c r="Y11" s="233">
        <f t="shared" si="6"/>
        <v>0.31840248485926437</v>
      </c>
      <c r="Z11" s="233">
        <f t="shared" si="7"/>
        <v>0</v>
      </c>
      <c r="AA11" s="233">
        <f t="shared" si="8"/>
        <v>0</v>
      </c>
      <c r="AB11" s="233">
        <f t="shared" si="36"/>
        <v>0.95</v>
      </c>
      <c r="AC11" s="233">
        <f t="shared" si="9"/>
        <v>0.7142857142857143</v>
      </c>
      <c r="AD11" s="240">
        <f t="shared" si="10"/>
        <v>0</v>
      </c>
      <c r="AE11" s="240">
        <f t="shared" si="11"/>
        <v>0</v>
      </c>
      <c r="AF11" s="240">
        <f t="shared" si="12"/>
        <v>0</v>
      </c>
      <c r="AG11" s="240">
        <f t="shared" si="13"/>
        <v>0</v>
      </c>
      <c r="AH11" s="240">
        <f t="shared" si="14"/>
        <v>0</v>
      </c>
      <c r="AI11" s="248">
        <f t="shared" si="15"/>
        <v>0</v>
      </c>
      <c r="AK11" s="235"/>
      <c r="AL11" s="249">
        <f t="shared" si="37"/>
        <v>2027</v>
      </c>
      <c r="AM11" s="233">
        <f t="shared" si="38"/>
        <v>54</v>
      </c>
      <c r="AN11" s="233">
        <f t="shared" si="39"/>
        <v>19</v>
      </c>
      <c r="AO11" s="240">
        <f t="shared" si="40"/>
        <v>250024.70419609375</v>
      </c>
      <c r="AP11" s="233">
        <f t="shared" si="16"/>
        <v>0.67</v>
      </c>
      <c r="AQ11" s="240">
        <f t="shared" si="17"/>
        <v>39785.181055203415</v>
      </c>
      <c r="AR11" s="240">
        <f t="shared" si="18"/>
        <v>59380.86724657227</v>
      </c>
      <c r="AS11" s="233">
        <f t="shared" si="19"/>
        <v>0</v>
      </c>
      <c r="AT11" s="243">
        <f t="shared" si="20"/>
        <v>14.5</v>
      </c>
      <c r="AU11" s="233">
        <f t="shared" si="21"/>
        <v>0.83856134359321488</v>
      </c>
      <c r="AV11" s="233">
        <f t="shared" si="22"/>
        <v>0.51672044231576797</v>
      </c>
      <c r="AW11" s="233">
        <f t="shared" si="23"/>
        <v>0</v>
      </c>
      <c r="AX11" s="233">
        <f t="shared" si="24"/>
        <v>0</v>
      </c>
      <c r="AY11" s="233">
        <f t="shared" si="41"/>
        <v>1</v>
      </c>
      <c r="AZ11" s="233"/>
      <c r="BA11" s="233">
        <f t="shared" si="25"/>
        <v>0.78947368421052633</v>
      </c>
      <c r="BB11" s="240">
        <f t="shared" si="26"/>
        <v>0</v>
      </c>
      <c r="BC11" s="240">
        <f t="shared" si="27"/>
        <v>0</v>
      </c>
      <c r="BD11" s="242">
        <f t="shared" si="28"/>
        <v>0</v>
      </c>
      <c r="BE11" s="242">
        <f t="shared" si="29"/>
        <v>0</v>
      </c>
      <c r="BF11" s="242">
        <f t="shared" si="30"/>
        <v>0</v>
      </c>
      <c r="BG11" s="287">
        <f t="shared" si="31"/>
        <v>0</v>
      </c>
    </row>
    <row r="12" spans="1:59">
      <c r="A12" s="126"/>
      <c r="B12" s="284" t="s">
        <v>332</v>
      </c>
      <c r="C12" s="468" t="s">
        <v>1</v>
      </c>
      <c r="D12" s="468"/>
      <c r="E12" s="468"/>
      <c r="L12" s="250"/>
      <c r="N12"/>
      <c r="O12" s="249">
        <f t="shared" si="32"/>
        <v>2028</v>
      </c>
      <c r="P12" s="233">
        <f t="shared" si="33"/>
        <v>44</v>
      </c>
      <c r="Q12" s="233">
        <f t="shared" si="34"/>
        <v>15</v>
      </c>
      <c r="R12" s="240">
        <f t="shared" si="35"/>
        <v>88005.854687204584</v>
      </c>
      <c r="S12" s="233">
        <f t="shared" si="0"/>
        <v>0.37</v>
      </c>
      <c r="T12" s="240">
        <f t="shared" si="1"/>
        <v>6105.4061689248183</v>
      </c>
      <c r="U12" s="240">
        <f t="shared" si="2"/>
        <v>16501.09775385086</v>
      </c>
      <c r="V12" s="233">
        <f t="shared" si="3"/>
        <v>0</v>
      </c>
      <c r="W12" s="243">
        <f t="shared" si="4"/>
        <v>14.5</v>
      </c>
      <c r="X12" s="233">
        <f t="shared" si="5"/>
        <v>0.80245104650068411</v>
      </c>
      <c r="Y12" s="233">
        <f t="shared" si="6"/>
        <v>0.31840248485926437</v>
      </c>
      <c r="Z12" s="233">
        <f t="shared" si="7"/>
        <v>0</v>
      </c>
      <c r="AA12" s="233">
        <f t="shared" si="8"/>
        <v>0</v>
      </c>
      <c r="AB12" s="233">
        <f t="shared" si="36"/>
        <v>0.95</v>
      </c>
      <c r="AC12" s="233">
        <f t="shared" si="9"/>
        <v>0.66666666666666663</v>
      </c>
      <c r="AD12" s="240">
        <f t="shared" si="10"/>
        <v>0</v>
      </c>
      <c r="AE12" s="240">
        <f t="shared" si="11"/>
        <v>0</v>
      </c>
      <c r="AF12" s="240">
        <f t="shared" si="12"/>
        <v>0</v>
      </c>
      <c r="AG12" s="240">
        <f t="shared" si="13"/>
        <v>0</v>
      </c>
      <c r="AH12" s="240">
        <f t="shared" si="14"/>
        <v>0</v>
      </c>
      <c r="AI12" s="248">
        <f t="shared" si="15"/>
        <v>0</v>
      </c>
      <c r="AK12" s="235"/>
      <c r="AL12" s="249">
        <f t="shared" si="37"/>
        <v>2028</v>
      </c>
      <c r="AM12" s="233">
        <f t="shared" si="38"/>
        <v>55</v>
      </c>
      <c r="AN12" s="233">
        <f t="shared" si="39"/>
        <v>20</v>
      </c>
      <c r="AO12" s="240">
        <f t="shared" si="40"/>
        <v>258150.50708246679</v>
      </c>
      <c r="AP12" s="233">
        <f t="shared" si="16"/>
        <v>0.7</v>
      </c>
      <c r="AQ12" s="240">
        <f t="shared" si="17"/>
        <v>45176.338739431696</v>
      </c>
      <c r="AR12" s="240">
        <f t="shared" si="18"/>
        <v>64537.626770616698</v>
      </c>
      <c r="AS12" s="233">
        <f t="shared" si="19"/>
        <v>17</v>
      </c>
      <c r="AT12" s="243">
        <f t="shared" si="20"/>
        <v>14.5</v>
      </c>
      <c r="AU12" s="233">
        <f t="shared" si="21"/>
        <v>0.80245104650068411</v>
      </c>
      <c r="AV12" s="233">
        <f t="shared" si="22"/>
        <v>0.51672044231576797</v>
      </c>
      <c r="AW12" s="233">
        <f t="shared" si="23"/>
        <v>0.4</v>
      </c>
      <c r="AX12" s="233">
        <f t="shared" si="24"/>
        <v>0</v>
      </c>
      <c r="AY12" s="233">
        <f t="shared" si="41"/>
        <v>1</v>
      </c>
      <c r="AZ12" s="233"/>
      <c r="BA12" s="233">
        <f t="shared" si="25"/>
        <v>0.75</v>
      </c>
      <c r="BB12" s="240">
        <f t="shared" si="26"/>
        <v>246512.24202997927</v>
      </c>
      <c r="BC12" s="240">
        <f t="shared" si="27"/>
        <v>0</v>
      </c>
      <c r="BD12" s="242">
        <f t="shared" si="28"/>
        <v>184884.18152248446</v>
      </c>
      <c r="BE12" s="242">
        <f t="shared" si="29"/>
        <v>0</v>
      </c>
      <c r="BF12" s="242">
        <f t="shared" si="30"/>
        <v>12325.612101498964</v>
      </c>
      <c r="BG12" s="287">
        <f t="shared" si="31"/>
        <v>0</v>
      </c>
    </row>
    <row r="13" spans="1:59">
      <c r="A13" s="126"/>
      <c r="B13" s="284" t="s">
        <v>104</v>
      </c>
      <c r="C13" s="468" t="s">
        <v>331</v>
      </c>
      <c r="D13" s="468"/>
      <c r="E13" s="468"/>
      <c r="L13" s="250"/>
      <c r="N13"/>
      <c r="O13" s="249">
        <f t="shared" si="32"/>
        <v>2029</v>
      </c>
      <c r="P13" s="233">
        <f t="shared" si="33"/>
        <v>45</v>
      </c>
      <c r="Q13" s="233">
        <f t="shared" si="34"/>
        <v>16</v>
      </c>
      <c r="R13" s="240">
        <f t="shared" si="35"/>
        <v>90866.044964538727</v>
      </c>
      <c r="S13" s="233">
        <f t="shared" si="0"/>
        <v>0.4</v>
      </c>
      <c r="T13" s="240">
        <f t="shared" si="1"/>
        <v>7269.2835971630984</v>
      </c>
      <c r="U13" s="240">
        <f t="shared" si="2"/>
        <v>18173.208992907745</v>
      </c>
      <c r="V13" s="233">
        <f t="shared" si="3"/>
        <v>0</v>
      </c>
      <c r="W13" s="243">
        <f t="shared" si="4"/>
        <v>14.5</v>
      </c>
      <c r="X13" s="233">
        <f t="shared" si="5"/>
        <v>0.76789573827816682</v>
      </c>
      <c r="Y13" s="233">
        <f t="shared" si="6"/>
        <v>0.31840248485926437</v>
      </c>
      <c r="Z13" s="233">
        <f t="shared" si="7"/>
        <v>0</v>
      </c>
      <c r="AA13" s="233">
        <f t="shared" si="8"/>
        <v>0</v>
      </c>
      <c r="AB13" s="233">
        <f t="shared" si="36"/>
        <v>0.95</v>
      </c>
      <c r="AC13" s="233">
        <f t="shared" si="9"/>
        <v>0.625</v>
      </c>
      <c r="AD13" s="240">
        <f t="shared" si="10"/>
        <v>0</v>
      </c>
      <c r="AE13" s="240">
        <f t="shared" si="11"/>
        <v>0</v>
      </c>
      <c r="AF13" s="240">
        <f t="shared" si="12"/>
        <v>0</v>
      </c>
      <c r="AG13" s="240">
        <f t="shared" si="13"/>
        <v>0</v>
      </c>
      <c r="AH13" s="240">
        <f t="shared" si="14"/>
        <v>0</v>
      </c>
      <c r="AI13" s="248">
        <f t="shared" si="15"/>
        <v>0</v>
      </c>
      <c r="AK13" s="235"/>
      <c r="AL13" s="249">
        <f t="shared" si="37"/>
        <v>2029</v>
      </c>
      <c r="AM13" s="233">
        <f t="shared" si="38"/>
        <v>56</v>
      </c>
      <c r="AN13" s="233">
        <f t="shared" si="39"/>
        <v>21</v>
      </c>
      <c r="AO13" s="240">
        <f t="shared" si="40"/>
        <v>266540.39856264694</v>
      </c>
      <c r="AP13" s="233">
        <f t="shared" si="16"/>
        <v>0.73</v>
      </c>
      <c r="AQ13" s="240">
        <f t="shared" si="17"/>
        <v>51075.803874567217</v>
      </c>
      <c r="AR13" s="240">
        <f t="shared" si="18"/>
        <v>69966.854622694824</v>
      </c>
      <c r="AS13" s="233">
        <f t="shared" si="19"/>
        <v>0</v>
      </c>
      <c r="AT13" s="243">
        <f t="shared" si="20"/>
        <v>14.5</v>
      </c>
      <c r="AU13" s="233">
        <f t="shared" si="21"/>
        <v>0.76789573827816682</v>
      </c>
      <c r="AV13" s="233">
        <f t="shared" si="22"/>
        <v>0.51672044231576797</v>
      </c>
      <c r="AW13" s="233">
        <f t="shared" si="23"/>
        <v>0</v>
      </c>
      <c r="AX13" s="233">
        <f t="shared" si="24"/>
        <v>0</v>
      </c>
      <c r="AY13" s="233">
        <f t="shared" si="41"/>
        <v>0.6</v>
      </c>
      <c r="AZ13" s="233"/>
      <c r="BA13" s="233">
        <f t="shared" si="25"/>
        <v>0.7142857142857143</v>
      </c>
      <c r="BB13" s="240">
        <f t="shared" si="26"/>
        <v>0</v>
      </c>
      <c r="BC13" s="240">
        <f t="shared" si="27"/>
        <v>0</v>
      </c>
      <c r="BD13" s="242">
        <f t="shared" si="28"/>
        <v>0</v>
      </c>
      <c r="BE13" s="242">
        <f t="shared" si="29"/>
        <v>0</v>
      </c>
      <c r="BF13" s="242">
        <f t="shared" si="30"/>
        <v>0</v>
      </c>
      <c r="BG13" s="287">
        <f t="shared" si="31"/>
        <v>0</v>
      </c>
    </row>
    <row r="14" spans="1:59" ht="15.75" customHeight="1">
      <c r="A14" s="126"/>
      <c r="B14" s="284" t="s">
        <v>330</v>
      </c>
      <c r="C14" s="468" t="s">
        <v>329</v>
      </c>
      <c r="D14" s="468"/>
      <c r="E14" s="468"/>
      <c r="L14" s="250"/>
      <c r="N14"/>
      <c r="O14" s="249">
        <f t="shared" si="32"/>
        <v>2030</v>
      </c>
      <c r="P14" s="233">
        <f t="shared" si="33"/>
        <v>46</v>
      </c>
      <c r="Q14" s="233">
        <f t="shared" si="34"/>
        <v>17</v>
      </c>
      <c r="R14" s="240">
        <f t="shared" si="35"/>
        <v>93819.191425886238</v>
      </c>
      <c r="S14" s="233">
        <f t="shared" si="0"/>
        <v>0.43000000000000005</v>
      </c>
      <c r="T14" s="240">
        <f t="shared" si="1"/>
        <v>8572.7286165403566</v>
      </c>
      <c r="U14" s="240">
        <f t="shared" si="2"/>
        <v>19936.578178000826</v>
      </c>
      <c r="V14" s="233">
        <f t="shared" si="3"/>
        <v>0</v>
      </c>
      <c r="W14" s="243">
        <f t="shared" si="4"/>
        <v>14.5</v>
      </c>
      <c r="X14" s="233">
        <f t="shared" si="5"/>
        <v>0.73482845768245619</v>
      </c>
      <c r="Y14" s="233">
        <f t="shared" si="6"/>
        <v>0.31840248485926437</v>
      </c>
      <c r="Z14" s="233">
        <f t="shared" si="7"/>
        <v>0</v>
      </c>
      <c r="AA14" s="233">
        <f t="shared" si="8"/>
        <v>0</v>
      </c>
      <c r="AB14" s="233">
        <f t="shared" si="36"/>
        <v>0.95</v>
      </c>
      <c r="AC14" s="233">
        <f t="shared" si="9"/>
        <v>0.58823529411764708</v>
      </c>
      <c r="AD14" s="240">
        <f t="shared" si="10"/>
        <v>0</v>
      </c>
      <c r="AE14" s="240">
        <f t="shared" si="11"/>
        <v>0</v>
      </c>
      <c r="AF14" s="240">
        <f t="shared" si="12"/>
        <v>0</v>
      </c>
      <c r="AG14" s="240">
        <f t="shared" si="13"/>
        <v>0</v>
      </c>
      <c r="AH14" s="240">
        <f t="shared" si="14"/>
        <v>0</v>
      </c>
      <c r="AI14" s="248">
        <f t="shared" si="15"/>
        <v>0</v>
      </c>
      <c r="AK14" s="235"/>
      <c r="AL14" s="249">
        <f t="shared" si="37"/>
        <v>2030</v>
      </c>
      <c r="AM14" s="233">
        <f t="shared" si="38"/>
        <v>57</v>
      </c>
      <c r="AN14" s="233">
        <f t="shared" si="39"/>
        <v>22</v>
      </c>
      <c r="AO14" s="240">
        <f t="shared" si="40"/>
        <v>275202.96151593293</v>
      </c>
      <c r="AP14" s="233">
        <f t="shared" si="16"/>
        <v>0.76</v>
      </c>
      <c r="AQ14" s="240">
        <f t="shared" si="17"/>
        <v>57517.418956829984</v>
      </c>
      <c r="AR14" s="240">
        <f t="shared" si="18"/>
        <v>75680.814416881563</v>
      </c>
      <c r="AS14" s="233">
        <f t="shared" si="19"/>
        <v>0</v>
      </c>
      <c r="AT14" s="243">
        <f t="shared" si="20"/>
        <v>14.5</v>
      </c>
      <c r="AU14" s="233">
        <f t="shared" si="21"/>
        <v>0.73482845768245619</v>
      </c>
      <c r="AV14" s="233">
        <f t="shared" si="22"/>
        <v>0.51672044231576797</v>
      </c>
      <c r="AW14" s="233">
        <f t="shared" si="23"/>
        <v>0</v>
      </c>
      <c r="AX14" s="233">
        <f t="shared" si="24"/>
        <v>0</v>
      </c>
      <c r="AY14" s="233">
        <f t="shared" si="41"/>
        <v>0.6</v>
      </c>
      <c r="AZ14" s="233"/>
      <c r="BA14" s="233">
        <f t="shared" si="25"/>
        <v>0.68181818181818177</v>
      </c>
      <c r="BB14" s="240">
        <f t="shared" si="26"/>
        <v>0</v>
      </c>
      <c r="BC14" s="240">
        <f t="shared" si="27"/>
        <v>0</v>
      </c>
      <c r="BD14" s="242">
        <f t="shared" si="28"/>
        <v>0</v>
      </c>
      <c r="BE14" s="242">
        <f t="shared" si="29"/>
        <v>0</v>
      </c>
      <c r="BF14" s="242">
        <f t="shared" si="30"/>
        <v>0</v>
      </c>
      <c r="BG14" s="287">
        <f t="shared" si="31"/>
        <v>0</v>
      </c>
    </row>
    <row r="15" spans="1:59">
      <c r="A15" s="126"/>
      <c r="N15"/>
      <c r="O15" s="249">
        <f t="shared" si="32"/>
        <v>2031</v>
      </c>
      <c r="P15" s="233">
        <f t="shared" si="33"/>
        <v>47</v>
      </c>
      <c r="Q15" s="233">
        <f t="shared" si="34"/>
        <v>18</v>
      </c>
      <c r="R15" s="240">
        <f t="shared" si="35"/>
        <v>96868.315147227535</v>
      </c>
      <c r="S15" s="233">
        <f t="shared" si="0"/>
        <v>0.45999999999999996</v>
      </c>
      <c r="T15" s="240">
        <f t="shared" si="1"/>
        <v>10025.870617738048</v>
      </c>
      <c r="U15" s="240">
        <f t="shared" si="2"/>
        <v>21795.370908126195</v>
      </c>
      <c r="V15" s="233">
        <f t="shared" si="3"/>
        <v>0</v>
      </c>
      <c r="W15" s="243">
        <f t="shared" si="4"/>
        <v>14.5</v>
      </c>
      <c r="X15" s="233">
        <f t="shared" si="5"/>
        <v>0.70318512696885782</v>
      </c>
      <c r="Y15" s="233">
        <f t="shared" si="6"/>
        <v>0.31840248485926437</v>
      </c>
      <c r="Z15" s="233">
        <f t="shared" si="7"/>
        <v>0</v>
      </c>
      <c r="AA15" s="233">
        <f t="shared" si="8"/>
        <v>0</v>
      </c>
      <c r="AB15" s="233">
        <f t="shared" si="36"/>
        <v>0.95</v>
      </c>
      <c r="AC15" s="233">
        <f t="shared" si="9"/>
        <v>0.55555555555555558</v>
      </c>
      <c r="AD15" s="240">
        <f t="shared" si="10"/>
        <v>0</v>
      </c>
      <c r="AE15" s="240">
        <f t="shared" si="11"/>
        <v>0</v>
      </c>
      <c r="AF15" s="240">
        <f t="shared" si="12"/>
        <v>0</v>
      </c>
      <c r="AG15" s="240">
        <f t="shared" si="13"/>
        <v>0</v>
      </c>
      <c r="AH15" s="240">
        <f t="shared" si="14"/>
        <v>0</v>
      </c>
      <c r="AI15" s="248">
        <f t="shared" si="15"/>
        <v>0</v>
      </c>
      <c r="AK15" s="235"/>
      <c r="AL15" s="249">
        <f t="shared" si="37"/>
        <v>2031</v>
      </c>
      <c r="AM15" s="233">
        <f t="shared" si="38"/>
        <v>58</v>
      </c>
      <c r="AN15" s="233">
        <f t="shared" si="39"/>
        <v>23</v>
      </c>
      <c r="AO15" s="240">
        <f t="shared" si="40"/>
        <v>284147.05776520073</v>
      </c>
      <c r="AP15" s="233">
        <f t="shared" si="16"/>
        <v>0.79</v>
      </c>
      <c r="AQ15" s="240">
        <f t="shared" si="17"/>
        <v>64536.900494921225</v>
      </c>
      <c r="AR15" s="240">
        <f t="shared" si="18"/>
        <v>81692.279107495211</v>
      </c>
      <c r="AS15" s="233">
        <f t="shared" si="19"/>
        <v>0</v>
      </c>
      <c r="AT15" s="243">
        <f t="shared" si="20"/>
        <v>14.5</v>
      </c>
      <c r="AU15" s="233">
        <f t="shared" si="21"/>
        <v>0.70318512696885782</v>
      </c>
      <c r="AV15" s="233">
        <f t="shared" si="22"/>
        <v>0.51672044231576797</v>
      </c>
      <c r="AW15" s="233">
        <f t="shared" si="23"/>
        <v>0</v>
      </c>
      <c r="AX15" s="233">
        <f t="shared" si="24"/>
        <v>0</v>
      </c>
      <c r="AY15" s="233">
        <f t="shared" si="41"/>
        <v>0.6</v>
      </c>
      <c r="AZ15" s="233"/>
      <c r="BA15" s="233">
        <f t="shared" si="25"/>
        <v>0.65217391304347827</v>
      </c>
      <c r="BB15" s="240">
        <f t="shared" si="26"/>
        <v>0</v>
      </c>
      <c r="BC15" s="240">
        <f t="shared" si="27"/>
        <v>0</v>
      </c>
      <c r="BD15" s="242">
        <f t="shared" si="28"/>
        <v>0</v>
      </c>
      <c r="BE15" s="242">
        <f t="shared" si="29"/>
        <v>0</v>
      </c>
      <c r="BF15" s="242">
        <f t="shared" si="30"/>
        <v>0</v>
      </c>
      <c r="BG15" s="287">
        <f t="shared" si="31"/>
        <v>0</v>
      </c>
    </row>
    <row r="16" spans="1:59">
      <c r="A16" s="126"/>
      <c r="B16" s="278" t="s">
        <v>328</v>
      </c>
      <c r="L16" s="234"/>
      <c r="N16"/>
      <c r="O16" s="249">
        <f t="shared" si="32"/>
        <v>2032</v>
      </c>
      <c r="P16" s="233">
        <f t="shared" si="33"/>
        <v>48</v>
      </c>
      <c r="Q16" s="233">
        <f t="shared" si="34"/>
        <v>19</v>
      </c>
      <c r="R16" s="240">
        <f t="shared" si="35"/>
        <v>100016.53538951243</v>
      </c>
      <c r="S16" s="233">
        <f t="shared" si="0"/>
        <v>0.49</v>
      </c>
      <c r="T16" s="240">
        <f t="shared" si="1"/>
        <v>11639.424305954508</v>
      </c>
      <c r="U16" s="240">
        <f t="shared" si="2"/>
        <v>23753.927155009202</v>
      </c>
      <c r="V16" s="233">
        <f t="shared" si="3"/>
        <v>0</v>
      </c>
      <c r="W16" s="243">
        <f t="shared" si="4"/>
        <v>14.5</v>
      </c>
      <c r="X16" s="233">
        <f t="shared" si="5"/>
        <v>0.67290442772139514</v>
      </c>
      <c r="Y16" s="233">
        <f t="shared" si="6"/>
        <v>0.31840248485926437</v>
      </c>
      <c r="Z16" s="233">
        <f t="shared" si="7"/>
        <v>0</v>
      </c>
      <c r="AA16" s="233">
        <f t="shared" si="8"/>
        <v>0</v>
      </c>
      <c r="AB16" s="233">
        <f t="shared" si="36"/>
        <v>0.95</v>
      </c>
      <c r="AC16" s="233">
        <f t="shared" si="9"/>
        <v>0.52631578947368418</v>
      </c>
      <c r="AD16" s="240">
        <f t="shared" si="10"/>
        <v>0</v>
      </c>
      <c r="AE16" s="240">
        <f t="shared" si="11"/>
        <v>0</v>
      </c>
      <c r="AF16" s="240">
        <f t="shared" si="12"/>
        <v>0</v>
      </c>
      <c r="AG16" s="240">
        <f t="shared" si="13"/>
        <v>0</v>
      </c>
      <c r="AH16" s="240">
        <f t="shared" si="14"/>
        <v>0</v>
      </c>
      <c r="AI16" s="248">
        <f t="shared" si="15"/>
        <v>0</v>
      </c>
      <c r="AK16" s="235"/>
      <c r="AL16" s="249">
        <f t="shared" si="37"/>
        <v>2032</v>
      </c>
      <c r="AM16" s="233">
        <f t="shared" si="38"/>
        <v>59</v>
      </c>
      <c r="AN16" s="233">
        <f t="shared" si="39"/>
        <v>24</v>
      </c>
      <c r="AO16" s="240">
        <f t="shared" si="40"/>
        <v>293381.83714256977</v>
      </c>
      <c r="AP16" s="233">
        <f t="shared" si="16"/>
        <v>0.82000000000000006</v>
      </c>
      <c r="AQ16" s="240">
        <f t="shared" si="17"/>
        <v>72171.931937072179</v>
      </c>
      <c r="AR16" s="240">
        <f t="shared" si="18"/>
        <v>88014.551142770943</v>
      </c>
      <c r="AS16" s="233">
        <f t="shared" si="19"/>
        <v>0</v>
      </c>
      <c r="AT16" s="243">
        <f t="shared" si="20"/>
        <v>14.5</v>
      </c>
      <c r="AU16" s="233">
        <f t="shared" si="21"/>
        <v>0.67290442772139514</v>
      </c>
      <c r="AV16" s="233">
        <f t="shared" si="22"/>
        <v>0.51672044231576797</v>
      </c>
      <c r="AW16" s="233">
        <f t="shared" si="23"/>
        <v>0</v>
      </c>
      <c r="AX16" s="233">
        <f t="shared" si="24"/>
        <v>0</v>
      </c>
      <c r="AY16" s="233">
        <f t="shared" si="41"/>
        <v>0.6</v>
      </c>
      <c r="AZ16" s="233"/>
      <c r="BA16" s="233">
        <f t="shared" si="25"/>
        <v>0.625</v>
      </c>
      <c r="BB16" s="240">
        <f t="shared" si="26"/>
        <v>0</v>
      </c>
      <c r="BC16" s="240">
        <f t="shared" si="27"/>
        <v>0</v>
      </c>
      <c r="BD16" s="242">
        <f t="shared" si="28"/>
        <v>0</v>
      </c>
      <c r="BE16" s="242">
        <f t="shared" si="29"/>
        <v>0</v>
      </c>
      <c r="BF16" s="242">
        <f t="shared" si="30"/>
        <v>0</v>
      </c>
      <c r="BG16" s="287">
        <f t="shared" si="31"/>
        <v>0</v>
      </c>
    </row>
    <row r="17" spans="1:59">
      <c r="A17" s="126"/>
      <c r="B17" s="277"/>
      <c r="L17" s="250"/>
      <c r="N17"/>
      <c r="O17" s="249">
        <f t="shared" si="32"/>
        <v>2033</v>
      </c>
      <c r="P17" s="233">
        <f t="shared" si="33"/>
        <v>49</v>
      </c>
      <c r="Q17" s="233">
        <f t="shared" si="34"/>
        <v>20</v>
      </c>
      <c r="R17" s="240">
        <f t="shared" si="35"/>
        <v>103267.07278967158</v>
      </c>
      <c r="S17" s="233">
        <f t="shared" si="0"/>
        <v>0.52</v>
      </c>
      <c r="T17" s="240">
        <f t="shared" si="1"/>
        <v>13424.719462657305</v>
      </c>
      <c r="U17" s="240">
        <f t="shared" si="2"/>
        <v>25816.768197417896</v>
      </c>
      <c r="V17" s="233">
        <f t="shared" si="3"/>
        <v>0</v>
      </c>
      <c r="W17" s="243">
        <f t="shared" si="4"/>
        <v>14.5</v>
      </c>
      <c r="X17" s="233">
        <f t="shared" si="5"/>
        <v>0.64392768203004325</v>
      </c>
      <c r="Y17" s="233">
        <f t="shared" si="6"/>
        <v>0.31840248485926437</v>
      </c>
      <c r="Z17" s="233">
        <f t="shared" si="7"/>
        <v>0</v>
      </c>
      <c r="AA17" s="233">
        <f t="shared" si="8"/>
        <v>0</v>
      </c>
      <c r="AB17" s="233">
        <f t="shared" si="36"/>
        <v>0.95</v>
      </c>
      <c r="AC17" s="233">
        <f t="shared" si="9"/>
        <v>0.5</v>
      </c>
      <c r="AD17" s="240">
        <f t="shared" si="10"/>
        <v>0</v>
      </c>
      <c r="AE17" s="240">
        <f t="shared" si="11"/>
        <v>0</v>
      </c>
      <c r="AF17" s="240">
        <f t="shared" si="12"/>
        <v>0</v>
      </c>
      <c r="AG17" s="240">
        <f t="shared" si="13"/>
        <v>0</v>
      </c>
      <c r="AH17" s="240">
        <f t="shared" si="14"/>
        <v>0</v>
      </c>
      <c r="AI17" s="248">
        <f t="shared" si="15"/>
        <v>0</v>
      </c>
      <c r="AK17" s="235"/>
      <c r="AL17" s="249">
        <f t="shared" si="37"/>
        <v>2033</v>
      </c>
      <c r="AM17" s="233">
        <f t="shared" si="38"/>
        <v>60</v>
      </c>
      <c r="AN17" s="233">
        <f t="shared" si="39"/>
        <v>25</v>
      </c>
      <c r="AO17" s="240">
        <f t="shared" si="40"/>
        <v>302916.74684970325</v>
      </c>
      <c r="AP17" s="233">
        <f t="shared" si="16"/>
        <v>0.85</v>
      </c>
      <c r="AQ17" s="240">
        <f t="shared" si="17"/>
        <v>80462.260881952432</v>
      </c>
      <c r="AR17" s="240">
        <f t="shared" si="18"/>
        <v>94661.483390532274</v>
      </c>
      <c r="AS17" s="233">
        <f t="shared" si="19"/>
        <v>0</v>
      </c>
      <c r="AT17" s="243">
        <f t="shared" si="20"/>
        <v>14.5</v>
      </c>
      <c r="AU17" s="233">
        <f t="shared" si="21"/>
        <v>0.64392768203004325</v>
      </c>
      <c r="AV17" s="233">
        <f t="shared" si="22"/>
        <v>0.51672044231576797</v>
      </c>
      <c r="AW17" s="233">
        <f t="shared" si="23"/>
        <v>0</v>
      </c>
      <c r="AX17" s="233">
        <f t="shared" si="24"/>
        <v>0</v>
      </c>
      <c r="AY17" s="233">
        <f t="shared" si="41"/>
        <v>0.6</v>
      </c>
      <c r="AZ17" s="233"/>
      <c r="BA17" s="233">
        <f t="shared" si="25"/>
        <v>0.6</v>
      </c>
      <c r="BB17" s="240">
        <f t="shared" si="26"/>
        <v>0</v>
      </c>
      <c r="BC17" s="240">
        <f t="shared" si="27"/>
        <v>0</v>
      </c>
      <c r="BD17" s="242">
        <f t="shared" si="28"/>
        <v>0</v>
      </c>
      <c r="BE17" s="242">
        <f t="shared" si="29"/>
        <v>0</v>
      </c>
      <c r="BF17" s="242">
        <f t="shared" si="30"/>
        <v>0</v>
      </c>
      <c r="BG17" s="287">
        <f t="shared" si="31"/>
        <v>0</v>
      </c>
    </row>
    <row r="18" spans="1:59">
      <c r="A18" s="126"/>
      <c r="B18" s="284" t="s">
        <v>109</v>
      </c>
      <c r="C18" s="468" t="s">
        <v>327</v>
      </c>
      <c r="D18" s="468"/>
      <c r="E18" s="468"/>
      <c r="N18"/>
      <c r="O18" s="249">
        <f t="shared" si="32"/>
        <v>2034</v>
      </c>
      <c r="P18" s="233">
        <f t="shared" si="33"/>
        <v>50</v>
      </c>
      <c r="Q18" s="233">
        <f t="shared" si="34"/>
        <v>21</v>
      </c>
      <c r="R18" s="240">
        <f t="shared" si="35"/>
        <v>106623.25265533591</v>
      </c>
      <c r="S18" s="233">
        <f t="shared" si="0"/>
        <v>0.55000000000000004</v>
      </c>
      <c r="T18" s="240">
        <f t="shared" si="1"/>
        <v>15393.732102114123</v>
      </c>
      <c r="U18" s="240">
        <f t="shared" si="2"/>
        <v>27988.603822025678</v>
      </c>
      <c r="V18" s="233">
        <f t="shared" si="3"/>
        <v>0</v>
      </c>
      <c r="W18" s="243">
        <f t="shared" si="4"/>
        <v>14.5</v>
      </c>
      <c r="X18" s="233">
        <f t="shared" si="5"/>
        <v>0.61619873878473042</v>
      </c>
      <c r="Y18" s="233">
        <f t="shared" si="6"/>
        <v>0.31840248485926437</v>
      </c>
      <c r="Z18" s="233">
        <f t="shared" si="7"/>
        <v>0</v>
      </c>
      <c r="AA18" s="233">
        <f t="shared" si="8"/>
        <v>0</v>
      </c>
      <c r="AB18" s="233">
        <f t="shared" si="36"/>
        <v>0.95</v>
      </c>
      <c r="AC18" s="233">
        <f t="shared" si="9"/>
        <v>0.47619047619047616</v>
      </c>
      <c r="AD18" s="240">
        <f t="shared" si="10"/>
        <v>0</v>
      </c>
      <c r="AE18" s="240">
        <f t="shared" si="11"/>
        <v>0</v>
      </c>
      <c r="AF18" s="240">
        <f t="shared" si="12"/>
        <v>0</v>
      </c>
      <c r="AG18" s="240">
        <f t="shared" si="13"/>
        <v>0</v>
      </c>
      <c r="AH18" s="240">
        <f t="shared" si="14"/>
        <v>0</v>
      </c>
      <c r="AI18" s="248">
        <f t="shared" si="15"/>
        <v>0</v>
      </c>
      <c r="AK18" s="235"/>
      <c r="AL18" s="249">
        <f t="shared" si="37"/>
        <v>2034</v>
      </c>
      <c r="AM18" s="233">
        <f t="shared" si="38"/>
        <v>61</v>
      </c>
      <c r="AN18" s="233">
        <f t="shared" si="39"/>
        <v>26</v>
      </c>
      <c r="AO18" s="240">
        <f t="shared" si="40"/>
        <v>312761.54112231859</v>
      </c>
      <c r="AP18" s="233">
        <f t="shared" si="16"/>
        <v>0.88</v>
      </c>
      <c r="AQ18" s="240">
        <f t="shared" si="17"/>
        <v>89449.800760983126</v>
      </c>
      <c r="AR18" s="240">
        <f t="shared" si="18"/>
        <v>101647.50086475354</v>
      </c>
      <c r="AS18" s="233">
        <f t="shared" si="19"/>
        <v>0</v>
      </c>
      <c r="AT18" s="243">
        <f t="shared" si="20"/>
        <v>14.5</v>
      </c>
      <c r="AU18" s="233">
        <f t="shared" si="21"/>
        <v>0.61619873878473042</v>
      </c>
      <c r="AV18" s="233">
        <f t="shared" si="22"/>
        <v>0.51672044231576797</v>
      </c>
      <c r="AW18" s="233">
        <f t="shared" si="23"/>
        <v>0</v>
      </c>
      <c r="AX18" s="233">
        <f t="shared" si="24"/>
        <v>0</v>
      </c>
      <c r="AY18" s="233">
        <f t="shared" si="41"/>
        <v>0.6</v>
      </c>
      <c r="AZ18" s="233"/>
      <c r="BA18" s="233">
        <f t="shared" si="25"/>
        <v>0.57692307692307687</v>
      </c>
      <c r="BB18" s="240">
        <f t="shared" si="26"/>
        <v>0</v>
      </c>
      <c r="BC18" s="240">
        <f t="shared" si="27"/>
        <v>0</v>
      </c>
      <c r="BD18" s="242">
        <f t="shared" si="28"/>
        <v>0</v>
      </c>
      <c r="BE18" s="242">
        <f t="shared" si="29"/>
        <v>0</v>
      </c>
      <c r="BF18" s="242">
        <f t="shared" si="30"/>
        <v>0</v>
      </c>
      <c r="BG18" s="287">
        <f t="shared" si="31"/>
        <v>0</v>
      </c>
    </row>
    <row r="19" spans="1:59">
      <c r="A19" s="126"/>
      <c r="B19" s="284" t="s">
        <v>326</v>
      </c>
      <c r="C19" s="468" t="s">
        <v>325</v>
      </c>
      <c r="D19" s="468"/>
      <c r="E19" s="468"/>
      <c r="L19" s="234"/>
      <c r="N19"/>
      <c r="O19" s="249">
        <f t="shared" si="32"/>
        <v>2035</v>
      </c>
      <c r="P19" s="233">
        <f t="shared" si="33"/>
        <v>51</v>
      </c>
      <c r="Q19" s="233">
        <f t="shared" si="34"/>
        <v>22</v>
      </c>
      <c r="R19" s="240">
        <f t="shared" si="35"/>
        <v>110088.50836663431</v>
      </c>
      <c r="S19" s="233">
        <f t="shared" si="0"/>
        <v>0.58000000000000007</v>
      </c>
      <c r="T19" s="240">
        <f t="shared" si="1"/>
        <v>17559.117084478177</v>
      </c>
      <c r="U19" s="240">
        <f t="shared" si="2"/>
        <v>30274.33980082444</v>
      </c>
      <c r="V19" s="233">
        <f t="shared" si="3"/>
        <v>0</v>
      </c>
      <c r="W19" s="243">
        <f t="shared" si="4"/>
        <v>14.5</v>
      </c>
      <c r="X19" s="233">
        <f t="shared" si="5"/>
        <v>0.58966386486577083</v>
      </c>
      <c r="Y19" s="233">
        <f t="shared" si="6"/>
        <v>0.31840248485926437</v>
      </c>
      <c r="Z19" s="233">
        <f t="shared" si="7"/>
        <v>0</v>
      </c>
      <c r="AA19" s="233">
        <f t="shared" si="8"/>
        <v>0</v>
      </c>
      <c r="AB19" s="233">
        <f t="shared" si="36"/>
        <v>0.95</v>
      </c>
      <c r="AC19" s="233">
        <f t="shared" si="9"/>
        <v>0.45454545454545453</v>
      </c>
      <c r="AD19" s="240">
        <f t="shared" si="10"/>
        <v>0</v>
      </c>
      <c r="AE19" s="240">
        <f t="shared" si="11"/>
        <v>0</v>
      </c>
      <c r="AF19" s="240">
        <f t="shared" si="12"/>
        <v>0</v>
      </c>
      <c r="AG19" s="240">
        <f t="shared" si="13"/>
        <v>0</v>
      </c>
      <c r="AH19" s="240">
        <f t="shared" si="14"/>
        <v>0</v>
      </c>
      <c r="AI19" s="248">
        <f t="shared" si="15"/>
        <v>0</v>
      </c>
      <c r="AK19" s="235"/>
      <c r="AL19" s="249">
        <f t="shared" si="37"/>
        <v>2035</v>
      </c>
      <c r="AM19" s="233">
        <f t="shared" si="38"/>
        <v>62</v>
      </c>
      <c r="AN19" s="233">
        <f t="shared" si="39"/>
        <v>27</v>
      </c>
      <c r="AO19" s="240">
        <f t="shared" si="40"/>
        <v>322926.29120879393</v>
      </c>
      <c r="AP19" s="233">
        <f t="shared" si="16"/>
        <v>0.91</v>
      </c>
      <c r="AQ19" s="240">
        <f t="shared" si="17"/>
        <v>99178.737187500839</v>
      </c>
      <c r="AR19" s="240">
        <f t="shared" si="18"/>
        <v>108987.62328296796</v>
      </c>
      <c r="AS19" s="233">
        <f t="shared" si="19"/>
        <v>0</v>
      </c>
      <c r="AT19" s="243">
        <f t="shared" si="20"/>
        <v>14.5</v>
      </c>
      <c r="AU19" s="233">
        <f t="shared" si="21"/>
        <v>0.58966386486577083</v>
      </c>
      <c r="AV19" s="233">
        <f t="shared" si="22"/>
        <v>0.51672044231576797</v>
      </c>
      <c r="AW19" s="233">
        <f t="shared" si="23"/>
        <v>0</v>
      </c>
      <c r="AX19" s="233">
        <f t="shared" si="24"/>
        <v>0</v>
      </c>
      <c r="AY19" s="233">
        <f t="shared" si="41"/>
        <v>0.6</v>
      </c>
      <c r="AZ19" s="233"/>
      <c r="BA19" s="233">
        <f t="shared" si="25"/>
        <v>0.55555555555555558</v>
      </c>
      <c r="BB19" s="240">
        <f t="shared" si="26"/>
        <v>0</v>
      </c>
      <c r="BC19" s="240">
        <f t="shared" si="27"/>
        <v>0</v>
      </c>
      <c r="BD19" s="242">
        <f t="shared" si="28"/>
        <v>0</v>
      </c>
      <c r="BE19" s="242">
        <f t="shared" si="29"/>
        <v>0</v>
      </c>
      <c r="BF19" s="242">
        <f t="shared" si="30"/>
        <v>0</v>
      </c>
      <c r="BG19" s="287">
        <f t="shared" si="31"/>
        <v>0</v>
      </c>
    </row>
    <row r="20" spans="1:59">
      <c r="A20" s="126"/>
      <c r="B20" s="284" t="s">
        <v>324</v>
      </c>
      <c r="C20" s="468" t="s">
        <v>323</v>
      </c>
      <c r="D20" s="468"/>
      <c r="E20" s="468"/>
      <c r="L20" s="288"/>
      <c r="N20"/>
      <c r="O20" s="249">
        <f t="shared" si="32"/>
        <v>2036</v>
      </c>
      <c r="P20" s="233">
        <f t="shared" si="33"/>
        <v>52</v>
      </c>
      <c r="Q20" s="233">
        <f t="shared" si="34"/>
        <v>23</v>
      </c>
      <c r="R20" s="240">
        <f t="shared" si="35"/>
        <v>113666.38488854993</v>
      </c>
      <c r="S20" s="233">
        <f t="shared" si="0"/>
        <v>0.61</v>
      </c>
      <c r="T20" s="240">
        <f t="shared" si="1"/>
        <v>19934.242249829447</v>
      </c>
      <c r="U20" s="240">
        <f t="shared" si="2"/>
        <v>32679.085655458111</v>
      </c>
      <c r="V20" s="233">
        <f t="shared" si="3"/>
        <v>0</v>
      </c>
      <c r="W20" s="243">
        <f t="shared" si="4"/>
        <v>14.5</v>
      </c>
      <c r="X20" s="233">
        <f t="shared" si="5"/>
        <v>0.56427164101987637</v>
      </c>
      <c r="Y20" s="233">
        <f t="shared" si="6"/>
        <v>0.31840248485926437</v>
      </c>
      <c r="Z20" s="233">
        <f t="shared" si="7"/>
        <v>0</v>
      </c>
      <c r="AA20" s="233">
        <f t="shared" si="8"/>
        <v>0</v>
      </c>
      <c r="AB20" s="233">
        <f t="shared" si="36"/>
        <v>0.95</v>
      </c>
      <c r="AC20" s="233">
        <f t="shared" si="9"/>
        <v>0.43478260869565216</v>
      </c>
      <c r="AD20" s="240">
        <f t="shared" si="10"/>
        <v>0</v>
      </c>
      <c r="AE20" s="240">
        <f t="shared" si="11"/>
        <v>0</v>
      </c>
      <c r="AF20" s="240">
        <f t="shared" si="12"/>
        <v>0</v>
      </c>
      <c r="AG20" s="240">
        <f t="shared" si="13"/>
        <v>0</v>
      </c>
      <c r="AH20" s="240">
        <f t="shared" si="14"/>
        <v>0</v>
      </c>
      <c r="AI20" s="248">
        <f t="shared" si="15"/>
        <v>0</v>
      </c>
      <c r="AK20" s="235"/>
      <c r="AL20" s="249">
        <f t="shared" si="37"/>
        <v>2036</v>
      </c>
      <c r="AM20" s="233">
        <f t="shared" si="38"/>
        <v>63</v>
      </c>
      <c r="AN20" s="233">
        <f t="shared" si="39"/>
        <v>28</v>
      </c>
      <c r="AO20" s="240">
        <f t="shared" si="40"/>
        <v>333421.39567307971</v>
      </c>
      <c r="AP20" s="233">
        <f t="shared" si="16"/>
        <v>0.94</v>
      </c>
      <c r="AQ20" s="240">
        <f t="shared" si="17"/>
        <v>109695.63917644322</v>
      </c>
      <c r="AR20" s="240">
        <f t="shared" si="18"/>
        <v>116697.48848557791</v>
      </c>
      <c r="AS20" s="233">
        <f t="shared" si="19"/>
        <v>0</v>
      </c>
      <c r="AT20" s="243">
        <f t="shared" si="20"/>
        <v>14.5</v>
      </c>
      <c r="AU20" s="233">
        <f t="shared" si="21"/>
        <v>0.56427164101987637</v>
      </c>
      <c r="AV20" s="233">
        <f t="shared" si="22"/>
        <v>0.51672044231576797</v>
      </c>
      <c r="AW20" s="233">
        <f t="shared" si="23"/>
        <v>0</v>
      </c>
      <c r="AX20" s="233">
        <f t="shared" si="24"/>
        <v>0</v>
      </c>
      <c r="AY20" s="233">
        <f t="shared" si="41"/>
        <v>0.6</v>
      </c>
      <c r="AZ20" s="233"/>
      <c r="BA20" s="233">
        <f t="shared" si="25"/>
        <v>0.5357142857142857</v>
      </c>
      <c r="BB20" s="240">
        <f t="shared" si="26"/>
        <v>0</v>
      </c>
      <c r="BC20" s="240">
        <f t="shared" si="27"/>
        <v>0</v>
      </c>
      <c r="BD20" s="242">
        <f t="shared" si="28"/>
        <v>0</v>
      </c>
      <c r="BE20" s="242">
        <f t="shared" si="29"/>
        <v>0</v>
      </c>
      <c r="BF20" s="242">
        <f t="shared" si="30"/>
        <v>0</v>
      </c>
      <c r="BG20" s="287">
        <f t="shared" si="31"/>
        <v>0</v>
      </c>
    </row>
    <row r="21" spans="1:59">
      <c r="A21" s="126"/>
      <c r="B21" s="284" t="s">
        <v>322</v>
      </c>
      <c r="C21" s="468" t="s">
        <v>321</v>
      </c>
      <c r="D21" s="468"/>
      <c r="E21" s="468"/>
      <c r="L21" s="250"/>
      <c r="N21"/>
      <c r="O21" s="249">
        <f t="shared" si="32"/>
        <v>2037</v>
      </c>
      <c r="P21" s="233">
        <f t="shared" si="33"/>
        <v>53</v>
      </c>
      <c r="Q21" s="233">
        <f t="shared" si="34"/>
        <v>24</v>
      </c>
      <c r="R21" s="240">
        <f t="shared" si="35"/>
        <v>117360.54239742779</v>
      </c>
      <c r="S21" s="233">
        <f t="shared" si="0"/>
        <v>0.64</v>
      </c>
      <c r="T21" s="240">
        <f t="shared" si="1"/>
        <v>22533.224140306138</v>
      </c>
      <c r="U21" s="240">
        <f t="shared" si="2"/>
        <v>35208.162719228341</v>
      </c>
      <c r="V21" s="233">
        <f t="shared" si="3"/>
        <v>0</v>
      </c>
      <c r="W21" s="243">
        <f t="shared" si="4"/>
        <v>14.5</v>
      </c>
      <c r="X21" s="233">
        <f t="shared" si="5"/>
        <v>0.53997286221997753</v>
      </c>
      <c r="Y21" s="233">
        <f t="shared" si="6"/>
        <v>0.31840248485926437</v>
      </c>
      <c r="Z21" s="233">
        <f t="shared" si="7"/>
        <v>0</v>
      </c>
      <c r="AA21" s="233">
        <f t="shared" si="8"/>
        <v>0</v>
      </c>
      <c r="AB21" s="233">
        <f t="shared" si="36"/>
        <v>0.95</v>
      </c>
      <c r="AC21" s="233">
        <f t="shared" si="9"/>
        <v>0.41666666666666669</v>
      </c>
      <c r="AD21" s="240">
        <f t="shared" si="10"/>
        <v>0</v>
      </c>
      <c r="AE21" s="240">
        <f t="shared" si="11"/>
        <v>0</v>
      </c>
      <c r="AF21" s="240">
        <f t="shared" si="12"/>
        <v>0</v>
      </c>
      <c r="AG21" s="240">
        <f t="shared" si="13"/>
        <v>0</v>
      </c>
      <c r="AH21" s="240">
        <f t="shared" si="14"/>
        <v>0</v>
      </c>
      <c r="AI21" s="248">
        <f t="shared" si="15"/>
        <v>0</v>
      </c>
      <c r="AK21" s="235"/>
      <c r="AL21" s="249">
        <f t="shared" si="37"/>
        <v>2037</v>
      </c>
      <c r="AM21" s="233">
        <f t="shared" si="38"/>
        <v>64</v>
      </c>
      <c r="AN21" s="233">
        <f t="shared" si="39"/>
        <v>29</v>
      </c>
      <c r="AO21" s="240">
        <f t="shared" si="40"/>
        <v>344257.5910324548</v>
      </c>
      <c r="AP21" s="233">
        <f t="shared" si="16"/>
        <v>0.97</v>
      </c>
      <c r="AQ21" s="240">
        <f t="shared" si="17"/>
        <v>121049.57544678693</v>
      </c>
      <c r="AR21" s="240">
        <f t="shared" si="18"/>
        <v>124793.37674926486</v>
      </c>
      <c r="AS21" s="233">
        <f t="shared" si="19"/>
        <v>0</v>
      </c>
      <c r="AT21" s="243">
        <f t="shared" si="20"/>
        <v>14.5</v>
      </c>
      <c r="AU21" s="233">
        <f t="shared" si="21"/>
        <v>0.53997286221997753</v>
      </c>
      <c r="AV21" s="233">
        <f t="shared" si="22"/>
        <v>0.51672044231576797</v>
      </c>
      <c r="AW21" s="233">
        <f t="shared" si="23"/>
        <v>0</v>
      </c>
      <c r="AX21" s="233">
        <f t="shared" si="24"/>
        <v>0</v>
      </c>
      <c r="AY21" s="233">
        <f t="shared" si="41"/>
        <v>0.6</v>
      </c>
      <c r="AZ21" s="233"/>
      <c r="BA21" s="233">
        <f t="shared" si="25"/>
        <v>0.51724137931034486</v>
      </c>
      <c r="BB21" s="240">
        <f t="shared" si="26"/>
        <v>0</v>
      </c>
      <c r="BC21" s="240">
        <f t="shared" si="27"/>
        <v>0</v>
      </c>
      <c r="BD21" s="242">
        <f t="shared" si="28"/>
        <v>0</v>
      </c>
      <c r="BE21" s="242">
        <f t="shared" si="29"/>
        <v>0</v>
      </c>
      <c r="BF21" s="242">
        <f t="shared" si="30"/>
        <v>0</v>
      </c>
      <c r="BG21" s="287">
        <f t="shared" si="31"/>
        <v>0</v>
      </c>
    </row>
    <row r="22" spans="1:59">
      <c r="A22" s="126"/>
      <c r="B22" s="284" t="s">
        <v>114</v>
      </c>
      <c r="C22" s="468" t="s">
        <v>320</v>
      </c>
      <c r="D22" s="468"/>
      <c r="E22" s="468"/>
      <c r="L22" s="250"/>
      <c r="N22"/>
      <c r="O22" s="249">
        <f t="shared" si="32"/>
        <v>2038</v>
      </c>
      <c r="P22" s="233">
        <f t="shared" si="33"/>
        <v>54</v>
      </c>
      <c r="Q22" s="233">
        <f t="shared" si="34"/>
        <v>25</v>
      </c>
      <c r="R22" s="240">
        <f t="shared" si="35"/>
        <v>121174.76002534419</v>
      </c>
      <c r="S22" s="233">
        <f t="shared" si="0"/>
        <v>0.67</v>
      </c>
      <c r="T22" s="240">
        <f t="shared" si="1"/>
        <v>25370.965380306443</v>
      </c>
      <c r="U22" s="240">
        <f t="shared" si="2"/>
        <v>37867.112507920065</v>
      </c>
      <c r="V22" s="233">
        <f t="shared" si="3"/>
        <v>0</v>
      </c>
      <c r="W22" s="243">
        <f t="shared" si="4"/>
        <v>14.5</v>
      </c>
      <c r="X22" s="233">
        <f t="shared" si="5"/>
        <v>0.51672044231576797</v>
      </c>
      <c r="Y22" s="233">
        <f t="shared" si="6"/>
        <v>0.31840248485926437</v>
      </c>
      <c r="Z22" s="233">
        <f t="shared" si="7"/>
        <v>0</v>
      </c>
      <c r="AA22" s="233">
        <f t="shared" si="8"/>
        <v>0</v>
      </c>
      <c r="AB22" s="233">
        <f t="shared" si="36"/>
        <v>0.95</v>
      </c>
      <c r="AC22" s="233">
        <f t="shared" si="9"/>
        <v>0.4</v>
      </c>
      <c r="AD22" s="240">
        <f t="shared" si="10"/>
        <v>0</v>
      </c>
      <c r="AE22" s="240">
        <f t="shared" si="11"/>
        <v>0</v>
      </c>
      <c r="AF22" s="240">
        <f t="shared" si="12"/>
        <v>0</v>
      </c>
      <c r="AG22" s="240">
        <f t="shared" si="13"/>
        <v>0</v>
      </c>
      <c r="AH22" s="240">
        <f t="shared" si="14"/>
        <v>0</v>
      </c>
      <c r="AI22" s="248">
        <f t="shared" si="15"/>
        <v>0</v>
      </c>
      <c r="AK22" s="235"/>
      <c r="AL22" s="247">
        <f t="shared" si="37"/>
        <v>2038</v>
      </c>
      <c r="AM22" s="245">
        <f t="shared" si="38"/>
        <v>65</v>
      </c>
      <c r="AN22" s="245">
        <f t="shared" si="39"/>
        <v>30</v>
      </c>
      <c r="AO22" s="244">
        <f t="shared" si="40"/>
        <v>355445.9627410096</v>
      </c>
      <c r="AP22" s="245">
        <f t="shared" si="16"/>
        <v>1</v>
      </c>
      <c r="AQ22" s="244">
        <f t="shared" si="17"/>
        <v>133292.23602787862</v>
      </c>
      <c r="AR22" s="244">
        <f t="shared" si="18"/>
        <v>133292.23602787862</v>
      </c>
      <c r="AS22" s="245">
        <f t="shared" si="19"/>
        <v>14.5</v>
      </c>
      <c r="AT22" s="246">
        <f t="shared" si="20"/>
        <v>14.5</v>
      </c>
      <c r="AU22" s="245">
        <f t="shared" si="21"/>
        <v>0.51672044231576797</v>
      </c>
      <c r="AV22" s="245">
        <f t="shared" si="22"/>
        <v>0.51672044231576797</v>
      </c>
      <c r="AW22" s="245">
        <f t="shared" si="23"/>
        <v>1</v>
      </c>
      <c r="AX22" s="245">
        <f t="shared" si="24"/>
        <v>0</v>
      </c>
      <c r="AY22" s="245">
        <f t="shared" si="41"/>
        <v>0.6</v>
      </c>
      <c r="AZ22" s="245"/>
      <c r="BA22" s="245">
        <f t="shared" si="25"/>
        <v>0.5</v>
      </c>
      <c r="BB22" s="244">
        <f t="shared" si="26"/>
        <v>599210.96147097368</v>
      </c>
      <c r="BC22" s="244">
        <f t="shared" si="27"/>
        <v>0</v>
      </c>
      <c r="BD22" s="286">
        <f t="shared" si="28"/>
        <v>299605.48073548684</v>
      </c>
      <c r="BE22" s="286">
        <f t="shared" si="29"/>
        <v>0</v>
      </c>
      <c r="BF22" s="286">
        <f t="shared" si="30"/>
        <v>19973.698715699124</v>
      </c>
      <c r="BG22" s="285">
        <f t="shared" si="31"/>
        <v>0</v>
      </c>
    </row>
    <row r="23" spans="1:59">
      <c r="A23" s="126"/>
      <c r="B23" s="284" t="s">
        <v>319</v>
      </c>
      <c r="C23" s="468" t="s">
        <v>2</v>
      </c>
      <c r="D23" s="468"/>
      <c r="E23" s="468"/>
      <c r="L23" s="271"/>
      <c r="N23"/>
      <c r="O23" s="249">
        <f t="shared" si="32"/>
        <v>2039</v>
      </c>
      <c r="P23" s="233">
        <f t="shared" si="33"/>
        <v>55</v>
      </c>
      <c r="Q23" s="233">
        <f t="shared" si="34"/>
        <v>26</v>
      </c>
      <c r="R23" s="240">
        <f t="shared" si="35"/>
        <v>125112.93972616788</v>
      </c>
      <c r="S23" s="233">
        <f t="shared" si="0"/>
        <v>0.7</v>
      </c>
      <c r="T23" s="240">
        <f t="shared" si="1"/>
        <v>28463.193787703189</v>
      </c>
      <c r="U23" s="240">
        <f t="shared" si="2"/>
        <v>40661.705411004565</v>
      </c>
      <c r="V23" s="233">
        <f t="shared" si="3"/>
        <v>17</v>
      </c>
      <c r="W23" s="243">
        <f t="shared" si="4"/>
        <v>14.5</v>
      </c>
      <c r="X23" s="233">
        <f t="shared" si="5"/>
        <v>0.49446932279020878</v>
      </c>
      <c r="Y23" s="233">
        <f t="shared" si="6"/>
        <v>0.31840248485926437</v>
      </c>
      <c r="Z23" s="233">
        <f t="shared" si="7"/>
        <v>0.4</v>
      </c>
      <c r="AA23" s="233">
        <f t="shared" si="8"/>
        <v>0</v>
      </c>
      <c r="AB23" s="233">
        <f t="shared" si="36"/>
        <v>0.95</v>
      </c>
      <c r="AC23" s="233">
        <f t="shared" si="9"/>
        <v>0.38461538461538464</v>
      </c>
      <c r="AD23" s="240">
        <f t="shared" si="10"/>
        <v>90919.177971972385</v>
      </c>
      <c r="AE23" s="240">
        <f t="shared" si="11"/>
        <v>0</v>
      </c>
      <c r="AF23" s="240">
        <f t="shared" si="12"/>
        <v>34968.914604604768</v>
      </c>
      <c r="AG23" s="240">
        <f t="shared" si="13"/>
        <v>0</v>
      </c>
      <c r="AH23" s="240">
        <f t="shared" si="14"/>
        <v>3496.891460460477</v>
      </c>
      <c r="AI23" s="248">
        <f t="shared" si="15"/>
        <v>0</v>
      </c>
      <c r="AK23" s="235"/>
      <c r="AL23" s="233"/>
      <c r="AM23" s="233"/>
      <c r="AN23" s="233"/>
      <c r="AO23" s="240"/>
      <c r="AP23" s="233"/>
      <c r="AQ23" s="240"/>
      <c r="AR23" s="240"/>
      <c r="AS23" s="233"/>
      <c r="AT23" s="243"/>
      <c r="AU23" s="233"/>
      <c r="AV23" s="233"/>
      <c r="AW23" s="233"/>
      <c r="AX23" s="233"/>
      <c r="AY23" s="233"/>
      <c r="AZ23" s="233"/>
      <c r="BA23" s="233"/>
      <c r="BB23" s="240"/>
      <c r="BC23" s="240"/>
      <c r="BD23" s="242">
        <f>SUM(BD7:BD22)</f>
        <v>484489.6622579713</v>
      </c>
      <c r="BE23" s="242">
        <f>SUM(BE7:BE22)</f>
        <v>0</v>
      </c>
      <c r="BF23" s="242">
        <f>SUM(BF7:BF22)</f>
        <v>32299.310817198086</v>
      </c>
      <c r="BG23" s="242">
        <f>SUM(BG7:BG22)</f>
        <v>0</v>
      </c>
    </row>
    <row r="24" spans="1:59">
      <c r="A24" s="126"/>
      <c r="L24" s="250"/>
      <c r="M24" s="271"/>
      <c r="N24"/>
      <c r="O24" s="249">
        <f t="shared" si="32"/>
        <v>2040</v>
      </c>
      <c r="P24" s="233">
        <f t="shared" si="33"/>
        <v>56</v>
      </c>
      <c r="Q24" s="233">
        <f t="shared" si="34"/>
        <v>27</v>
      </c>
      <c r="R24" s="240">
        <f t="shared" si="35"/>
        <v>129179.11026726833</v>
      </c>
      <c r="S24" s="233">
        <f t="shared" si="0"/>
        <v>0.73</v>
      </c>
      <c r="T24" s="240">
        <f t="shared" si="1"/>
        <v>31826.503292098234</v>
      </c>
      <c r="U24" s="240">
        <f t="shared" si="2"/>
        <v>43597.94971520306</v>
      </c>
      <c r="V24" s="233">
        <f t="shared" si="3"/>
        <v>0</v>
      </c>
      <c r="W24" s="243">
        <f t="shared" si="4"/>
        <v>14.5</v>
      </c>
      <c r="X24" s="233">
        <f t="shared" si="5"/>
        <v>0.47317638544517582</v>
      </c>
      <c r="Y24" s="233">
        <f t="shared" si="6"/>
        <v>0.31840248485926437</v>
      </c>
      <c r="Z24" s="233">
        <f t="shared" si="7"/>
        <v>0</v>
      </c>
      <c r="AA24" s="233">
        <f t="shared" si="8"/>
        <v>0</v>
      </c>
      <c r="AB24" s="233">
        <f t="shared" si="36"/>
        <v>0.56999999999999995</v>
      </c>
      <c r="AC24" s="233">
        <f t="shared" si="9"/>
        <v>0.37037037037037035</v>
      </c>
      <c r="AD24" s="240">
        <f t="shared" si="10"/>
        <v>0</v>
      </c>
      <c r="AE24" s="240">
        <f t="shared" si="11"/>
        <v>0</v>
      </c>
      <c r="AF24" s="240">
        <f t="shared" si="12"/>
        <v>0</v>
      </c>
      <c r="AG24" s="240">
        <f t="shared" si="13"/>
        <v>0</v>
      </c>
      <c r="AH24" s="240">
        <f t="shared" si="14"/>
        <v>0</v>
      </c>
      <c r="AI24" s="248">
        <f t="shared" si="15"/>
        <v>0</v>
      </c>
      <c r="AK24" s="235"/>
      <c r="AL24" s="275" t="s">
        <v>309</v>
      </c>
      <c r="AM24" s="238">
        <f>SUM(BD23:BE23)</f>
        <v>484489.6622579713</v>
      </c>
      <c r="AN24" s="233"/>
      <c r="AO24" s="240"/>
      <c r="AP24" s="233"/>
      <c r="AQ24" s="240"/>
      <c r="AR24" s="240"/>
      <c r="AS24" s="233"/>
      <c r="AT24" s="243"/>
      <c r="AU24" s="233"/>
      <c r="AV24" s="233"/>
      <c r="AW24" s="233"/>
      <c r="AX24" s="233"/>
      <c r="AY24" s="233"/>
      <c r="AZ24" s="233"/>
      <c r="BA24" s="233"/>
      <c r="BB24" s="240"/>
      <c r="BC24" s="240"/>
      <c r="BD24" s="242"/>
      <c r="BE24" s="242"/>
      <c r="BF24" s="242"/>
      <c r="BG24" s="242"/>
    </row>
    <row r="25" spans="1:59">
      <c r="A25" s="126"/>
      <c r="B25" s="278" t="s">
        <v>318</v>
      </c>
      <c r="C25" s="278"/>
      <c r="D25" s="278"/>
      <c r="E25" s="255"/>
      <c r="F25" s="255"/>
      <c r="L25" s="234"/>
      <c r="N25"/>
      <c r="O25" s="249">
        <f t="shared" si="32"/>
        <v>2041</v>
      </c>
      <c r="P25" s="233">
        <f t="shared" si="33"/>
        <v>57</v>
      </c>
      <c r="Q25" s="233">
        <f t="shared" si="34"/>
        <v>28</v>
      </c>
      <c r="R25" s="240">
        <f t="shared" si="35"/>
        <v>133377.43135095455</v>
      </c>
      <c r="S25" s="233">
        <f t="shared" si="0"/>
        <v>0.76</v>
      </c>
      <c r="T25" s="240">
        <f t="shared" si="1"/>
        <v>35478.396739353913</v>
      </c>
      <c r="U25" s="240">
        <f t="shared" si="2"/>
        <v>46682.100972834094</v>
      </c>
      <c r="V25" s="233">
        <f t="shared" si="3"/>
        <v>0</v>
      </c>
      <c r="W25" s="243">
        <f t="shared" si="4"/>
        <v>14.5</v>
      </c>
      <c r="X25" s="233">
        <f t="shared" si="5"/>
        <v>0.45280036884705832</v>
      </c>
      <c r="Y25" s="233">
        <f t="shared" si="6"/>
        <v>0.31840248485926437</v>
      </c>
      <c r="Z25" s="233">
        <f t="shared" si="7"/>
        <v>0</v>
      </c>
      <c r="AA25" s="233">
        <f t="shared" si="8"/>
        <v>0</v>
      </c>
      <c r="AB25" s="233">
        <f t="shared" si="36"/>
        <v>0.56999999999999995</v>
      </c>
      <c r="AC25" s="233">
        <f t="shared" si="9"/>
        <v>0.35714285714285715</v>
      </c>
      <c r="AD25" s="240">
        <f t="shared" si="10"/>
        <v>0</v>
      </c>
      <c r="AE25" s="240">
        <f t="shared" si="11"/>
        <v>0</v>
      </c>
      <c r="AF25" s="240">
        <f t="shared" si="12"/>
        <v>0</v>
      </c>
      <c r="AG25" s="240">
        <f t="shared" si="13"/>
        <v>0</v>
      </c>
      <c r="AH25" s="240">
        <f t="shared" si="14"/>
        <v>0</v>
      </c>
      <c r="AI25" s="248">
        <f t="shared" si="15"/>
        <v>0</v>
      </c>
      <c r="AK25" s="235"/>
      <c r="AL25" s="273" t="s">
        <v>185</v>
      </c>
      <c r="AM25" s="236">
        <f>BF23</f>
        <v>32299.310817198086</v>
      </c>
      <c r="AN25" s="272"/>
      <c r="AO25" s="240"/>
      <c r="AP25" s="233"/>
      <c r="AQ25" s="240"/>
      <c r="AR25" s="240"/>
      <c r="AS25" s="233"/>
      <c r="AT25" s="243"/>
      <c r="AU25" s="233"/>
      <c r="AV25" s="233"/>
      <c r="AW25" s="233"/>
      <c r="AX25" s="233"/>
      <c r="AY25" s="233"/>
      <c r="AZ25" s="233"/>
      <c r="BA25" s="233"/>
      <c r="BB25" s="240"/>
      <c r="BC25" s="240"/>
      <c r="BD25" s="242"/>
      <c r="BE25" s="242"/>
      <c r="BF25" s="242"/>
      <c r="BG25" s="242"/>
    </row>
    <row r="26" spans="1:59">
      <c r="A26" s="126"/>
      <c r="B26" s="283"/>
      <c r="C26" s="283"/>
      <c r="D26" s="283"/>
      <c r="E26" s="255"/>
      <c r="F26" s="255"/>
      <c r="L26" s="250"/>
      <c r="N26"/>
      <c r="O26" s="249">
        <f t="shared" si="32"/>
        <v>2042</v>
      </c>
      <c r="P26" s="233">
        <f t="shared" si="33"/>
        <v>58</v>
      </c>
      <c r="Q26" s="233">
        <f t="shared" si="34"/>
        <v>29</v>
      </c>
      <c r="R26" s="240">
        <f t="shared" si="35"/>
        <v>137712.19786986057</v>
      </c>
      <c r="S26" s="233">
        <f t="shared" si="0"/>
        <v>0.79</v>
      </c>
      <c r="T26" s="240">
        <f t="shared" si="1"/>
        <v>39437.330664981324</v>
      </c>
      <c r="U26" s="240">
        <f t="shared" si="2"/>
        <v>49920.671727824461</v>
      </c>
      <c r="V26" s="233">
        <f t="shared" si="3"/>
        <v>0</v>
      </c>
      <c r="W26" s="243">
        <f t="shared" si="4"/>
        <v>14.5</v>
      </c>
      <c r="X26" s="233">
        <f t="shared" si="5"/>
        <v>0.43330178837039074</v>
      </c>
      <c r="Y26" s="233">
        <f t="shared" si="6"/>
        <v>0.31840248485926437</v>
      </c>
      <c r="Z26" s="233">
        <f t="shared" si="7"/>
        <v>0</v>
      </c>
      <c r="AA26" s="233">
        <f t="shared" si="8"/>
        <v>0</v>
      </c>
      <c r="AB26" s="233">
        <f t="shared" si="36"/>
        <v>0.56999999999999995</v>
      </c>
      <c r="AC26" s="233">
        <f t="shared" si="9"/>
        <v>0.34482758620689657</v>
      </c>
      <c r="AD26" s="240">
        <f t="shared" si="10"/>
        <v>0</v>
      </c>
      <c r="AE26" s="240">
        <f t="shared" si="11"/>
        <v>0</v>
      </c>
      <c r="AF26" s="240">
        <f t="shared" si="12"/>
        <v>0</v>
      </c>
      <c r="AG26" s="240">
        <f t="shared" si="13"/>
        <v>0</v>
      </c>
      <c r="AH26" s="240">
        <f t="shared" si="14"/>
        <v>0</v>
      </c>
      <c r="AI26" s="248">
        <f t="shared" si="15"/>
        <v>0</v>
      </c>
      <c r="AK26" s="235"/>
      <c r="AL26" s="233"/>
      <c r="AM26" s="233"/>
      <c r="AN26" s="233"/>
      <c r="AO26" s="240"/>
      <c r="AP26" s="233"/>
      <c r="AQ26" s="240"/>
      <c r="AR26" s="240"/>
      <c r="AS26" s="233"/>
      <c r="AT26" s="243"/>
      <c r="AU26" s="233"/>
      <c r="AV26" s="233"/>
      <c r="AW26" s="233"/>
      <c r="AX26" s="233"/>
      <c r="AY26" s="233"/>
      <c r="AZ26" s="233"/>
      <c r="BA26" s="233"/>
      <c r="BB26" s="240"/>
      <c r="BC26" s="240"/>
      <c r="BD26" s="242"/>
      <c r="BE26" s="242"/>
      <c r="BF26" s="242"/>
      <c r="BG26" s="242"/>
    </row>
    <row r="27" spans="1:59" ht="31.5">
      <c r="A27" s="126"/>
      <c r="B27" s="279"/>
      <c r="C27" s="282" t="s">
        <v>304</v>
      </c>
      <c r="D27" s="282" t="s">
        <v>303</v>
      </c>
      <c r="E27" s="255"/>
      <c r="F27" s="255"/>
      <c r="L27" s="250"/>
      <c r="N27"/>
      <c r="O27" s="249">
        <f t="shared" si="32"/>
        <v>2043</v>
      </c>
      <c r="P27" s="233">
        <f t="shared" si="33"/>
        <v>59</v>
      </c>
      <c r="Q27" s="233">
        <f t="shared" si="34"/>
        <v>30</v>
      </c>
      <c r="R27" s="240">
        <f t="shared" si="35"/>
        <v>142187.84430063103</v>
      </c>
      <c r="S27" s="233">
        <f t="shared" si="0"/>
        <v>0.82000000000000006</v>
      </c>
      <c r="T27" s="240">
        <f t="shared" si="1"/>
        <v>43722.762122444052</v>
      </c>
      <c r="U27" s="240">
        <f t="shared" si="2"/>
        <v>53320.441612736642</v>
      </c>
      <c r="V27" s="233">
        <f t="shared" si="3"/>
        <v>0</v>
      </c>
      <c r="W27" s="243">
        <f t="shared" si="4"/>
        <v>14.5</v>
      </c>
      <c r="X27" s="233">
        <f t="shared" si="5"/>
        <v>0.41464285968458453</v>
      </c>
      <c r="Y27" s="233">
        <f t="shared" si="6"/>
        <v>0.31840248485926437</v>
      </c>
      <c r="Z27" s="233">
        <f t="shared" si="7"/>
        <v>0</v>
      </c>
      <c r="AA27" s="233">
        <f t="shared" si="8"/>
        <v>0</v>
      </c>
      <c r="AB27" s="233">
        <f t="shared" si="36"/>
        <v>0.56999999999999995</v>
      </c>
      <c r="AC27" s="233">
        <f t="shared" si="9"/>
        <v>0.33333333333333331</v>
      </c>
      <c r="AD27" s="240">
        <f t="shared" si="10"/>
        <v>0</v>
      </c>
      <c r="AE27" s="240">
        <f t="shared" si="11"/>
        <v>0</v>
      </c>
      <c r="AF27" s="240">
        <f t="shared" si="12"/>
        <v>0</v>
      </c>
      <c r="AG27" s="240">
        <f t="shared" si="13"/>
        <v>0</v>
      </c>
      <c r="AH27" s="240">
        <f t="shared" si="14"/>
        <v>0</v>
      </c>
      <c r="AI27" s="248">
        <f t="shared" si="15"/>
        <v>0</v>
      </c>
      <c r="AK27" s="235"/>
      <c r="AL27" s="233"/>
      <c r="AM27" s="233"/>
      <c r="AN27" s="233"/>
      <c r="AO27" s="240"/>
      <c r="AP27" s="233"/>
      <c r="AQ27" s="240"/>
      <c r="AR27" s="240"/>
      <c r="AS27" s="233"/>
      <c r="AT27" s="243"/>
      <c r="AU27" s="233"/>
      <c r="AV27" s="233"/>
      <c r="AW27" s="233"/>
      <c r="AX27" s="233"/>
      <c r="AY27" s="233"/>
      <c r="AZ27" s="233"/>
      <c r="BA27" s="233"/>
      <c r="BB27" s="240"/>
      <c r="BC27" s="240"/>
      <c r="BD27" s="242"/>
      <c r="BE27" s="242"/>
      <c r="BF27" s="242"/>
      <c r="BG27" s="242"/>
    </row>
    <row r="28" spans="1:59">
      <c r="A28" s="126"/>
      <c r="B28" s="281" t="s">
        <v>317</v>
      </c>
      <c r="C28" s="279">
        <v>39</v>
      </c>
      <c r="D28" s="279">
        <v>50</v>
      </c>
      <c r="E28" s="253"/>
      <c r="F28" s="253"/>
      <c r="L28" s="250"/>
      <c r="N28"/>
      <c r="O28" s="249">
        <f t="shared" si="32"/>
        <v>2044</v>
      </c>
      <c r="P28" s="233">
        <f t="shared" si="33"/>
        <v>60</v>
      </c>
      <c r="Q28" s="233">
        <f t="shared" si="34"/>
        <v>31</v>
      </c>
      <c r="R28" s="240">
        <f t="shared" si="35"/>
        <v>146808.94924040153</v>
      </c>
      <c r="S28" s="233">
        <f t="shared" si="0"/>
        <v>0.85</v>
      </c>
      <c r="T28" s="240">
        <f t="shared" si="1"/>
        <v>48355.197656057251</v>
      </c>
      <c r="U28" s="240">
        <f t="shared" si="2"/>
        <v>56888.467830655602</v>
      </c>
      <c r="V28" s="233">
        <f t="shared" si="3"/>
        <v>0</v>
      </c>
      <c r="W28" s="243">
        <f t="shared" si="4"/>
        <v>14.5</v>
      </c>
      <c r="X28" s="233">
        <f t="shared" si="5"/>
        <v>0.39678742553548757</v>
      </c>
      <c r="Y28" s="233">
        <f t="shared" si="6"/>
        <v>0.31840248485926437</v>
      </c>
      <c r="Z28" s="233">
        <f t="shared" si="7"/>
        <v>0</v>
      </c>
      <c r="AA28" s="233">
        <f t="shared" si="8"/>
        <v>0</v>
      </c>
      <c r="AB28" s="233">
        <f t="shared" si="36"/>
        <v>0.56999999999999995</v>
      </c>
      <c r="AC28" s="233">
        <f t="shared" si="9"/>
        <v>0.32258064516129031</v>
      </c>
      <c r="AD28" s="240">
        <f t="shared" si="10"/>
        <v>0</v>
      </c>
      <c r="AE28" s="240">
        <f t="shared" si="11"/>
        <v>0</v>
      </c>
      <c r="AF28" s="240">
        <f t="shared" si="12"/>
        <v>0</v>
      </c>
      <c r="AG28" s="240">
        <f t="shared" si="13"/>
        <v>0</v>
      </c>
      <c r="AH28" s="240">
        <f t="shared" si="14"/>
        <v>0</v>
      </c>
      <c r="AI28" s="248">
        <f t="shared" si="15"/>
        <v>0</v>
      </c>
      <c r="AK28" s="235"/>
      <c r="AL28" s="233"/>
      <c r="AM28" s="233"/>
      <c r="AN28" s="233"/>
      <c r="AO28" s="240"/>
      <c r="AP28" s="233"/>
      <c r="AQ28" s="240"/>
      <c r="AR28" s="240"/>
      <c r="AS28" s="233"/>
      <c r="AT28" s="243"/>
      <c r="AU28" s="233"/>
      <c r="AV28" s="233"/>
      <c r="AW28" s="233"/>
      <c r="AX28" s="233"/>
      <c r="AY28" s="233"/>
      <c r="AZ28" s="233"/>
      <c r="BA28" s="233"/>
      <c r="BB28" s="240"/>
      <c r="BC28" s="240"/>
      <c r="BD28" s="242"/>
      <c r="BE28" s="242"/>
      <c r="BF28" s="242"/>
      <c r="BG28" s="242"/>
    </row>
    <row r="29" spans="1:59">
      <c r="A29" s="126"/>
      <c r="B29" s="281" t="s">
        <v>316</v>
      </c>
      <c r="C29" s="279" t="s">
        <v>315</v>
      </c>
      <c r="D29" s="279" t="s">
        <v>314</v>
      </c>
      <c r="E29" s="253"/>
      <c r="F29" s="253"/>
      <c r="N29"/>
      <c r="O29" s="249">
        <f t="shared" si="32"/>
        <v>2045</v>
      </c>
      <c r="P29" s="233">
        <f t="shared" si="33"/>
        <v>61</v>
      </c>
      <c r="Q29" s="233">
        <f t="shared" si="34"/>
        <v>32</v>
      </c>
      <c r="R29" s="240">
        <f t="shared" si="35"/>
        <v>151580.24009071459</v>
      </c>
      <c r="S29" s="233">
        <f t="shared" si="0"/>
        <v>0.88</v>
      </c>
      <c r="T29" s="240">
        <f t="shared" si="1"/>
        <v>53356.244511931545</v>
      </c>
      <c r="U29" s="240">
        <f t="shared" si="2"/>
        <v>60632.096036285839</v>
      </c>
      <c r="V29" s="233">
        <f t="shared" si="3"/>
        <v>0</v>
      </c>
      <c r="W29" s="243">
        <f t="shared" si="4"/>
        <v>14.5</v>
      </c>
      <c r="X29" s="233">
        <f t="shared" si="5"/>
        <v>0.37970088567989252</v>
      </c>
      <c r="Y29" s="233">
        <f t="shared" si="6"/>
        <v>0.31840248485926437</v>
      </c>
      <c r="Z29" s="233">
        <f t="shared" si="7"/>
        <v>0</v>
      </c>
      <c r="AA29" s="233">
        <f t="shared" si="8"/>
        <v>0</v>
      </c>
      <c r="AB29" s="233">
        <f t="shared" si="36"/>
        <v>0.56999999999999995</v>
      </c>
      <c r="AC29" s="233">
        <f t="shared" si="9"/>
        <v>0.3125</v>
      </c>
      <c r="AD29" s="240">
        <f t="shared" si="10"/>
        <v>0</v>
      </c>
      <c r="AE29" s="240">
        <f t="shared" si="11"/>
        <v>0</v>
      </c>
      <c r="AF29" s="240">
        <f t="shared" si="12"/>
        <v>0</v>
      </c>
      <c r="AG29" s="240">
        <f t="shared" si="13"/>
        <v>0</v>
      </c>
      <c r="AH29" s="240">
        <f t="shared" si="14"/>
        <v>0</v>
      </c>
      <c r="AI29" s="248">
        <f t="shared" si="15"/>
        <v>0</v>
      </c>
      <c r="AK29" s="235"/>
      <c r="AL29" s="233"/>
      <c r="AM29" s="233"/>
      <c r="AN29" s="233"/>
      <c r="AO29" s="240"/>
      <c r="AP29" s="233"/>
      <c r="AQ29" s="240"/>
      <c r="AR29" s="240"/>
      <c r="AS29" s="233"/>
      <c r="AT29" s="243"/>
      <c r="AU29" s="233"/>
      <c r="AV29" s="233"/>
      <c r="AW29" s="233"/>
      <c r="AX29" s="233"/>
      <c r="AY29" s="233"/>
      <c r="AZ29" s="233"/>
      <c r="BA29" s="233"/>
      <c r="BB29" s="240"/>
      <c r="BC29" s="240"/>
      <c r="BD29" s="242"/>
      <c r="BE29" s="242"/>
      <c r="BF29" s="242"/>
      <c r="BG29" s="242"/>
    </row>
    <row r="30" spans="1:59">
      <c r="A30" s="126"/>
      <c r="B30" s="281" t="s">
        <v>313</v>
      </c>
      <c r="C30" s="280">
        <v>75000</v>
      </c>
      <c r="D30" s="279" t="s">
        <v>312</v>
      </c>
      <c r="E30" s="253"/>
      <c r="F30" s="253"/>
      <c r="N30"/>
      <c r="O30" s="249">
        <f t="shared" si="32"/>
        <v>2046</v>
      </c>
      <c r="P30" s="233">
        <f t="shared" si="33"/>
        <v>62</v>
      </c>
      <c r="Q30" s="233">
        <f t="shared" si="34"/>
        <v>33</v>
      </c>
      <c r="R30" s="240">
        <f t="shared" si="35"/>
        <v>156506.59789366281</v>
      </c>
      <c r="S30" s="233">
        <f t="shared" si="0"/>
        <v>0.91</v>
      </c>
      <c r="T30" s="240">
        <f t="shared" si="1"/>
        <v>58748.664184333684</v>
      </c>
      <c r="U30" s="240">
        <f t="shared" si="2"/>
        <v>64558.971631135915</v>
      </c>
      <c r="V30" s="233">
        <f t="shared" si="3"/>
        <v>0</v>
      </c>
      <c r="W30" s="243">
        <f t="shared" si="4"/>
        <v>14.5</v>
      </c>
      <c r="X30" s="233">
        <f t="shared" si="5"/>
        <v>0.36335012983721771</v>
      </c>
      <c r="Y30" s="233">
        <f t="shared" si="6"/>
        <v>0.31840248485926437</v>
      </c>
      <c r="Z30" s="233">
        <f t="shared" si="7"/>
        <v>0</v>
      </c>
      <c r="AA30" s="233">
        <f t="shared" si="8"/>
        <v>0</v>
      </c>
      <c r="AB30" s="233">
        <f t="shared" si="36"/>
        <v>0.56999999999999995</v>
      </c>
      <c r="AC30" s="233">
        <f t="shared" si="9"/>
        <v>0.30303030303030304</v>
      </c>
      <c r="AD30" s="240">
        <f t="shared" si="10"/>
        <v>0</v>
      </c>
      <c r="AE30" s="240">
        <f t="shared" si="11"/>
        <v>0</v>
      </c>
      <c r="AF30" s="240">
        <f t="shared" si="12"/>
        <v>0</v>
      </c>
      <c r="AG30" s="240">
        <f t="shared" si="13"/>
        <v>0</v>
      </c>
      <c r="AH30" s="240">
        <f t="shared" si="14"/>
        <v>0</v>
      </c>
      <c r="AI30" s="248">
        <f t="shared" si="15"/>
        <v>0</v>
      </c>
      <c r="AK30" s="235"/>
      <c r="AL30" s="233"/>
      <c r="AM30" s="233"/>
      <c r="AN30" s="233"/>
      <c r="AO30" s="240"/>
      <c r="AP30" s="233"/>
      <c r="AQ30" s="240"/>
      <c r="AR30" s="240"/>
      <c r="AS30" s="233"/>
      <c r="AT30" s="243"/>
      <c r="AU30" s="233"/>
      <c r="AV30" s="233"/>
      <c r="AW30" s="233"/>
      <c r="AX30" s="233"/>
      <c r="AY30" s="233"/>
      <c r="AZ30" s="233"/>
      <c r="BA30" s="233"/>
      <c r="BB30" s="240"/>
      <c r="BC30" s="240"/>
      <c r="BD30" s="242"/>
      <c r="BE30" s="242"/>
      <c r="BF30" s="242"/>
      <c r="BG30" s="242"/>
    </row>
    <row r="31" spans="1:59">
      <c r="A31" s="126"/>
      <c r="E31" s="253"/>
      <c r="F31" s="253"/>
      <c r="L31" s="234"/>
      <c r="N31"/>
      <c r="O31" s="249">
        <f t="shared" si="32"/>
        <v>2047</v>
      </c>
      <c r="P31" s="233">
        <f t="shared" si="33"/>
        <v>63</v>
      </c>
      <c r="Q31" s="233">
        <f t="shared" si="34"/>
        <v>34</v>
      </c>
      <c r="R31" s="240">
        <f t="shared" si="35"/>
        <v>161593.06232520685</v>
      </c>
      <c r="S31" s="233">
        <f t="shared" si="0"/>
        <v>0.94</v>
      </c>
      <c r="T31" s="240">
        <f t="shared" si="1"/>
        <v>64556.428398920129</v>
      </c>
      <c r="U31" s="240">
        <f t="shared" si="2"/>
        <v>68677.051488212906</v>
      </c>
      <c r="V31" s="233">
        <f t="shared" si="3"/>
        <v>0</v>
      </c>
      <c r="W31" s="243">
        <f t="shared" si="4"/>
        <v>14.5</v>
      </c>
      <c r="X31" s="233">
        <f t="shared" si="5"/>
        <v>0.34770347352843806</v>
      </c>
      <c r="Y31" s="233">
        <f t="shared" si="6"/>
        <v>0.31840248485926437</v>
      </c>
      <c r="Z31" s="233">
        <f t="shared" si="7"/>
        <v>0</v>
      </c>
      <c r="AA31" s="233">
        <f t="shared" si="8"/>
        <v>0</v>
      </c>
      <c r="AB31" s="233">
        <f t="shared" si="36"/>
        <v>0.56999999999999995</v>
      </c>
      <c r="AC31" s="233">
        <f t="shared" si="9"/>
        <v>0.29411764705882354</v>
      </c>
      <c r="AD31" s="240">
        <f t="shared" si="10"/>
        <v>0</v>
      </c>
      <c r="AE31" s="240">
        <f t="shared" si="11"/>
        <v>0</v>
      </c>
      <c r="AF31" s="240">
        <f t="shared" si="12"/>
        <v>0</v>
      </c>
      <c r="AG31" s="240">
        <f t="shared" si="13"/>
        <v>0</v>
      </c>
      <c r="AH31" s="240">
        <f t="shared" si="14"/>
        <v>0</v>
      </c>
      <c r="AI31" s="248">
        <f t="shared" si="15"/>
        <v>0</v>
      </c>
      <c r="AK31" s="235"/>
      <c r="AL31" s="233"/>
      <c r="AM31" s="233"/>
      <c r="AN31" s="233"/>
      <c r="AO31" s="240"/>
      <c r="AP31" s="233"/>
      <c r="AQ31" s="240"/>
      <c r="AR31" s="240"/>
      <c r="AS31" s="233"/>
      <c r="AT31" s="243"/>
      <c r="AU31" s="233"/>
      <c r="AV31" s="233"/>
      <c r="AW31" s="233"/>
      <c r="AX31" s="233"/>
      <c r="AY31" s="233"/>
      <c r="AZ31" s="233"/>
      <c r="BA31" s="233"/>
      <c r="BB31" s="240"/>
      <c r="BC31" s="240"/>
      <c r="BD31" s="242"/>
      <c r="BE31" s="242"/>
      <c r="BF31" s="242"/>
      <c r="BG31" s="242"/>
    </row>
    <row r="32" spans="1:59">
      <c r="A32" s="126"/>
      <c r="B32" s="278" t="s">
        <v>311</v>
      </c>
      <c r="C32" s="278"/>
      <c r="D32" s="278"/>
      <c r="E32" s="253"/>
      <c r="F32" s="253"/>
      <c r="L32" s="234"/>
      <c r="N32"/>
      <c r="O32" s="249">
        <f t="shared" si="32"/>
        <v>2048</v>
      </c>
      <c r="P32" s="233">
        <f t="shared" si="33"/>
        <v>64</v>
      </c>
      <c r="Q32" s="233">
        <f t="shared" si="34"/>
        <v>35</v>
      </c>
      <c r="R32" s="240">
        <f t="shared" si="35"/>
        <v>166844.83685077608</v>
      </c>
      <c r="S32" s="233">
        <f t="shared" si="0"/>
        <v>0.97</v>
      </c>
      <c r="T32" s="240">
        <f t="shared" si="1"/>
        <v>70804.777638548112</v>
      </c>
      <c r="U32" s="240">
        <f t="shared" si="2"/>
        <v>72994.616122214531</v>
      </c>
      <c r="V32" s="233">
        <f t="shared" si="3"/>
        <v>0</v>
      </c>
      <c r="W32" s="243">
        <f t="shared" si="4"/>
        <v>14.5</v>
      </c>
      <c r="X32" s="233">
        <f t="shared" si="5"/>
        <v>0.3327305966779312</v>
      </c>
      <c r="Y32" s="233">
        <f t="shared" si="6"/>
        <v>0.31840248485926437</v>
      </c>
      <c r="Z32" s="233">
        <f t="shared" si="7"/>
        <v>0</v>
      </c>
      <c r="AA32" s="233">
        <f t="shared" si="8"/>
        <v>0</v>
      </c>
      <c r="AB32" s="233">
        <f t="shared" si="36"/>
        <v>0.56999999999999995</v>
      </c>
      <c r="AC32" s="233">
        <f t="shared" si="9"/>
        <v>0.2857142857142857</v>
      </c>
      <c r="AD32" s="240">
        <f t="shared" si="10"/>
        <v>0</v>
      </c>
      <c r="AE32" s="240">
        <f t="shared" si="11"/>
        <v>0</v>
      </c>
      <c r="AF32" s="240">
        <f t="shared" si="12"/>
        <v>0</v>
      </c>
      <c r="AG32" s="240">
        <f t="shared" si="13"/>
        <v>0</v>
      </c>
      <c r="AH32" s="240">
        <f t="shared" si="14"/>
        <v>0</v>
      </c>
      <c r="AI32" s="248">
        <f t="shared" si="15"/>
        <v>0</v>
      </c>
      <c r="AK32" s="235"/>
      <c r="AL32" s="233"/>
      <c r="AM32" s="233"/>
      <c r="AN32" s="233"/>
      <c r="AO32" s="240"/>
      <c r="AP32" s="233"/>
      <c r="AQ32" s="240"/>
      <c r="AR32" s="240"/>
      <c r="AS32" s="233"/>
      <c r="AT32" s="243"/>
      <c r="AU32" s="233"/>
      <c r="AV32" s="233"/>
      <c r="AW32" s="233"/>
      <c r="AX32" s="233"/>
      <c r="AY32" s="233"/>
      <c r="AZ32" s="233"/>
      <c r="BA32" s="233"/>
      <c r="BB32" s="240"/>
      <c r="BC32" s="240"/>
      <c r="BD32" s="242"/>
      <c r="BE32" s="242"/>
      <c r="BF32" s="242"/>
      <c r="BG32" s="242"/>
    </row>
    <row r="33" spans="1:66">
      <c r="A33" s="126"/>
      <c r="B33" s="277" t="s">
        <v>310</v>
      </c>
      <c r="C33" s="277"/>
      <c r="D33" s="277"/>
      <c r="E33" s="253"/>
      <c r="F33" s="253"/>
      <c r="L33" s="250"/>
      <c r="N33"/>
      <c r="O33" s="247">
        <f t="shared" si="32"/>
        <v>2049</v>
      </c>
      <c r="P33" s="245">
        <f t="shared" si="33"/>
        <v>65</v>
      </c>
      <c r="Q33" s="245">
        <f t="shared" si="34"/>
        <v>36</v>
      </c>
      <c r="R33" s="244">
        <f t="shared" si="35"/>
        <v>172267.29404842629</v>
      </c>
      <c r="S33" s="245">
        <f t="shared" si="0"/>
        <v>1</v>
      </c>
      <c r="T33" s="244">
        <f t="shared" si="1"/>
        <v>77520.282321791834</v>
      </c>
      <c r="U33" s="244">
        <f t="shared" si="2"/>
        <v>77520.282321791834</v>
      </c>
      <c r="V33" s="245">
        <f t="shared" si="3"/>
        <v>14.5</v>
      </c>
      <c r="W33" s="246">
        <f t="shared" si="4"/>
        <v>14.5</v>
      </c>
      <c r="X33" s="245">
        <f t="shared" si="5"/>
        <v>0.31840248485926437</v>
      </c>
      <c r="Y33" s="245">
        <f t="shared" si="6"/>
        <v>0.31840248485926437</v>
      </c>
      <c r="Z33" s="245">
        <f t="shared" si="7"/>
        <v>1</v>
      </c>
      <c r="AA33" s="245">
        <f t="shared" si="8"/>
        <v>0</v>
      </c>
      <c r="AB33" s="245">
        <f t="shared" si="36"/>
        <v>0.56999999999999995</v>
      </c>
      <c r="AC33" s="245">
        <f t="shared" si="9"/>
        <v>0.27777777777777779</v>
      </c>
      <c r="AD33" s="244">
        <f t="shared" si="10"/>
        <v>204002.10653333805</v>
      </c>
      <c r="AE33" s="244">
        <f t="shared" si="11"/>
        <v>0</v>
      </c>
      <c r="AF33" s="244">
        <f t="shared" si="12"/>
        <v>56667.251814816125</v>
      </c>
      <c r="AG33" s="244">
        <f t="shared" si="13"/>
        <v>0</v>
      </c>
      <c r="AH33" s="244">
        <f t="shared" si="14"/>
        <v>5666.7251814816127</v>
      </c>
      <c r="AI33" s="236">
        <f t="shared" si="15"/>
        <v>0</v>
      </c>
      <c r="AK33" s="235"/>
      <c r="AL33" s="233"/>
      <c r="AM33" s="233"/>
      <c r="AN33" s="233"/>
      <c r="AO33" s="240"/>
      <c r="AP33" s="233"/>
      <c r="AQ33" s="240"/>
      <c r="AR33" s="240"/>
      <c r="AS33" s="233"/>
      <c r="AT33" s="243"/>
      <c r="AU33" s="233"/>
      <c r="AV33" s="233"/>
      <c r="AW33" s="233"/>
      <c r="AX33" s="233"/>
      <c r="AY33" s="233"/>
      <c r="AZ33" s="233"/>
      <c r="BA33" s="233"/>
      <c r="BB33" s="240"/>
      <c r="BC33" s="240"/>
      <c r="BD33" s="242"/>
      <c r="BE33" s="242"/>
      <c r="BF33" s="242"/>
      <c r="BG33" s="242"/>
    </row>
    <row r="34" spans="1:66" customFormat="1">
      <c r="A34" s="126"/>
      <c r="B34" s="94"/>
      <c r="C34" s="276">
        <v>14.5</v>
      </c>
      <c r="D34" s="94"/>
      <c r="E34" s="253"/>
      <c r="F34" s="253"/>
      <c r="G34" s="94"/>
      <c r="H34" s="94"/>
      <c r="I34" s="94"/>
      <c r="J34" s="229"/>
      <c r="K34" s="231"/>
      <c r="L34" s="250"/>
      <c r="M34" s="230"/>
      <c r="N34" s="233"/>
      <c r="O34" s="233"/>
      <c r="P34" s="233"/>
      <c r="Q34" s="233"/>
      <c r="R34" s="240"/>
      <c r="S34" s="233"/>
      <c r="T34" s="240"/>
      <c r="U34" s="240"/>
      <c r="V34" s="233"/>
      <c r="W34" s="243"/>
      <c r="X34" s="233"/>
      <c r="Y34" s="233"/>
      <c r="Z34" s="233"/>
      <c r="AA34" s="233"/>
      <c r="AB34" s="233"/>
      <c r="AC34" s="233"/>
      <c r="AD34" s="240"/>
      <c r="AE34" s="240"/>
      <c r="AF34" s="240">
        <f>SUM(AF7:AF33)</f>
        <v>91636.166419420886</v>
      </c>
      <c r="AG34" s="240">
        <f>SUM(AG7:AG33)</f>
        <v>2164.1418892778129</v>
      </c>
      <c r="AH34" s="240">
        <f>SUM(AH7:AH33)</f>
        <v>9163.6166419420897</v>
      </c>
      <c r="AI34" s="240">
        <f>SUM(AI7:AI33)</f>
        <v>216.41418892778128</v>
      </c>
      <c r="AJ34" s="230"/>
      <c r="AK34" s="235"/>
      <c r="AL34" s="233"/>
      <c r="AM34" s="233"/>
      <c r="AN34" s="233"/>
      <c r="AO34" s="240"/>
      <c r="AP34" s="233"/>
      <c r="AQ34" s="240"/>
      <c r="AR34" s="240"/>
      <c r="AS34" s="233"/>
      <c r="AT34" s="243"/>
      <c r="AU34" s="233"/>
      <c r="AV34" s="233"/>
      <c r="AW34" s="233"/>
      <c r="AX34" s="233"/>
      <c r="AY34" s="233"/>
      <c r="AZ34" s="233"/>
      <c r="BA34" s="233"/>
      <c r="BB34" s="240"/>
      <c r="BC34" s="240"/>
      <c r="BD34" s="242"/>
      <c r="BE34" s="242"/>
      <c r="BF34" s="242"/>
      <c r="BG34" s="242"/>
      <c r="BH34" s="229"/>
      <c r="BI34" s="229"/>
      <c r="BJ34" s="229"/>
      <c r="BK34" s="229"/>
      <c r="BL34" s="229"/>
      <c r="BM34" s="229"/>
      <c r="BN34" s="229"/>
    </row>
    <row r="35" spans="1:66">
      <c r="A35" s="126"/>
      <c r="C35" s="276">
        <v>17</v>
      </c>
      <c r="E35" s="253"/>
      <c r="F35" s="253"/>
      <c r="L35" s="250"/>
      <c r="O35" s="275" t="s">
        <v>309</v>
      </c>
      <c r="P35" s="238">
        <f>SUM(AF34:AG34)</f>
        <v>93800.308308698703</v>
      </c>
      <c r="R35" s="233"/>
      <c r="S35" s="233"/>
      <c r="T35" s="240"/>
      <c r="U35" s="240"/>
      <c r="V35" s="233"/>
      <c r="W35" s="243"/>
      <c r="X35" s="233"/>
      <c r="Y35" s="233"/>
      <c r="Z35" s="233"/>
      <c r="AA35" s="233"/>
      <c r="AB35" s="233"/>
      <c r="AC35" s="233"/>
      <c r="AD35" s="233"/>
      <c r="AE35" s="240"/>
      <c r="AF35" s="240"/>
      <c r="AG35"/>
      <c r="AH35" s="240"/>
      <c r="AI35" s="240"/>
      <c r="AJ35" s="240"/>
      <c r="AK35" s="235"/>
      <c r="AL35" s="233"/>
      <c r="AM35" s="233"/>
      <c r="AN35" s="233"/>
      <c r="AO35" s="240"/>
      <c r="AP35" s="233"/>
      <c r="AQ35" s="240"/>
      <c r="AR35" s="240"/>
      <c r="AS35" s="233"/>
      <c r="AT35" s="243"/>
      <c r="AU35" s="233"/>
      <c r="AV35" s="233"/>
      <c r="AW35" s="233"/>
      <c r="AX35" s="233"/>
      <c r="AY35" s="233"/>
      <c r="AZ35" s="233"/>
      <c r="BA35" s="233"/>
      <c r="BB35" s="240"/>
      <c r="BC35" s="240"/>
      <c r="BD35" s="242"/>
      <c r="BE35" s="242"/>
      <c r="BF35" s="242"/>
      <c r="BG35" s="242"/>
    </row>
    <row r="36" spans="1:66">
      <c r="A36" s="126"/>
      <c r="C36" s="274"/>
      <c r="E36" s="253"/>
      <c r="F36" s="253"/>
      <c r="L36" s="250"/>
      <c r="O36" s="273" t="s">
        <v>185</v>
      </c>
      <c r="P36" s="236">
        <f>AH34</f>
        <v>9163.6166419420897</v>
      </c>
      <c r="Q36" s="272" t="s">
        <v>308</v>
      </c>
      <c r="S36" s="233"/>
      <c r="T36" s="240"/>
      <c r="U36" s="240"/>
      <c r="V36" s="233"/>
      <c r="W36" s="243"/>
      <c r="X36" s="233"/>
      <c r="Y36" s="233"/>
      <c r="Z36" s="233"/>
      <c r="AA36" s="233"/>
      <c r="AB36" s="233"/>
      <c r="AC36" s="233"/>
      <c r="AD36" s="233"/>
      <c r="AE36" s="240"/>
      <c r="AF36" s="240"/>
      <c r="AG36" s="240"/>
      <c r="AH36" s="240"/>
      <c r="AI36" s="240"/>
      <c r="AJ36" s="240"/>
      <c r="AK36" s="235"/>
      <c r="AL36" s="233"/>
      <c r="AM36" s="233"/>
      <c r="AN36" s="233"/>
      <c r="AO36" s="240"/>
      <c r="AP36" s="233"/>
      <c r="AQ36" s="240"/>
      <c r="AR36" s="240"/>
      <c r="AS36" s="233"/>
      <c r="AT36" s="243"/>
      <c r="AU36" s="233"/>
      <c r="AV36" s="233"/>
      <c r="AW36" s="233"/>
      <c r="AX36" s="233"/>
      <c r="AY36" s="233"/>
      <c r="AZ36" s="233"/>
      <c r="BA36" s="233"/>
      <c r="BB36" s="240"/>
      <c r="BC36" s="240"/>
      <c r="BD36" s="242"/>
      <c r="BE36" s="242"/>
      <c r="BF36" s="242"/>
      <c r="BG36" s="242"/>
    </row>
    <row r="37" spans="1:66">
      <c r="A37" s="126"/>
      <c r="B37" s="263" t="s">
        <v>307</v>
      </c>
      <c r="C37" s="263"/>
      <c r="D37" s="263"/>
      <c r="E37" s="263"/>
      <c r="F37" s="263"/>
      <c r="L37" s="250"/>
      <c r="N37" s="233"/>
      <c r="O37" s="233"/>
      <c r="P37" s="233"/>
      <c r="Q37" s="233"/>
      <c r="R37" s="240"/>
      <c r="S37" s="233"/>
      <c r="T37" s="240"/>
      <c r="U37" s="240"/>
      <c r="V37" s="233"/>
      <c r="W37" s="243"/>
      <c r="X37" s="233"/>
      <c r="Y37" s="233"/>
      <c r="Z37" s="233"/>
      <c r="AA37" s="233"/>
      <c r="AB37" s="233"/>
      <c r="AC37" s="233"/>
      <c r="AD37" s="233"/>
      <c r="AE37" s="240"/>
      <c r="AF37" s="240"/>
      <c r="AG37" s="240"/>
      <c r="AH37" s="240"/>
      <c r="AI37" s="240"/>
      <c r="AJ37" s="240"/>
      <c r="AK37" s="235"/>
      <c r="AL37" s="233"/>
      <c r="AM37" s="233"/>
      <c r="AN37" s="233"/>
      <c r="AO37" s="240"/>
      <c r="AP37" s="233"/>
      <c r="AQ37" s="240"/>
      <c r="AR37" s="240"/>
      <c r="AS37" s="233"/>
      <c r="AT37" s="243"/>
      <c r="AU37" s="233"/>
      <c r="AV37" s="233"/>
      <c r="AW37" s="233"/>
      <c r="AX37" s="233"/>
      <c r="AY37" s="233"/>
      <c r="AZ37" s="233"/>
      <c r="BA37"/>
      <c r="BB37"/>
      <c r="BC37"/>
      <c r="BD37"/>
      <c r="BE37"/>
      <c r="BF37"/>
      <c r="BG37"/>
      <c r="BH37"/>
    </row>
    <row r="38" spans="1:66">
      <c r="A38" s="126"/>
      <c r="B38" s="263"/>
      <c r="C38" s="263"/>
      <c r="D38" s="263"/>
      <c r="E38" s="263"/>
      <c r="F38" s="263"/>
      <c r="L38" s="250"/>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N38" s="235"/>
      <c r="AO38" s="235"/>
      <c r="AP38" s="235"/>
      <c r="AQ38" s="235"/>
      <c r="AR38" s="235"/>
      <c r="AS38" s="235"/>
      <c r="AT38" s="235"/>
      <c r="AU38" s="235"/>
      <c r="AV38" s="235"/>
      <c r="AW38" s="235"/>
      <c r="AX38" s="235"/>
      <c r="AY38" s="235"/>
      <c r="AZ38" s="235"/>
      <c r="BA38"/>
      <c r="BB38"/>
      <c r="BC38"/>
      <c r="BD38"/>
      <c r="BE38"/>
      <c r="BF38"/>
      <c r="BG38"/>
      <c r="BH38"/>
      <c r="BI38"/>
      <c r="BJ38"/>
      <c r="BK38"/>
      <c r="BL38"/>
      <c r="BM38"/>
      <c r="BN38"/>
    </row>
    <row r="39" spans="1:66">
      <c r="A39" s="126"/>
      <c r="B39" s="469" t="s">
        <v>290</v>
      </c>
      <c r="C39" s="470"/>
      <c r="D39" s="470"/>
      <c r="E39" s="470"/>
      <c r="F39" s="471"/>
      <c r="L39" s="250"/>
      <c r="N39" s="233"/>
      <c r="O39" s="233"/>
      <c r="P39" s="233"/>
      <c r="Q39" s="233"/>
      <c r="R39" s="233"/>
      <c r="S39" s="233"/>
      <c r="T39" s="233"/>
      <c r="U39" s="233"/>
      <c r="V39" s="233"/>
      <c r="W39" s="233"/>
      <c r="X39" s="233"/>
      <c r="Y39" s="233"/>
      <c r="Z39" s="233"/>
      <c r="AA39" s="233"/>
      <c r="AB39" s="233"/>
      <c r="AC39" s="233"/>
      <c r="AD39" s="233"/>
      <c r="AE39"/>
      <c r="AF39"/>
      <c r="AG39"/>
      <c r="AH39"/>
      <c r="AI39"/>
      <c r="AJ39"/>
      <c r="AK39" s="235"/>
      <c r="AL39" s="233"/>
      <c r="AM39" s="233"/>
      <c r="AN39" s="233"/>
      <c r="AO39" s="233"/>
      <c r="AP39" s="233"/>
      <c r="AQ39" s="233"/>
      <c r="AR39" s="233"/>
      <c r="AS39" s="233"/>
      <c r="AT39" s="233"/>
      <c r="AU39" s="233"/>
      <c r="AV39" s="233"/>
      <c r="AW39" s="233"/>
      <c r="AX39" s="233"/>
      <c r="AY39" s="233"/>
      <c r="AZ39" s="233"/>
      <c r="BA39"/>
      <c r="BB39"/>
      <c r="BC39"/>
      <c r="BD39"/>
      <c r="BE39"/>
      <c r="BF39"/>
      <c r="BG39"/>
      <c r="BH39"/>
    </row>
    <row r="40" spans="1:66">
      <c r="A40" s="126"/>
      <c r="B40" s="472"/>
      <c r="C40" s="473"/>
      <c r="D40" s="473"/>
      <c r="E40" s="473"/>
      <c r="F40" s="474"/>
      <c r="N40" s="234" t="s">
        <v>306</v>
      </c>
      <c r="O40" s="233"/>
      <c r="P40" s="233"/>
      <c r="Q40" s="233"/>
      <c r="R40" s="233"/>
      <c r="S40" s="233"/>
      <c r="T40" s="233"/>
      <c r="U40" s="233"/>
      <c r="V40" s="233"/>
      <c r="W40" s="233"/>
      <c r="X40" s="233"/>
      <c r="Y40" s="233"/>
      <c r="Z40" s="233"/>
      <c r="AA40" s="233"/>
      <c r="AB40" s="233"/>
      <c r="AC40" s="233"/>
      <c r="AD40" s="233"/>
      <c r="AE40"/>
      <c r="AF40"/>
      <c r="AG40"/>
      <c r="AH40"/>
      <c r="AI40"/>
      <c r="AJ40"/>
      <c r="AK40" s="235"/>
      <c r="AL40" s="233"/>
      <c r="AM40" s="233"/>
      <c r="AN40" s="233"/>
      <c r="AO40" s="233"/>
      <c r="AP40" s="233"/>
      <c r="AQ40" s="233"/>
      <c r="AR40" s="233"/>
      <c r="AS40" s="233"/>
      <c r="AT40" s="233"/>
      <c r="AU40" s="233"/>
      <c r="AV40" s="233"/>
      <c r="AW40" s="233"/>
      <c r="AX40" s="233"/>
      <c r="AY40" s="233"/>
      <c r="AZ40" s="233"/>
      <c r="BA40"/>
      <c r="BB40"/>
      <c r="BC40"/>
      <c r="BD40"/>
      <c r="BE40"/>
      <c r="BF40"/>
      <c r="BG40"/>
      <c r="BH40"/>
    </row>
    <row r="41" spans="1:66">
      <c r="A41" s="126"/>
      <c r="B41" s="263"/>
      <c r="C41" s="263"/>
      <c r="D41" s="263"/>
      <c r="E41" s="263"/>
      <c r="F41" s="263"/>
      <c r="G41" s="254"/>
      <c r="H41" s="254"/>
      <c r="L41" s="250"/>
      <c r="M41" s="271"/>
      <c r="N41" s="233"/>
      <c r="O41" s="233"/>
      <c r="P41" s="233"/>
      <c r="Q41" s="233"/>
      <c r="R41" s="233"/>
      <c r="S41" s="233"/>
      <c r="T41" s="233"/>
      <c r="U41" s="233"/>
      <c r="V41" s="233"/>
      <c r="W41" s="233"/>
      <c r="X41" s="233"/>
      <c r="Y41" s="233"/>
      <c r="Z41" s="233"/>
      <c r="AA41" s="233"/>
      <c r="AB41" s="233"/>
      <c r="AC41" s="233"/>
      <c r="AD41" s="233"/>
      <c r="AE41"/>
      <c r="AF41"/>
      <c r="AG41"/>
      <c r="AH41"/>
      <c r="AI41"/>
      <c r="AJ41"/>
      <c r="AK41" s="235"/>
      <c r="AL41" s="233"/>
      <c r="AM41" s="233"/>
      <c r="AN41" s="233"/>
      <c r="AO41" s="233"/>
      <c r="AP41" s="233"/>
      <c r="AQ41" s="233"/>
      <c r="AR41" s="233"/>
      <c r="AS41" s="233"/>
      <c r="AT41" s="233"/>
      <c r="AU41" s="233"/>
      <c r="AV41" s="233"/>
      <c r="AW41" s="233"/>
      <c r="AX41" s="233"/>
      <c r="AY41" s="233"/>
      <c r="AZ41" s="233"/>
      <c r="BA41"/>
      <c r="BB41"/>
      <c r="BC41"/>
      <c r="BD41"/>
      <c r="BE41"/>
      <c r="BF41"/>
      <c r="BG41"/>
      <c r="BH41"/>
    </row>
    <row r="42" spans="1:66">
      <c r="A42" s="126"/>
      <c r="B42" s="263" t="s">
        <v>305</v>
      </c>
      <c r="C42" s="263"/>
      <c r="D42" s="263"/>
      <c r="E42" s="263"/>
      <c r="F42" s="263"/>
      <c r="G42" s="254"/>
      <c r="H42" s="254"/>
      <c r="L42" s="250"/>
      <c r="M42" s="271"/>
      <c r="N42" s="233"/>
      <c r="O42" s="233"/>
      <c r="P42"/>
      <c r="Q42"/>
      <c r="R42" s="233"/>
      <c r="S42" s="233"/>
      <c r="T42" s="233"/>
      <c r="U42" s="233"/>
      <c r="V42" s="233"/>
      <c r="W42" s="233"/>
      <c r="X42" s="233"/>
      <c r="Y42" s="233"/>
      <c r="Z42" s="233"/>
      <c r="AA42" s="233"/>
      <c r="AB42" s="233"/>
      <c r="AC42" s="233"/>
      <c r="AE42"/>
      <c r="AF42"/>
      <c r="AG42"/>
      <c r="AH42"/>
      <c r="AI42"/>
      <c r="AJ42"/>
      <c r="AK42" s="235"/>
      <c r="AL42" s="233"/>
      <c r="AM42"/>
      <c r="AN42"/>
      <c r="AO42" s="233"/>
      <c r="AP42" s="233"/>
      <c r="AQ42" s="233"/>
      <c r="AR42" s="233"/>
      <c r="AS42" s="233"/>
      <c r="AT42" s="233"/>
      <c r="AU42" s="233"/>
      <c r="AV42" s="233"/>
      <c r="AW42" s="233"/>
      <c r="AX42" s="233"/>
      <c r="AY42" s="233"/>
      <c r="AZ42" s="233"/>
      <c r="BA42"/>
      <c r="BB42"/>
      <c r="BC42"/>
      <c r="BD42"/>
      <c r="BE42"/>
      <c r="BF42"/>
      <c r="BG42"/>
      <c r="BH42"/>
    </row>
    <row r="43" spans="1:66">
      <c r="A43" s="126"/>
      <c r="B43" s="263"/>
      <c r="C43" s="263"/>
      <c r="D43" s="263"/>
      <c r="E43" s="263"/>
      <c r="F43" s="263"/>
      <c r="G43" s="254"/>
      <c r="H43" s="254"/>
      <c r="L43" s="250"/>
      <c r="N43" s="233"/>
      <c r="O43" s="270" t="s">
        <v>304</v>
      </c>
      <c r="P43" s="269"/>
      <c r="Q43" s="269"/>
      <c r="R43" s="269"/>
      <c r="S43" s="269"/>
      <c r="T43" s="463" t="s">
        <v>190</v>
      </c>
      <c r="U43" s="463"/>
      <c r="V43" s="463" t="s">
        <v>302</v>
      </c>
      <c r="W43" s="463"/>
      <c r="X43" s="463" t="s">
        <v>301</v>
      </c>
      <c r="Y43" s="463"/>
      <c r="Z43" s="463" t="s">
        <v>300</v>
      </c>
      <c r="AA43" s="463"/>
      <c r="AB43" s="463"/>
      <c r="AC43" s="268"/>
      <c r="AD43" s="268"/>
      <c r="AE43" s="463" t="s">
        <v>299</v>
      </c>
      <c r="AF43" s="467"/>
      <c r="AG43"/>
      <c r="AH43"/>
      <c r="AI43"/>
      <c r="AJ43"/>
      <c r="AK43" s="235"/>
      <c r="AL43" s="270" t="s">
        <v>303</v>
      </c>
      <c r="AM43" s="269"/>
      <c r="AN43" s="269"/>
      <c r="AO43" s="269"/>
      <c r="AP43" s="269"/>
      <c r="AQ43" s="463" t="s">
        <v>190</v>
      </c>
      <c r="AR43" s="463"/>
      <c r="AS43" s="463" t="s">
        <v>302</v>
      </c>
      <c r="AT43" s="463"/>
      <c r="AU43" s="463" t="s">
        <v>301</v>
      </c>
      <c r="AV43" s="463"/>
      <c r="AW43" s="463" t="s">
        <v>300</v>
      </c>
      <c r="AX43" s="463"/>
      <c r="AY43" s="463"/>
      <c r="AZ43" s="268"/>
      <c r="BA43" s="268"/>
      <c r="BB43" s="463" t="s">
        <v>299</v>
      </c>
      <c r="BC43" s="467"/>
      <c r="BD43"/>
      <c r="BE43"/>
      <c r="BF43"/>
      <c r="BG43"/>
    </row>
    <row r="44" spans="1:66">
      <c r="A44" s="126"/>
      <c r="B44" s="469" t="s">
        <v>290</v>
      </c>
      <c r="C44" s="470"/>
      <c r="D44" s="470"/>
      <c r="E44" s="470"/>
      <c r="F44" s="471"/>
      <c r="G44" s="257"/>
      <c r="H44" s="252"/>
      <c r="K44" s="262"/>
      <c r="L44" s="250"/>
      <c r="M44" s="250"/>
      <c r="N44" s="233"/>
      <c r="O44" s="267" t="s">
        <v>298</v>
      </c>
      <c r="P44" s="266" t="s">
        <v>6</v>
      </c>
      <c r="Q44" s="266" t="s">
        <v>189</v>
      </c>
      <c r="R44" s="266" t="s">
        <v>186</v>
      </c>
      <c r="S44" s="266" t="s">
        <v>297</v>
      </c>
      <c r="T44" s="266" t="s">
        <v>293</v>
      </c>
      <c r="U44" s="266" t="s">
        <v>292</v>
      </c>
      <c r="V44" s="266" t="s">
        <v>293</v>
      </c>
      <c r="W44" s="266" t="s">
        <v>292</v>
      </c>
      <c r="X44" s="266" t="s">
        <v>293</v>
      </c>
      <c r="Y44" s="266" t="s">
        <v>292</v>
      </c>
      <c r="Z44" s="266" t="s">
        <v>293</v>
      </c>
      <c r="AA44" s="266" t="s">
        <v>292</v>
      </c>
      <c r="AB44" s="266" t="s">
        <v>296</v>
      </c>
      <c r="AC44" s="266" t="s">
        <v>295</v>
      </c>
      <c r="AD44" s="266" t="s">
        <v>294</v>
      </c>
      <c r="AE44" s="266" t="s">
        <v>293</v>
      </c>
      <c r="AF44" s="265" t="s">
        <v>292</v>
      </c>
      <c r="AG44"/>
      <c r="AH44"/>
      <c r="AI44"/>
      <c r="AJ44"/>
      <c r="AK44" s="235"/>
      <c r="AL44" s="267" t="s">
        <v>298</v>
      </c>
      <c r="AM44" s="266" t="s">
        <v>6</v>
      </c>
      <c r="AN44" s="266" t="s">
        <v>189</v>
      </c>
      <c r="AO44" s="266" t="s">
        <v>186</v>
      </c>
      <c r="AP44" s="266" t="s">
        <v>297</v>
      </c>
      <c r="AQ44" s="266" t="s">
        <v>293</v>
      </c>
      <c r="AR44" s="266" t="s">
        <v>292</v>
      </c>
      <c r="AS44" s="266" t="s">
        <v>293</v>
      </c>
      <c r="AT44" s="266" t="s">
        <v>292</v>
      </c>
      <c r="AU44" s="266" t="s">
        <v>293</v>
      </c>
      <c r="AV44" s="266" t="s">
        <v>292</v>
      </c>
      <c r="AW44" s="266" t="s">
        <v>293</v>
      </c>
      <c r="AX44" s="266" t="s">
        <v>292</v>
      </c>
      <c r="AY44" s="266" t="s">
        <v>296</v>
      </c>
      <c r="AZ44" s="266" t="s">
        <v>295</v>
      </c>
      <c r="BA44" s="266" t="s">
        <v>294</v>
      </c>
      <c r="BB44" s="266" t="s">
        <v>293</v>
      </c>
      <c r="BC44" s="265" t="s">
        <v>292</v>
      </c>
      <c r="BD44"/>
      <c r="BE44"/>
      <c r="BF44"/>
      <c r="BG44"/>
    </row>
    <row r="45" spans="1:66">
      <c r="A45" s="126"/>
      <c r="B45" s="472"/>
      <c r="C45" s="473"/>
      <c r="D45" s="473"/>
      <c r="E45" s="473"/>
      <c r="F45" s="474"/>
      <c r="G45" s="257"/>
      <c r="H45" s="252"/>
      <c r="K45" s="262"/>
      <c r="L45" s="250"/>
      <c r="M45" s="250"/>
      <c r="N45" s="233"/>
      <c r="O45" s="249">
        <f>2023</f>
        <v>2023</v>
      </c>
      <c r="P45" s="233">
        <f>$C$28</f>
        <v>39</v>
      </c>
      <c r="Q45" s="233">
        <v>10</v>
      </c>
      <c r="R45" s="264">
        <f>R7</f>
        <v>75000</v>
      </c>
      <c r="S45" s="233">
        <f t="shared" ref="S45:S71" si="42">MIN(1,1-3%*(65-P45))</f>
        <v>0.21999999999999997</v>
      </c>
      <c r="T45" s="240">
        <f t="shared" ref="T45:T71" si="43">S45*R45*1.25%*Q45</f>
        <v>2062.4999999999995</v>
      </c>
      <c r="U45" s="240">
        <f t="shared" ref="U45:U71" si="44">R45*1.25%*Q45</f>
        <v>9375</v>
      </c>
      <c r="V45" s="233">
        <f t="shared" ref="V45:V71" si="45">IF(P45=55,$C$35,IF(P45=65,$C$34,0))</f>
        <v>0</v>
      </c>
      <c r="W45" s="243">
        <f t="shared" ref="W45:W71" si="46">$C$34</f>
        <v>14.5</v>
      </c>
      <c r="X45" s="233">
        <f t="shared" ref="X45:X71" si="47">(1+4.5%)^-(P45-P$7)</f>
        <v>1</v>
      </c>
      <c r="Y45" s="233">
        <f t="shared" ref="Y45:Y71" si="48">(1+4.5%)^-(65-P$7)</f>
        <v>0.31840248485926437</v>
      </c>
      <c r="Z45" s="233">
        <f t="shared" ref="Z45:Z71" si="49">IF(P45=55,40%,IF(P45=65,100%,0))</f>
        <v>0</v>
      </c>
      <c r="AA45" s="233">
        <f t="shared" ref="AA45:AA71" si="50">IF(P45&lt;40,5%,0)</f>
        <v>0.05</v>
      </c>
      <c r="AB45" s="233">
        <v>1</v>
      </c>
      <c r="AC45" s="233">
        <f t="shared" ref="AC45:AC71" si="51">(1.045/1.0325)^-(P45-P$7)</f>
        <v>1</v>
      </c>
      <c r="AD45" s="233">
        <f t="shared" ref="AD45:AD71" si="52">AB46*AC45</f>
        <v>0.95</v>
      </c>
      <c r="AE45" s="240">
        <f t="shared" ref="AE45:AE71" si="53">AB45*Z45*X45*V45*T45</f>
        <v>0</v>
      </c>
      <c r="AF45" s="248">
        <f t="shared" ref="AF45:AF71" si="54">AB45*AA45*Y45*W45*U45</f>
        <v>2164.1418892778129</v>
      </c>
      <c r="AG45"/>
      <c r="AH45"/>
      <c r="AI45"/>
      <c r="AJ45"/>
      <c r="AK45" s="235"/>
      <c r="AL45" s="249">
        <f>2023</f>
        <v>2023</v>
      </c>
      <c r="AM45" s="233">
        <f>AM7</f>
        <v>50</v>
      </c>
      <c r="AN45" s="233">
        <f>AN7</f>
        <v>15</v>
      </c>
      <c r="AO45" s="233">
        <f>AO7</f>
        <v>220000</v>
      </c>
      <c r="AP45" s="233">
        <f t="shared" ref="AP45:AP60" si="55">MIN(1,1-3%*(65-AM45))</f>
        <v>0.55000000000000004</v>
      </c>
      <c r="AQ45" s="240">
        <f t="shared" ref="AQ45:AQ60" si="56">AP45*AO45*1.25%*AN45</f>
        <v>22687.500000000004</v>
      </c>
      <c r="AR45" s="240">
        <f t="shared" ref="AR45:AR60" si="57">AO45*1.25%*AN45</f>
        <v>41250</v>
      </c>
      <c r="AS45" s="233">
        <f t="shared" ref="AS45:AS60" si="58">IF(AM45=55,$C$35,IF(AM45=65,$C$34,0))</f>
        <v>0</v>
      </c>
      <c r="AT45" s="243">
        <f t="shared" ref="AT45:AT60" si="59">$C$34</f>
        <v>14.5</v>
      </c>
      <c r="AU45" s="233">
        <f t="shared" ref="AU45:AU60" si="60">(1+4.5%)^-(AM45-AM$7)</f>
        <v>1</v>
      </c>
      <c r="AV45" s="233">
        <f t="shared" ref="AV45:AV60" si="61">(1+4.5%)^-(65-AM$7)</f>
        <v>0.51672044231576797</v>
      </c>
      <c r="AW45" s="233">
        <f t="shared" ref="AW45:AW60" si="62">IF(AM45=55,40%,IF(AM45=65,100%,0))</f>
        <v>0</v>
      </c>
      <c r="AX45" s="233">
        <f t="shared" ref="AX45:AX60" si="63">IF(AM45&lt;40,5%,0)</f>
        <v>0</v>
      </c>
      <c r="AY45" s="233">
        <v>1</v>
      </c>
      <c r="AZ45" s="233">
        <f t="shared" ref="AZ45:AZ60" si="64">(1.045/1.0325)^-(AM45-AM$7)</f>
        <v>1</v>
      </c>
      <c r="BA45" s="233">
        <f t="shared" ref="BA45:BA60" si="65">AY46*AZ45</f>
        <v>1</v>
      </c>
      <c r="BB45" s="240">
        <f t="shared" ref="BB45:BB60" si="66">AY45*AW45*AU45*AS45*AQ45</f>
        <v>0</v>
      </c>
      <c r="BC45" s="248">
        <f t="shared" ref="BC45:BC60" si="67">AY45*AX45*AV45*AT45*AR45</f>
        <v>0</v>
      </c>
      <c r="BD45"/>
      <c r="BE45"/>
      <c r="BF45"/>
      <c r="BG45"/>
    </row>
    <row r="46" spans="1:66">
      <c r="A46" s="126"/>
      <c r="B46" s="263"/>
      <c r="C46" s="263"/>
      <c r="D46" s="263"/>
      <c r="E46" s="263"/>
      <c r="F46" s="263"/>
      <c r="G46" s="257"/>
      <c r="H46" s="252"/>
      <c r="K46" s="262"/>
      <c r="L46" s="250"/>
      <c r="M46" s="250"/>
      <c r="N46" s="233"/>
      <c r="O46" s="249">
        <f t="shared" ref="O46:O71" si="68">O45+1</f>
        <v>2024</v>
      </c>
      <c r="P46" s="233">
        <f t="shared" ref="P46:P71" si="69">P45+1</f>
        <v>40</v>
      </c>
      <c r="Q46" s="233">
        <f t="shared" ref="Q46:Q71" si="70">Q45+1</f>
        <v>11</v>
      </c>
      <c r="R46" s="240">
        <f t="shared" ref="R46:R71" si="71">R45*1.0325</f>
        <v>77437.5</v>
      </c>
      <c r="S46" s="233">
        <f t="shared" si="42"/>
        <v>0.25</v>
      </c>
      <c r="T46" s="240">
        <f t="shared" si="43"/>
        <v>2661.9140625</v>
      </c>
      <c r="U46" s="240">
        <f t="shared" si="44"/>
        <v>10647.65625</v>
      </c>
      <c r="V46" s="233">
        <f t="shared" si="45"/>
        <v>0</v>
      </c>
      <c r="W46" s="243">
        <f t="shared" si="46"/>
        <v>14.5</v>
      </c>
      <c r="X46" s="233">
        <f t="shared" si="47"/>
        <v>0.95693779904306231</v>
      </c>
      <c r="Y46" s="233">
        <f t="shared" si="48"/>
        <v>0.31840248485926437</v>
      </c>
      <c r="Z46" s="233">
        <f t="shared" si="49"/>
        <v>0</v>
      </c>
      <c r="AA46" s="233">
        <f t="shared" si="50"/>
        <v>0</v>
      </c>
      <c r="AB46" s="233">
        <f t="shared" ref="AB46:AB71" si="72">AB45*(1-Z45)*(1-AA45)</f>
        <v>0.95</v>
      </c>
      <c r="AC46" s="233">
        <f t="shared" si="51"/>
        <v>0.98803827751196183</v>
      </c>
      <c r="AD46" s="233">
        <f t="shared" si="52"/>
        <v>0.93863636363636371</v>
      </c>
      <c r="AE46" s="240">
        <f t="shared" si="53"/>
        <v>0</v>
      </c>
      <c r="AF46" s="248">
        <f t="shared" si="54"/>
        <v>0</v>
      </c>
      <c r="AG46"/>
      <c r="AH46"/>
      <c r="AI46"/>
      <c r="AJ46"/>
      <c r="AK46" s="235"/>
      <c r="AL46" s="249">
        <f t="shared" ref="AL46:AL60" si="73">AL45+1</f>
        <v>2024</v>
      </c>
      <c r="AM46" s="233">
        <f t="shared" ref="AM46:AM60" si="74">AM45+1</f>
        <v>51</v>
      </c>
      <c r="AN46" s="233">
        <f t="shared" ref="AN46:AN60" si="75">AN45+1</f>
        <v>16</v>
      </c>
      <c r="AO46" s="240">
        <f t="shared" ref="AO46:AO60" si="76">AO45*1.0325</f>
        <v>227150</v>
      </c>
      <c r="AP46" s="233">
        <f t="shared" si="55"/>
        <v>0.58000000000000007</v>
      </c>
      <c r="AQ46" s="240">
        <f t="shared" si="56"/>
        <v>26349.400000000009</v>
      </c>
      <c r="AR46" s="240">
        <f t="shared" si="57"/>
        <v>45430</v>
      </c>
      <c r="AS46" s="233">
        <f t="shared" si="58"/>
        <v>0</v>
      </c>
      <c r="AT46" s="243">
        <f t="shared" si="59"/>
        <v>14.5</v>
      </c>
      <c r="AU46" s="233">
        <f t="shared" si="60"/>
        <v>0.95693779904306231</v>
      </c>
      <c r="AV46" s="233">
        <f t="shared" si="61"/>
        <v>0.51672044231576797</v>
      </c>
      <c r="AW46" s="233">
        <f t="shared" si="62"/>
        <v>0</v>
      </c>
      <c r="AX46" s="233">
        <f t="shared" si="63"/>
        <v>0</v>
      </c>
      <c r="AY46" s="233">
        <f t="shared" ref="AY46:AY60" si="77">AY45*(1-AW45)*(1-AX45)</f>
        <v>1</v>
      </c>
      <c r="AZ46" s="233">
        <f t="shared" si="64"/>
        <v>0.98803827751196183</v>
      </c>
      <c r="BA46" s="233">
        <f t="shared" si="65"/>
        <v>0.98803827751196183</v>
      </c>
      <c r="BB46" s="240">
        <f t="shared" si="66"/>
        <v>0</v>
      </c>
      <c r="BC46" s="248">
        <f t="shared" si="67"/>
        <v>0</v>
      </c>
      <c r="BD46"/>
      <c r="BE46"/>
      <c r="BF46"/>
      <c r="BG46"/>
    </row>
    <row r="47" spans="1:66">
      <c r="A47" s="126"/>
      <c r="B47" s="263" t="s">
        <v>291</v>
      </c>
      <c r="C47" s="263"/>
      <c r="D47" s="263"/>
      <c r="E47" s="263"/>
      <c r="F47" s="263"/>
      <c r="G47" s="257"/>
      <c r="H47" s="252"/>
      <c r="K47" s="262"/>
      <c r="L47" s="250"/>
      <c r="M47" s="250"/>
      <c r="N47" s="233"/>
      <c r="O47" s="249">
        <f t="shared" si="68"/>
        <v>2025</v>
      </c>
      <c r="P47" s="233">
        <f t="shared" si="69"/>
        <v>41</v>
      </c>
      <c r="Q47" s="233">
        <f t="shared" si="70"/>
        <v>12</v>
      </c>
      <c r="R47" s="240">
        <f t="shared" si="71"/>
        <v>79954.21875</v>
      </c>
      <c r="S47" s="233">
        <f t="shared" si="42"/>
        <v>0.28000000000000003</v>
      </c>
      <c r="T47" s="240">
        <f t="shared" si="43"/>
        <v>3358.0771875000005</v>
      </c>
      <c r="U47" s="240">
        <f t="shared" si="44"/>
        <v>11993.1328125</v>
      </c>
      <c r="V47" s="233">
        <f t="shared" si="45"/>
        <v>0</v>
      </c>
      <c r="W47" s="243">
        <f t="shared" si="46"/>
        <v>14.5</v>
      </c>
      <c r="X47" s="233">
        <f t="shared" si="47"/>
        <v>0.91572995123738021</v>
      </c>
      <c r="Y47" s="233">
        <f t="shared" si="48"/>
        <v>0.31840248485926437</v>
      </c>
      <c r="Z47" s="233">
        <f t="shared" si="49"/>
        <v>0</v>
      </c>
      <c r="AA47" s="233">
        <f t="shared" si="50"/>
        <v>0</v>
      </c>
      <c r="AB47" s="233">
        <f t="shared" si="72"/>
        <v>0.95</v>
      </c>
      <c r="AC47" s="233">
        <f t="shared" si="51"/>
        <v>0.97621963782880439</v>
      </c>
      <c r="AD47" s="233">
        <f t="shared" si="52"/>
        <v>0.9274086559373641</v>
      </c>
      <c r="AE47" s="240">
        <f t="shared" si="53"/>
        <v>0</v>
      </c>
      <c r="AF47" s="248">
        <f t="shared" si="54"/>
        <v>0</v>
      </c>
      <c r="AG47"/>
      <c r="AH47"/>
      <c r="AI47"/>
      <c r="AJ47"/>
      <c r="AK47" s="235"/>
      <c r="AL47" s="249">
        <f t="shared" si="73"/>
        <v>2025</v>
      </c>
      <c r="AM47" s="233">
        <f t="shared" si="74"/>
        <v>52</v>
      </c>
      <c r="AN47" s="233">
        <f t="shared" si="75"/>
        <v>17</v>
      </c>
      <c r="AO47" s="240">
        <f t="shared" si="76"/>
        <v>234532.375</v>
      </c>
      <c r="AP47" s="233">
        <f t="shared" si="55"/>
        <v>0.61</v>
      </c>
      <c r="AQ47" s="240">
        <f t="shared" si="56"/>
        <v>30401.259109375002</v>
      </c>
      <c r="AR47" s="240">
        <f t="shared" si="57"/>
        <v>49838.129687500004</v>
      </c>
      <c r="AS47" s="233">
        <f t="shared" si="58"/>
        <v>0</v>
      </c>
      <c r="AT47" s="243">
        <f t="shared" si="59"/>
        <v>14.5</v>
      </c>
      <c r="AU47" s="233">
        <f t="shared" si="60"/>
        <v>0.91572995123738021</v>
      </c>
      <c r="AV47" s="233">
        <f t="shared" si="61"/>
        <v>0.51672044231576797</v>
      </c>
      <c r="AW47" s="233">
        <f t="shared" si="62"/>
        <v>0</v>
      </c>
      <c r="AX47" s="233">
        <f t="shared" si="63"/>
        <v>0</v>
      </c>
      <c r="AY47" s="233">
        <f t="shared" si="77"/>
        <v>1</v>
      </c>
      <c r="AZ47" s="233">
        <f t="shared" si="64"/>
        <v>0.97621963782880439</v>
      </c>
      <c r="BA47" s="233">
        <f t="shared" si="65"/>
        <v>0.97621963782880439</v>
      </c>
      <c r="BB47" s="240">
        <f t="shared" si="66"/>
        <v>0</v>
      </c>
      <c r="BC47" s="248">
        <f t="shared" si="67"/>
        <v>0</v>
      </c>
      <c r="BD47"/>
      <c r="BE47"/>
      <c r="BF47"/>
      <c r="BG47"/>
    </row>
    <row r="48" spans="1:66">
      <c r="A48" s="126"/>
      <c r="B48" s="263"/>
      <c r="C48" s="263"/>
      <c r="D48" s="263"/>
      <c r="E48" s="263"/>
      <c r="F48" s="263"/>
      <c r="G48" s="257"/>
      <c r="H48" s="252"/>
      <c r="K48" s="262"/>
      <c r="M48" s="250"/>
      <c r="N48" s="233"/>
      <c r="O48" s="249">
        <f t="shared" si="68"/>
        <v>2026</v>
      </c>
      <c r="P48" s="233">
        <f t="shared" si="69"/>
        <v>42</v>
      </c>
      <c r="Q48" s="233">
        <f t="shared" si="70"/>
        <v>13</v>
      </c>
      <c r="R48" s="240">
        <f t="shared" si="71"/>
        <v>82552.730859374991</v>
      </c>
      <c r="S48" s="233">
        <f t="shared" si="42"/>
        <v>0.31000000000000005</v>
      </c>
      <c r="T48" s="240">
        <f t="shared" si="43"/>
        <v>4158.5938170410163</v>
      </c>
      <c r="U48" s="240">
        <f t="shared" si="44"/>
        <v>13414.818764648435</v>
      </c>
      <c r="V48" s="233">
        <f t="shared" si="45"/>
        <v>0</v>
      </c>
      <c r="W48" s="243">
        <f t="shared" si="46"/>
        <v>14.5</v>
      </c>
      <c r="X48" s="233">
        <f t="shared" si="47"/>
        <v>0.87629660405490928</v>
      </c>
      <c r="Y48" s="233">
        <f t="shared" si="48"/>
        <v>0.31840248485926437</v>
      </c>
      <c r="Z48" s="233">
        <f t="shared" si="49"/>
        <v>0</v>
      </c>
      <c r="AA48" s="233">
        <f t="shared" si="50"/>
        <v>0</v>
      </c>
      <c r="AB48" s="233">
        <f t="shared" si="72"/>
        <v>0.95</v>
      </c>
      <c r="AC48" s="233">
        <f t="shared" si="51"/>
        <v>0.96454236943372307</v>
      </c>
      <c r="AD48" s="233">
        <f t="shared" si="52"/>
        <v>0.91631525096203692</v>
      </c>
      <c r="AE48" s="240">
        <f t="shared" si="53"/>
        <v>0</v>
      </c>
      <c r="AF48" s="248">
        <f t="shared" si="54"/>
        <v>0</v>
      </c>
      <c r="AG48"/>
      <c r="AH48"/>
      <c r="AI48"/>
      <c r="AJ48"/>
      <c r="AK48" s="235"/>
      <c r="AL48" s="249">
        <f t="shared" si="73"/>
        <v>2026</v>
      </c>
      <c r="AM48" s="233">
        <f t="shared" si="74"/>
        <v>53</v>
      </c>
      <c r="AN48" s="233">
        <f t="shared" si="75"/>
        <v>18</v>
      </c>
      <c r="AO48" s="240">
        <f t="shared" si="76"/>
        <v>242154.6771875</v>
      </c>
      <c r="AP48" s="233">
        <f t="shared" si="55"/>
        <v>0.64</v>
      </c>
      <c r="AQ48" s="240">
        <f t="shared" si="56"/>
        <v>34870.273515000001</v>
      </c>
      <c r="AR48" s="240">
        <f t="shared" si="57"/>
        <v>54484.802367187505</v>
      </c>
      <c r="AS48" s="233">
        <f t="shared" si="58"/>
        <v>0</v>
      </c>
      <c r="AT48" s="243">
        <f t="shared" si="59"/>
        <v>14.5</v>
      </c>
      <c r="AU48" s="233">
        <f t="shared" si="60"/>
        <v>0.87629660405490928</v>
      </c>
      <c r="AV48" s="233">
        <f t="shared" si="61"/>
        <v>0.51672044231576797</v>
      </c>
      <c r="AW48" s="233">
        <f t="shared" si="62"/>
        <v>0</v>
      </c>
      <c r="AX48" s="233">
        <f t="shared" si="63"/>
        <v>0</v>
      </c>
      <c r="AY48" s="233">
        <f t="shared" si="77"/>
        <v>1</v>
      </c>
      <c r="AZ48" s="233">
        <f t="shared" si="64"/>
        <v>0.96454236943372307</v>
      </c>
      <c r="BA48" s="233">
        <f t="shared" si="65"/>
        <v>0.96454236943372307</v>
      </c>
      <c r="BB48" s="240">
        <f t="shared" si="66"/>
        <v>0</v>
      </c>
      <c r="BC48" s="248">
        <f t="shared" si="67"/>
        <v>0</v>
      </c>
      <c r="BD48"/>
      <c r="BE48"/>
      <c r="BF48"/>
      <c r="BG48"/>
    </row>
    <row r="49" spans="1:59">
      <c r="A49" s="126"/>
      <c r="B49" s="469" t="s">
        <v>290</v>
      </c>
      <c r="C49" s="470"/>
      <c r="D49" s="470"/>
      <c r="E49" s="470"/>
      <c r="F49" s="471"/>
      <c r="G49" s="257"/>
      <c r="H49" s="252"/>
      <c r="L49" s="250"/>
      <c r="N49" s="233"/>
      <c r="O49" s="249">
        <f t="shared" si="68"/>
        <v>2027</v>
      </c>
      <c r="P49" s="233">
        <f t="shared" si="69"/>
        <v>43</v>
      </c>
      <c r="Q49" s="233">
        <f t="shared" si="70"/>
        <v>14</v>
      </c>
      <c r="R49" s="240">
        <f t="shared" si="71"/>
        <v>85235.69461230468</v>
      </c>
      <c r="S49" s="233">
        <f t="shared" si="42"/>
        <v>0.34000000000000008</v>
      </c>
      <c r="T49" s="240">
        <f t="shared" si="43"/>
        <v>5071.5238294321298</v>
      </c>
      <c r="U49" s="240">
        <f t="shared" si="44"/>
        <v>14916.246557153321</v>
      </c>
      <c r="V49" s="233">
        <f t="shared" si="45"/>
        <v>0</v>
      </c>
      <c r="W49" s="243">
        <f t="shared" si="46"/>
        <v>14.5</v>
      </c>
      <c r="X49" s="233">
        <f t="shared" si="47"/>
        <v>0.83856134359321488</v>
      </c>
      <c r="Y49" s="233">
        <f t="shared" si="48"/>
        <v>0.31840248485926437</v>
      </c>
      <c r="Z49" s="233">
        <f t="shared" si="49"/>
        <v>0</v>
      </c>
      <c r="AA49" s="233">
        <f t="shared" si="50"/>
        <v>0</v>
      </c>
      <c r="AB49" s="233">
        <f t="shared" si="72"/>
        <v>0.95</v>
      </c>
      <c r="AC49" s="233">
        <f t="shared" si="51"/>
        <v>0.95300478128260213</v>
      </c>
      <c r="AD49" s="233">
        <f t="shared" si="52"/>
        <v>0.905354542218472</v>
      </c>
      <c r="AE49" s="240">
        <f t="shared" si="53"/>
        <v>0</v>
      </c>
      <c r="AF49" s="248">
        <f t="shared" si="54"/>
        <v>0</v>
      </c>
      <c r="AG49"/>
      <c r="AH49"/>
      <c r="AI49"/>
      <c r="AJ49"/>
      <c r="AK49" s="235"/>
      <c r="AL49" s="249">
        <f t="shared" si="73"/>
        <v>2027</v>
      </c>
      <c r="AM49" s="233">
        <f t="shared" si="74"/>
        <v>54</v>
      </c>
      <c r="AN49" s="233">
        <f t="shared" si="75"/>
        <v>19</v>
      </c>
      <c r="AO49" s="240">
        <f t="shared" si="76"/>
        <v>250024.70419609375</v>
      </c>
      <c r="AP49" s="233">
        <f t="shared" si="55"/>
        <v>0.67</v>
      </c>
      <c r="AQ49" s="240">
        <f t="shared" si="56"/>
        <v>39785.181055203415</v>
      </c>
      <c r="AR49" s="240">
        <f t="shared" si="57"/>
        <v>59380.86724657227</v>
      </c>
      <c r="AS49" s="233">
        <f t="shared" si="58"/>
        <v>0</v>
      </c>
      <c r="AT49" s="243">
        <f t="shared" si="59"/>
        <v>14.5</v>
      </c>
      <c r="AU49" s="233">
        <f t="shared" si="60"/>
        <v>0.83856134359321488</v>
      </c>
      <c r="AV49" s="233">
        <f t="shared" si="61"/>
        <v>0.51672044231576797</v>
      </c>
      <c r="AW49" s="233">
        <f t="shared" si="62"/>
        <v>0</v>
      </c>
      <c r="AX49" s="233">
        <f t="shared" si="63"/>
        <v>0</v>
      </c>
      <c r="AY49" s="233">
        <f t="shared" si="77"/>
        <v>1</v>
      </c>
      <c r="AZ49" s="233">
        <f t="shared" si="64"/>
        <v>0.95300478128260213</v>
      </c>
      <c r="BA49" s="233">
        <f t="shared" si="65"/>
        <v>0.95300478128260213</v>
      </c>
      <c r="BB49" s="240">
        <f t="shared" si="66"/>
        <v>0</v>
      </c>
      <c r="BC49" s="248">
        <f t="shared" si="67"/>
        <v>0</v>
      </c>
      <c r="BD49"/>
      <c r="BE49"/>
      <c r="BF49"/>
      <c r="BG49"/>
    </row>
    <row r="50" spans="1:59">
      <c r="A50" s="126"/>
      <c r="B50" s="472"/>
      <c r="C50" s="473"/>
      <c r="D50" s="473"/>
      <c r="E50" s="473"/>
      <c r="F50" s="474"/>
      <c r="G50" s="257"/>
      <c r="H50" s="252"/>
      <c r="L50" s="250"/>
      <c r="M50" s="250"/>
      <c r="N50" s="233"/>
      <c r="O50" s="249">
        <f t="shared" si="68"/>
        <v>2028</v>
      </c>
      <c r="P50" s="233">
        <f t="shared" si="69"/>
        <v>44</v>
      </c>
      <c r="Q50" s="233">
        <f t="shared" si="70"/>
        <v>15</v>
      </c>
      <c r="R50" s="240">
        <f t="shared" si="71"/>
        <v>88005.854687204584</v>
      </c>
      <c r="S50" s="233">
        <f t="shared" si="42"/>
        <v>0.37</v>
      </c>
      <c r="T50" s="240">
        <f t="shared" si="43"/>
        <v>6105.4061689248183</v>
      </c>
      <c r="U50" s="240">
        <f t="shared" si="44"/>
        <v>16501.09775385086</v>
      </c>
      <c r="V50" s="233">
        <f t="shared" si="45"/>
        <v>0</v>
      </c>
      <c r="W50" s="243">
        <f t="shared" si="46"/>
        <v>14.5</v>
      </c>
      <c r="X50" s="233">
        <f t="shared" si="47"/>
        <v>0.80245104650068411</v>
      </c>
      <c r="Y50" s="233">
        <f t="shared" si="48"/>
        <v>0.31840248485926437</v>
      </c>
      <c r="Z50" s="233">
        <f t="shared" si="49"/>
        <v>0</v>
      </c>
      <c r="AA50" s="233">
        <f t="shared" si="50"/>
        <v>0</v>
      </c>
      <c r="AB50" s="233">
        <f t="shared" si="72"/>
        <v>0.95</v>
      </c>
      <c r="AC50" s="233">
        <f t="shared" si="51"/>
        <v>0.94160520255912605</v>
      </c>
      <c r="AD50" s="233">
        <f t="shared" si="52"/>
        <v>0.89452494243116976</v>
      </c>
      <c r="AE50" s="240">
        <f t="shared" si="53"/>
        <v>0</v>
      </c>
      <c r="AF50" s="248">
        <f t="shared" si="54"/>
        <v>0</v>
      </c>
      <c r="AG50"/>
      <c r="AH50"/>
      <c r="AI50"/>
      <c r="AJ50"/>
      <c r="AK50" s="235"/>
      <c r="AL50" s="249">
        <f t="shared" si="73"/>
        <v>2028</v>
      </c>
      <c r="AM50" s="233">
        <f t="shared" si="74"/>
        <v>55</v>
      </c>
      <c r="AN50" s="233">
        <f t="shared" si="75"/>
        <v>20</v>
      </c>
      <c r="AO50" s="240">
        <f t="shared" si="76"/>
        <v>258150.50708246679</v>
      </c>
      <c r="AP50" s="233">
        <f t="shared" si="55"/>
        <v>0.7</v>
      </c>
      <c r="AQ50" s="240">
        <f t="shared" si="56"/>
        <v>45176.338739431696</v>
      </c>
      <c r="AR50" s="240">
        <f t="shared" si="57"/>
        <v>64537.626770616698</v>
      </c>
      <c r="AS50" s="233">
        <f t="shared" si="58"/>
        <v>17</v>
      </c>
      <c r="AT50" s="243">
        <f t="shared" si="59"/>
        <v>14.5</v>
      </c>
      <c r="AU50" s="233">
        <f t="shared" si="60"/>
        <v>0.80245104650068411</v>
      </c>
      <c r="AV50" s="233">
        <f t="shared" si="61"/>
        <v>0.51672044231576797</v>
      </c>
      <c r="AW50" s="233">
        <f t="shared" si="62"/>
        <v>0.4</v>
      </c>
      <c r="AX50" s="233">
        <f t="shared" si="63"/>
        <v>0</v>
      </c>
      <c r="AY50" s="233">
        <f t="shared" si="77"/>
        <v>1</v>
      </c>
      <c r="AZ50" s="233">
        <f t="shared" si="64"/>
        <v>0.94160520255912605</v>
      </c>
      <c r="BA50" s="233">
        <f t="shared" si="65"/>
        <v>0.56496312153547557</v>
      </c>
      <c r="BB50" s="240">
        <f t="shared" si="66"/>
        <v>246512.24202997927</v>
      </c>
      <c r="BC50" s="248">
        <f t="shared" si="67"/>
        <v>0</v>
      </c>
      <c r="BD50"/>
      <c r="BE50"/>
      <c r="BF50"/>
      <c r="BG50"/>
    </row>
    <row r="51" spans="1:59">
      <c r="A51" s="126"/>
      <c r="B51" s="253"/>
      <c r="E51" s="253"/>
      <c r="F51" s="257"/>
      <c r="G51" s="257"/>
      <c r="H51" s="252"/>
      <c r="L51" s="250"/>
      <c r="M51" s="250"/>
      <c r="N51" s="233"/>
      <c r="O51" s="249">
        <f t="shared" si="68"/>
        <v>2029</v>
      </c>
      <c r="P51" s="233">
        <f t="shared" si="69"/>
        <v>45</v>
      </c>
      <c r="Q51" s="233">
        <f t="shared" si="70"/>
        <v>16</v>
      </c>
      <c r="R51" s="240">
        <f t="shared" si="71"/>
        <v>90866.044964538727</v>
      </c>
      <c r="S51" s="233">
        <f t="shared" si="42"/>
        <v>0.4</v>
      </c>
      <c r="T51" s="240">
        <f t="shared" si="43"/>
        <v>7269.2835971630984</v>
      </c>
      <c r="U51" s="240">
        <f t="shared" si="44"/>
        <v>18173.208992907745</v>
      </c>
      <c r="V51" s="233">
        <f t="shared" si="45"/>
        <v>0</v>
      </c>
      <c r="W51" s="243">
        <f t="shared" si="46"/>
        <v>14.5</v>
      </c>
      <c r="X51" s="233">
        <f t="shared" si="47"/>
        <v>0.76789573827816682</v>
      </c>
      <c r="Y51" s="233">
        <f t="shared" si="48"/>
        <v>0.31840248485926437</v>
      </c>
      <c r="Z51" s="233">
        <f t="shared" si="49"/>
        <v>0</v>
      </c>
      <c r="AA51" s="233">
        <f t="shared" si="50"/>
        <v>0</v>
      </c>
      <c r="AB51" s="233">
        <f t="shared" si="72"/>
        <v>0.95</v>
      </c>
      <c r="AC51" s="233">
        <f t="shared" si="51"/>
        <v>0.93034198243282074</v>
      </c>
      <c r="AD51" s="233">
        <f t="shared" si="52"/>
        <v>0.8838248833111797</v>
      </c>
      <c r="AE51" s="240">
        <f t="shared" si="53"/>
        <v>0</v>
      </c>
      <c r="AF51" s="248">
        <f t="shared" si="54"/>
        <v>0</v>
      </c>
      <c r="AG51"/>
      <c r="AH51"/>
      <c r="AI51"/>
      <c r="AJ51"/>
      <c r="AK51" s="235"/>
      <c r="AL51" s="249">
        <f t="shared" si="73"/>
        <v>2029</v>
      </c>
      <c r="AM51" s="233">
        <f t="shared" si="74"/>
        <v>56</v>
      </c>
      <c r="AN51" s="233">
        <f t="shared" si="75"/>
        <v>21</v>
      </c>
      <c r="AO51" s="240">
        <f t="shared" si="76"/>
        <v>266540.39856264694</v>
      </c>
      <c r="AP51" s="233">
        <f t="shared" si="55"/>
        <v>0.73</v>
      </c>
      <c r="AQ51" s="240">
        <f t="shared" si="56"/>
        <v>51075.803874567217</v>
      </c>
      <c r="AR51" s="240">
        <f t="shared" si="57"/>
        <v>69966.854622694824</v>
      </c>
      <c r="AS51" s="233">
        <f t="shared" si="58"/>
        <v>0</v>
      </c>
      <c r="AT51" s="243">
        <f t="shared" si="59"/>
        <v>14.5</v>
      </c>
      <c r="AU51" s="233">
        <f t="shared" si="60"/>
        <v>0.76789573827816682</v>
      </c>
      <c r="AV51" s="233">
        <f t="shared" si="61"/>
        <v>0.51672044231576797</v>
      </c>
      <c r="AW51" s="233">
        <f t="shared" si="62"/>
        <v>0</v>
      </c>
      <c r="AX51" s="233">
        <f t="shared" si="63"/>
        <v>0</v>
      </c>
      <c r="AY51" s="233">
        <f t="shared" si="77"/>
        <v>0.6</v>
      </c>
      <c r="AZ51" s="233">
        <f t="shared" si="64"/>
        <v>0.93034198243282074</v>
      </c>
      <c r="BA51" s="233">
        <f t="shared" si="65"/>
        <v>0.55820518945969244</v>
      </c>
      <c r="BB51" s="240">
        <f t="shared" si="66"/>
        <v>0</v>
      </c>
      <c r="BC51" s="248">
        <f t="shared" si="67"/>
        <v>0</v>
      </c>
      <c r="BD51"/>
      <c r="BE51"/>
      <c r="BF51"/>
      <c r="BG51"/>
    </row>
    <row r="52" spans="1:59">
      <c r="A52" s="126"/>
      <c r="L52" s="250"/>
      <c r="M52" s="250"/>
      <c r="N52" s="233"/>
      <c r="O52" s="249">
        <f t="shared" si="68"/>
        <v>2030</v>
      </c>
      <c r="P52" s="233">
        <f t="shared" si="69"/>
        <v>46</v>
      </c>
      <c r="Q52" s="233">
        <f t="shared" si="70"/>
        <v>17</v>
      </c>
      <c r="R52" s="240">
        <f t="shared" si="71"/>
        <v>93819.191425886238</v>
      </c>
      <c r="S52" s="233">
        <f t="shared" si="42"/>
        <v>0.43000000000000005</v>
      </c>
      <c r="T52" s="240">
        <f t="shared" si="43"/>
        <v>8572.7286165403566</v>
      </c>
      <c r="U52" s="240">
        <f t="shared" si="44"/>
        <v>19936.578178000826</v>
      </c>
      <c r="V52" s="233">
        <f t="shared" si="45"/>
        <v>0</v>
      </c>
      <c r="W52" s="243">
        <f t="shared" si="46"/>
        <v>14.5</v>
      </c>
      <c r="X52" s="233">
        <f t="shared" si="47"/>
        <v>0.73482845768245619</v>
      </c>
      <c r="Y52" s="233">
        <f t="shared" si="48"/>
        <v>0.31840248485926437</v>
      </c>
      <c r="Z52" s="233">
        <f t="shared" si="49"/>
        <v>0</v>
      </c>
      <c r="AA52" s="233">
        <f t="shared" si="50"/>
        <v>0</v>
      </c>
      <c r="AB52" s="233">
        <f t="shared" si="72"/>
        <v>0.95</v>
      </c>
      <c r="AC52" s="233">
        <f t="shared" si="51"/>
        <v>0.91921348981998807</v>
      </c>
      <c r="AD52" s="233">
        <f t="shared" si="52"/>
        <v>0.87325281532898857</v>
      </c>
      <c r="AE52" s="240">
        <f t="shared" si="53"/>
        <v>0</v>
      </c>
      <c r="AF52" s="248">
        <f t="shared" si="54"/>
        <v>0</v>
      </c>
      <c r="AG52"/>
      <c r="AH52"/>
      <c r="AI52"/>
      <c r="AJ52"/>
      <c r="AK52" s="235"/>
      <c r="AL52" s="249">
        <f t="shared" si="73"/>
        <v>2030</v>
      </c>
      <c r="AM52" s="233">
        <f t="shared" si="74"/>
        <v>57</v>
      </c>
      <c r="AN52" s="233">
        <f t="shared" si="75"/>
        <v>22</v>
      </c>
      <c r="AO52" s="240">
        <f t="shared" si="76"/>
        <v>275202.96151593293</v>
      </c>
      <c r="AP52" s="233">
        <f t="shared" si="55"/>
        <v>0.76</v>
      </c>
      <c r="AQ52" s="240">
        <f t="shared" si="56"/>
        <v>57517.418956829984</v>
      </c>
      <c r="AR52" s="240">
        <f t="shared" si="57"/>
        <v>75680.814416881563</v>
      </c>
      <c r="AS52" s="233">
        <f t="shared" si="58"/>
        <v>0</v>
      </c>
      <c r="AT52" s="243">
        <f t="shared" si="59"/>
        <v>14.5</v>
      </c>
      <c r="AU52" s="233">
        <f t="shared" si="60"/>
        <v>0.73482845768245619</v>
      </c>
      <c r="AV52" s="233">
        <f t="shared" si="61"/>
        <v>0.51672044231576797</v>
      </c>
      <c r="AW52" s="233">
        <f t="shared" si="62"/>
        <v>0</v>
      </c>
      <c r="AX52" s="233">
        <f t="shared" si="63"/>
        <v>0</v>
      </c>
      <c r="AY52" s="233">
        <f t="shared" si="77"/>
        <v>0.6</v>
      </c>
      <c r="AZ52" s="233">
        <f t="shared" si="64"/>
        <v>0.91921348981998807</v>
      </c>
      <c r="BA52" s="233">
        <f t="shared" si="65"/>
        <v>0.55152809389199287</v>
      </c>
      <c r="BB52" s="240">
        <f t="shared" si="66"/>
        <v>0</v>
      </c>
      <c r="BC52" s="248">
        <f t="shared" si="67"/>
        <v>0</v>
      </c>
      <c r="BD52" s="242"/>
      <c r="BE52" s="242"/>
      <c r="BF52" s="242"/>
      <c r="BG52" s="242"/>
    </row>
    <row r="53" spans="1:59">
      <c r="A53" s="126"/>
      <c r="B53" s="256"/>
      <c r="L53" s="250"/>
      <c r="N53" s="233"/>
      <c r="O53" s="249">
        <f t="shared" si="68"/>
        <v>2031</v>
      </c>
      <c r="P53" s="233">
        <f t="shared" si="69"/>
        <v>47</v>
      </c>
      <c r="Q53" s="233">
        <f t="shared" si="70"/>
        <v>18</v>
      </c>
      <c r="R53" s="240">
        <f t="shared" si="71"/>
        <v>96868.315147227535</v>
      </c>
      <c r="S53" s="233">
        <f t="shared" si="42"/>
        <v>0.45999999999999996</v>
      </c>
      <c r="T53" s="240">
        <f t="shared" si="43"/>
        <v>10025.870617738048</v>
      </c>
      <c r="U53" s="240">
        <f t="shared" si="44"/>
        <v>21795.370908126195</v>
      </c>
      <c r="V53" s="233">
        <f t="shared" si="45"/>
        <v>0</v>
      </c>
      <c r="W53" s="243">
        <f t="shared" si="46"/>
        <v>14.5</v>
      </c>
      <c r="X53" s="233">
        <f t="shared" si="47"/>
        <v>0.70318512696885782</v>
      </c>
      <c r="Y53" s="233">
        <f t="shared" si="48"/>
        <v>0.31840248485926437</v>
      </c>
      <c r="Z53" s="233">
        <f t="shared" si="49"/>
        <v>0</v>
      </c>
      <c r="AA53" s="233">
        <f t="shared" si="50"/>
        <v>0</v>
      </c>
      <c r="AB53" s="233">
        <f t="shared" si="72"/>
        <v>0.95</v>
      </c>
      <c r="AC53" s="233">
        <f t="shared" si="51"/>
        <v>0.90821811314750023</v>
      </c>
      <c r="AD53" s="233">
        <f t="shared" si="52"/>
        <v>0.86280720749012518</v>
      </c>
      <c r="AE53" s="240">
        <f t="shared" si="53"/>
        <v>0</v>
      </c>
      <c r="AF53" s="248">
        <f t="shared" si="54"/>
        <v>0</v>
      </c>
      <c r="AG53"/>
      <c r="AH53"/>
      <c r="AI53"/>
      <c r="AJ53"/>
      <c r="AK53" s="235"/>
      <c r="AL53" s="249">
        <f t="shared" si="73"/>
        <v>2031</v>
      </c>
      <c r="AM53" s="233">
        <f t="shared" si="74"/>
        <v>58</v>
      </c>
      <c r="AN53" s="233">
        <f t="shared" si="75"/>
        <v>23</v>
      </c>
      <c r="AO53" s="240">
        <f t="shared" si="76"/>
        <v>284147.05776520073</v>
      </c>
      <c r="AP53" s="233">
        <f t="shared" si="55"/>
        <v>0.79</v>
      </c>
      <c r="AQ53" s="240">
        <f t="shared" si="56"/>
        <v>64536.900494921225</v>
      </c>
      <c r="AR53" s="240">
        <f t="shared" si="57"/>
        <v>81692.279107495211</v>
      </c>
      <c r="AS53" s="233">
        <f t="shared" si="58"/>
        <v>0</v>
      </c>
      <c r="AT53" s="243">
        <f t="shared" si="59"/>
        <v>14.5</v>
      </c>
      <c r="AU53" s="233">
        <f t="shared" si="60"/>
        <v>0.70318512696885782</v>
      </c>
      <c r="AV53" s="233">
        <f t="shared" si="61"/>
        <v>0.51672044231576797</v>
      </c>
      <c r="AW53" s="233">
        <f t="shared" si="62"/>
        <v>0</v>
      </c>
      <c r="AX53" s="233">
        <f t="shared" si="63"/>
        <v>0</v>
      </c>
      <c r="AY53" s="233">
        <f t="shared" si="77"/>
        <v>0.6</v>
      </c>
      <c r="AZ53" s="233">
        <f t="shared" si="64"/>
        <v>0.90821811314750023</v>
      </c>
      <c r="BA53" s="233">
        <f t="shared" si="65"/>
        <v>0.54493086788850009</v>
      </c>
      <c r="BB53" s="240">
        <f t="shared" si="66"/>
        <v>0</v>
      </c>
      <c r="BC53" s="248">
        <f t="shared" si="67"/>
        <v>0</v>
      </c>
      <c r="BD53" s="242"/>
      <c r="BE53" s="242"/>
      <c r="BF53" s="242"/>
      <c r="BG53" s="242"/>
    </row>
    <row r="54" spans="1:59">
      <c r="A54" s="126"/>
      <c r="B54" s="255"/>
      <c r="C54" s="254"/>
      <c r="D54" s="254"/>
      <c r="L54" s="250"/>
      <c r="N54" s="233"/>
      <c r="O54" s="249">
        <f t="shared" si="68"/>
        <v>2032</v>
      </c>
      <c r="P54" s="233">
        <f t="shared" si="69"/>
        <v>48</v>
      </c>
      <c r="Q54" s="233">
        <f t="shared" si="70"/>
        <v>19</v>
      </c>
      <c r="R54" s="240">
        <f t="shared" si="71"/>
        <v>100016.53538951243</v>
      </c>
      <c r="S54" s="233">
        <f t="shared" si="42"/>
        <v>0.49</v>
      </c>
      <c r="T54" s="240">
        <f t="shared" si="43"/>
        <v>11639.424305954508</v>
      </c>
      <c r="U54" s="240">
        <f t="shared" si="44"/>
        <v>23753.927155009202</v>
      </c>
      <c r="V54" s="233">
        <f t="shared" si="45"/>
        <v>0</v>
      </c>
      <c r="W54" s="243">
        <f t="shared" si="46"/>
        <v>14.5</v>
      </c>
      <c r="X54" s="233">
        <f t="shared" si="47"/>
        <v>0.67290442772139514</v>
      </c>
      <c r="Y54" s="233">
        <f t="shared" si="48"/>
        <v>0.31840248485926437</v>
      </c>
      <c r="Z54" s="233">
        <f t="shared" si="49"/>
        <v>0</v>
      </c>
      <c r="AA54" s="233">
        <f t="shared" si="50"/>
        <v>0</v>
      </c>
      <c r="AB54" s="233">
        <f t="shared" si="72"/>
        <v>0.95</v>
      </c>
      <c r="AC54" s="233">
        <f t="shared" si="51"/>
        <v>0.89735426011942032</v>
      </c>
      <c r="AD54" s="233">
        <f t="shared" si="52"/>
        <v>0.85248654711344929</v>
      </c>
      <c r="AE54" s="240">
        <f t="shared" si="53"/>
        <v>0</v>
      </c>
      <c r="AF54" s="248">
        <f t="shared" si="54"/>
        <v>0</v>
      </c>
      <c r="AG54"/>
      <c r="AH54"/>
      <c r="AI54"/>
      <c r="AJ54"/>
      <c r="AK54" s="235"/>
      <c r="AL54" s="249">
        <f t="shared" si="73"/>
        <v>2032</v>
      </c>
      <c r="AM54" s="233">
        <f t="shared" si="74"/>
        <v>59</v>
      </c>
      <c r="AN54" s="233">
        <f t="shared" si="75"/>
        <v>24</v>
      </c>
      <c r="AO54" s="240">
        <f t="shared" si="76"/>
        <v>293381.83714256977</v>
      </c>
      <c r="AP54" s="233">
        <f t="shared" si="55"/>
        <v>0.82000000000000006</v>
      </c>
      <c r="AQ54" s="240">
        <f t="shared" si="56"/>
        <v>72171.931937072179</v>
      </c>
      <c r="AR54" s="240">
        <f t="shared" si="57"/>
        <v>88014.551142770943</v>
      </c>
      <c r="AS54" s="233">
        <f t="shared" si="58"/>
        <v>0</v>
      </c>
      <c r="AT54" s="243">
        <f t="shared" si="59"/>
        <v>14.5</v>
      </c>
      <c r="AU54" s="233">
        <f t="shared" si="60"/>
        <v>0.67290442772139514</v>
      </c>
      <c r="AV54" s="233">
        <f t="shared" si="61"/>
        <v>0.51672044231576797</v>
      </c>
      <c r="AW54" s="233">
        <f t="shared" si="62"/>
        <v>0</v>
      </c>
      <c r="AX54" s="233">
        <f t="shared" si="63"/>
        <v>0</v>
      </c>
      <c r="AY54" s="233">
        <f t="shared" si="77"/>
        <v>0.6</v>
      </c>
      <c r="AZ54" s="233">
        <f t="shared" si="64"/>
        <v>0.89735426011942032</v>
      </c>
      <c r="BA54" s="233">
        <f t="shared" si="65"/>
        <v>0.53841255607165217</v>
      </c>
      <c r="BB54" s="240">
        <f t="shared" si="66"/>
        <v>0</v>
      </c>
      <c r="BC54" s="248">
        <f t="shared" si="67"/>
        <v>0</v>
      </c>
      <c r="BD54" s="242"/>
      <c r="BE54" s="242"/>
      <c r="BF54" s="242"/>
      <c r="BG54" s="242"/>
    </row>
    <row r="55" spans="1:59">
      <c r="A55" s="126"/>
      <c r="B55" s="255"/>
      <c r="C55" s="254"/>
      <c r="D55" s="254"/>
      <c r="N55" s="233"/>
      <c r="O55" s="249">
        <f t="shared" si="68"/>
        <v>2033</v>
      </c>
      <c r="P55" s="233">
        <f t="shared" si="69"/>
        <v>49</v>
      </c>
      <c r="Q55" s="233">
        <f t="shared" si="70"/>
        <v>20</v>
      </c>
      <c r="R55" s="240">
        <f t="shared" si="71"/>
        <v>103267.07278967158</v>
      </c>
      <c r="S55" s="233">
        <f t="shared" si="42"/>
        <v>0.52</v>
      </c>
      <c r="T55" s="240">
        <f t="shared" si="43"/>
        <v>13424.719462657305</v>
      </c>
      <c r="U55" s="240">
        <f t="shared" si="44"/>
        <v>25816.768197417896</v>
      </c>
      <c r="V55" s="233">
        <f t="shared" si="45"/>
        <v>0</v>
      </c>
      <c r="W55" s="243">
        <f t="shared" si="46"/>
        <v>14.5</v>
      </c>
      <c r="X55" s="233">
        <f t="shared" si="47"/>
        <v>0.64392768203004325</v>
      </c>
      <c r="Y55" s="233">
        <f t="shared" si="48"/>
        <v>0.31840248485926437</v>
      </c>
      <c r="Z55" s="233">
        <f t="shared" si="49"/>
        <v>0</v>
      </c>
      <c r="AA55" s="233">
        <f t="shared" si="50"/>
        <v>0</v>
      </c>
      <c r="AB55" s="233">
        <f t="shared" si="72"/>
        <v>0.95</v>
      </c>
      <c r="AC55" s="233">
        <f t="shared" si="51"/>
        <v>0.88662035748641288</v>
      </c>
      <c r="AD55" s="233">
        <f t="shared" si="52"/>
        <v>0.84228933961209218</v>
      </c>
      <c r="AE55" s="240">
        <f t="shared" si="53"/>
        <v>0</v>
      </c>
      <c r="AF55" s="248">
        <f t="shared" si="54"/>
        <v>0</v>
      </c>
      <c r="AG55"/>
      <c r="AH55"/>
      <c r="AI55"/>
      <c r="AJ55"/>
      <c r="AK55" s="235"/>
      <c r="AL55" s="249">
        <f t="shared" si="73"/>
        <v>2033</v>
      </c>
      <c r="AM55" s="233">
        <f t="shared" si="74"/>
        <v>60</v>
      </c>
      <c r="AN55" s="233">
        <f t="shared" si="75"/>
        <v>25</v>
      </c>
      <c r="AO55" s="240">
        <f t="shared" si="76"/>
        <v>302916.74684970325</v>
      </c>
      <c r="AP55" s="233">
        <f t="shared" si="55"/>
        <v>0.85</v>
      </c>
      <c r="AQ55" s="240">
        <f t="shared" si="56"/>
        <v>80462.260881952432</v>
      </c>
      <c r="AR55" s="240">
        <f t="shared" si="57"/>
        <v>94661.483390532274</v>
      </c>
      <c r="AS55" s="233">
        <f t="shared" si="58"/>
        <v>0</v>
      </c>
      <c r="AT55" s="243">
        <f t="shared" si="59"/>
        <v>14.5</v>
      </c>
      <c r="AU55" s="233">
        <f t="shared" si="60"/>
        <v>0.64392768203004325</v>
      </c>
      <c r="AV55" s="233">
        <f t="shared" si="61"/>
        <v>0.51672044231576797</v>
      </c>
      <c r="AW55" s="233">
        <f t="shared" si="62"/>
        <v>0</v>
      </c>
      <c r="AX55" s="233">
        <f t="shared" si="63"/>
        <v>0</v>
      </c>
      <c r="AY55" s="233">
        <f t="shared" si="77"/>
        <v>0.6</v>
      </c>
      <c r="AZ55" s="233">
        <f t="shared" si="64"/>
        <v>0.88662035748641288</v>
      </c>
      <c r="BA55" s="233">
        <f t="shared" si="65"/>
        <v>0.53197221449184773</v>
      </c>
      <c r="BB55" s="240">
        <f t="shared" si="66"/>
        <v>0</v>
      </c>
      <c r="BC55" s="248">
        <f t="shared" si="67"/>
        <v>0</v>
      </c>
      <c r="BD55" s="242"/>
      <c r="BE55" s="242"/>
      <c r="BF55" s="242"/>
      <c r="BG55" s="242"/>
    </row>
    <row r="56" spans="1:59">
      <c r="A56" s="126"/>
      <c r="B56" s="253"/>
      <c r="D56" s="252"/>
      <c r="L56" s="250"/>
      <c r="N56" s="233"/>
      <c r="O56" s="249">
        <f t="shared" si="68"/>
        <v>2034</v>
      </c>
      <c r="P56" s="233">
        <f t="shared" si="69"/>
        <v>50</v>
      </c>
      <c r="Q56" s="233">
        <f t="shared" si="70"/>
        <v>21</v>
      </c>
      <c r="R56" s="240">
        <f t="shared" si="71"/>
        <v>106623.25265533591</v>
      </c>
      <c r="S56" s="233">
        <f t="shared" si="42"/>
        <v>0.55000000000000004</v>
      </c>
      <c r="T56" s="240">
        <f t="shared" si="43"/>
        <v>15393.732102114123</v>
      </c>
      <c r="U56" s="240">
        <f t="shared" si="44"/>
        <v>27988.603822025678</v>
      </c>
      <c r="V56" s="233">
        <f t="shared" si="45"/>
        <v>0</v>
      </c>
      <c r="W56" s="243">
        <f t="shared" si="46"/>
        <v>14.5</v>
      </c>
      <c r="X56" s="233">
        <f t="shared" si="47"/>
        <v>0.61619873878473042</v>
      </c>
      <c r="Y56" s="233">
        <f t="shared" si="48"/>
        <v>0.31840248485926437</v>
      </c>
      <c r="Z56" s="233">
        <f t="shared" si="49"/>
        <v>0</v>
      </c>
      <c r="AA56" s="233">
        <f t="shared" si="50"/>
        <v>0</v>
      </c>
      <c r="AB56" s="233">
        <f t="shared" si="72"/>
        <v>0.95</v>
      </c>
      <c r="AC56" s="233">
        <f t="shared" si="51"/>
        <v>0.87601485081791508</v>
      </c>
      <c r="AD56" s="233">
        <f t="shared" si="52"/>
        <v>0.83221410827701925</v>
      </c>
      <c r="AE56" s="240">
        <f t="shared" si="53"/>
        <v>0</v>
      </c>
      <c r="AF56" s="248">
        <f t="shared" si="54"/>
        <v>0</v>
      </c>
      <c r="AG56"/>
      <c r="AH56"/>
      <c r="AI56"/>
      <c r="AJ56"/>
      <c r="AK56" s="235"/>
      <c r="AL56" s="249">
        <f t="shared" si="73"/>
        <v>2034</v>
      </c>
      <c r="AM56" s="233">
        <f t="shared" si="74"/>
        <v>61</v>
      </c>
      <c r="AN56" s="233">
        <f t="shared" si="75"/>
        <v>26</v>
      </c>
      <c r="AO56" s="240">
        <f t="shared" si="76"/>
        <v>312761.54112231859</v>
      </c>
      <c r="AP56" s="233">
        <f t="shared" si="55"/>
        <v>0.88</v>
      </c>
      <c r="AQ56" s="240">
        <f t="shared" si="56"/>
        <v>89449.800760983126</v>
      </c>
      <c r="AR56" s="240">
        <f t="shared" si="57"/>
        <v>101647.50086475354</v>
      </c>
      <c r="AS56" s="233">
        <f t="shared" si="58"/>
        <v>0</v>
      </c>
      <c r="AT56" s="243">
        <f t="shared" si="59"/>
        <v>14.5</v>
      </c>
      <c r="AU56" s="233">
        <f t="shared" si="60"/>
        <v>0.61619873878473042</v>
      </c>
      <c r="AV56" s="233">
        <f t="shared" si="61"/>
        <v>0.51672044231576797</v>
      </c>
      <c r="AW56" s="233">
        <f t="shared" si="62"/>
        <v>0</v>
      </c>
      <c r="AX56" s="233">
        <f t="shared" si="63"/>
        <v>0</v>
      </c>
      <c r="AY56" s="233">
        <f t="shared" si="77"/>
        <v>0.6</v>
      </c>
      <c r="AZ56" s="233">
        <f t="shared" si="64"/>
        <v>0.87601485081791508</v>
      </c>
      <c r="BA56" s="233">
        <f t="shared" si="65"/>
        <v>0.52560891049074898</v>
      </c>
      <c r="BB56" s="240">
        <f t="shared" si="66"/>
        <v>0</v>
      </c>
      <c r="BC56" s="248">
        <f t="shared" si="67"/>
        <v>0</v>
      </c>
      <c r="BD56" s="242"/>
      <c r="BE56" s="242"/>
      <c r="BF56" s="242"/>
      <c r="BG56" s="242"/>
    </row>
    <row r="57" spans="1:59">
      <c r="A57" s="126"/>
      <c r="B57" s="253"/>
      <c r="D57" s="252"/>
      <c r="N57" s="233"/>
      <c r="O57" s="249">
        <f t="shared" si="68"/>
        <v>2035</v>
      </c>
      <c r="P57" s="233">
        <f t="shared" si="69"/>
        <v>51</v>
      </c>
      <c r="Q57" s="233">
        <f t="shared" si="70"/>
        <v>22</v>
      </c>
      <c r="R57" s="240">
        <f t="shared" si="71"/>
        <v>110088.50836663431</v>
      </c>
      <c r="S57" s="233">
        <f t="shared" si="42"/>
        <v>0.58000000000000007</v>
      </c>
      <c r="T57" s="240">
        <f t="shared" si="43"/>
        <v>17559.117084478177</v>
      </c>
      <c r="U57" s="240">
        <f t="shared" si="44"/>
        <v>30274.33980082444</v>
      </c>
      <c r="V57" s="233">
        <f t="shared" si="45"/>
        <v>0</v>
      </c>
      <c r="W57" s="243">
        <f t="shared" si="46"/>
        <v>14.5</v>
      </c>
      <c r="X57" s="233">
        <f t="shared" si="47"/>
        <v>0.58966386486577083</v>
      </c>
      <c r="Y57" s="233">
        <f t="shared" si="48"/>
        <v>0.31840248485926437</v>
      </c>
      <c r="Z57" s="233">
        <f t="shared" si="49"/>
        <v>0</v>
      </c>
      <c r="AA57" s="233">
        <f t="shared" si="50"/>
        <v>0</v>
      </c>
      <c r="AB57" s="233">
        <f t="shared" si="72"/>
        <v>0.95</v>
      </c>
      <c r="AC57" s="233">
        <f t="shared" si="51"/>
        <v>0.86553620427703115</v>
      </c>
      <c r="AD57" s="233">
        <f t="shared" si="52"/>
        <v>0.82225939406317961</v>
      </c>
      <c r="AE57" s="240">
        <f t="shared" si="53"/>
        <v>0</v>
      </c>
      <c r="AF57" s="248">
        <f t="shared" si="54"/>
        <v>0</v>
      </c>
      <c r="AG57"/>
      <c r="AH57"/>
      <c r="AI57"/>
      <c r="AJ57"/>
      <c r="AK57" s="235"/>
      <c r="AL57" s="249">
        <f t="shared" si="73"/>
        <v>2035</v>
      </c>
      <c r="AM57" s="233">
        <f t="shared" si="74"/>
        <v>62</v>
      </c>
      <c r="AN57" s="233">
        <f t="shared" si="75"/>
        <v>27</v>
      </c>
      <c r="AO57" s="240">
        <f t="shared" si="76"/>
        <v>322926.29120879393</v>
      </c>
      <c r="AP57" s="233">
        <f t="shared" si="55"/>
        <v>0.91</v>
      </c>
      <c r="AQ57" s="240">
        <f t="shared" si="56"/>
        <v>99178.737187500839</v>
      </c>
      <c r="AR57" s="240">
        <f t="shared" si="57"/>
        <v>108987.62328296796</v>
      </c>
      <c r="AS57" s="233">
        <f t="shared" si="58"/>
        <v>0</v>
      </c>
      <c r="AT57" s="243">
        <f t="shared" si="59"/>
        <v>14.5</v>
      </c>
      <c r="AU57" s="233">
        <f t="shared" si="60"/>
        <v>0.58966386486577083</v>
      </c>
      <c r="AV57" s="233">
        <f t="shared" si="61"/>
        <v>0.51672044231576797</v>
      </c>
      <c r="AW57" s="233">
        <f t="shared" si="62"/>
        <v>0</v>
      </c>
      <c r="AX57" s="233">
        <f t="shared" si="63"/>
        <v>0</v>
      </c>
      <c r="AY57" s="233">
        <f t="shared" si="77"/>
        <v>0.6</v>
      </c>
      <c r="AZ57" s="233">
        <f t="shared" si="64"/>
        <v>0.86553620427703115</v>
      </c>
      <c r="BA57" s="233">
        <f t="shared" si="65"/>
        <v>0.51932172256621867</v>
      </c>
      <c r="BB57" s="240">
        <f t="shared" si="66"/>
        <v>0</v>
      </c>
      <c r="BC57" s="248">
        <f t="shared" si="67"/>
        <v>0</v>
      </c>
      <c r="BD57" s="242"/>
      <c r="BE57" s="242"/>
      <c r="BF57" s="242"/>
      <c r="BG57" s="242"/>
    </row>
    <row r="58" spans="1:59">
      <c r="A58" s="126"/>
      <c r="K58" s="251"/>
      <c r="N58" s="233"/>
      <c r="O58" s="249">
        <f t="shared" si="68"/>
        <v>2036</v>
      </c>
      <c r="P58" s="233">
        <f t="shared" si="69"/>
        <v>52</v>
      </c>
      <c r="Q58" s="233">
        <f t="shared" si="70"/>
        <v>23</v>
      </c>
      <c r="R58" s="240">
        <f t="shared" si="71"/>
        <v>113666.38488854993</v>
      </c>
      <c r="S58" s="233">
        <f t="shared" si="42"/>
        <v>0.61</v>
      </c>
      <c r="T58" s="240">
        <f t="shared" si="43"/>
        <v>19934.242249829447</v>
      </c>
      <c r="U58" s="240">
        <f t="shared" si="44"/>
        <v>32679.085655458111</v>
      </c>
      <c r="V58" s="233">
        <f t="shared" si="45"/>
        <v>0</v>
      </c>
      <c r="W58" s="243">
        <f t="shared" si="46"/>
        <v>14.5</v>
      </c>
      <c r="X58" s="233">
        <f t="shared" si="47"/>
        <v>0.56427164101987637</v>
      </c>
      <c r="Y58" s="233">
        <f t="shared" si="48"/>
        <v>0.31840248485926437</v>
      </c>
      <c r="Z58" s="233">
        <f t="shared" si="49"/>
        <v>0</v>
      </c>
      <c r="AA58" s="233">
        <f t="shared" si="50"/>
        <v>0</v>
      </c>
      <c r="AB58" s="233">
        <f t="shared" si="72"/>
        <v>0.95</v>
      </c>
      <c r="AC58" s="233">
        <f t="shared" si="51"/>
        <v>0.85518290039811928</v>
      </c>
      <c r="AD58" s="233">
        <f t="shared" si="52"/>
        <v>0.81242375537821332</v>
      </c>
      <c r="AE58" s="240">
        <f t="shared" si="53"/>
        <v>0</v>
      </c>
      <c r="AF58" s="248">
        <f t="shared" si="54"/>
        <v>0</v>
      </c>
      <c r="AG58"/>
      <c r="AH58"/>
      <c r="AI58"/>
      <c r="AJ58"/>
      <c r="AK58" s="235"/>
      <c r="AL58" s="249">
        <f t="shared" si="73"/>
        <v>2036</v>
      </c>
      <c r="AM58" s="233">
        <f t="shared" si="74"/>
        <v>63</v>
      </c>
      <c r="AN58" s="233">
        <f t="shared" si="75"/>
        <v>28</v>
      </c>
      <c r="AO58" s="240">
        <f t="shared" si="76"/>
        <v>333421.39567307971</v>
      </c>
      <c r="AP58" s="233">
        <f t="shared" si="55"/>
        <v>0.94</v>
      </c>
      <c r="AQ58" s="240">
        <f t="shared" si="56"/>
        <v>109695.63917644322</v>
      </c>
      <c r="AR58" s="240">
        <f t="shared" si="57"/>
        <v>116697.48848557791</v>
      </c>
      <c r="AS58" s="233">
        <f t="shared" si="58"/>
        <v>0</v>
      </c>
      <c r="AT58" s="243">
        <f t="shared" si="59"/>
        <v>14.5</v>
      </c>
      <c r="AU58" s="233">
        <f t="shared" si="60"/>
        <v>0.56427164101987637</v>
      </c>
      <c r="AV58" s="233">
        <f t="shared" si="61"/>
        <v>0.51672044231576797</v>
      </c>
      <c r="AW58" s="233">
        <f t="shared" si="62"/>
        <v>0</v>
      </c>
      <c r="AX58" s="233">
        <f t="shared" si="63"/>
        <v>0</v>
      </c>
      <c r="AY58" s="233">
        <f t="shared" si="77"/>
        <v>0.6</v>
      </c>
      <c r="AZ58" s="233">
        <f t="shared" si="64"/>
        <v>0.85518290039811928</v>
      </c>
      <c r="BA58" s="233">
        <f t="shared" si="65"/>
        <v>0.51310974023887157</v>
      </c>
      <c r="BB58" s="240">
        <f t="shared" si="66"/>
        <v>0</v>
      </c>
      <c r="BC58" s="248">
        <f t="shared" si="67"/>
        <v>0</v>
      </c>
      <c r="BD58" s="242"/>
      <c r="BE58" s="242"/>
      <c r="BF58" s="242"/>
      <c r="BG58" s="242"/>
    </row>
    <row r="59" spans="1:59">
      <c r="A59" s="126"/>
      <c r="K59" s="251"/>
      <c r="N59" s="233"/>
      <c r="O59" s="249">
        <f t="shared" si="68"/>
        <v>2037</v>
      </c>
      <c r="P59" s="233">
        <f t="shared" si="69"/>
        <v>53</v>
      </c>
      <c r="Q59" s="233">
        <f t="shared" si="70"/>
        <v>24</v>
      </c>
      <c r="R59" s="240">
        <f t="shared" si="71"/>
        <v>117360.54239742779</v>
      </c>
      <c r="S59" s="233">
        <f t="shared" si="42"/>
        <v>0.64</v>
      </c>
      <c r="T59" s="240">
        <f t="shared" si="43"/>
        <v>22533.224140306138</v>
      </c>
      <c r="U59" s="240">
        <f t="shared" si="44"/>
        <v>35208.162719228341</v>
      </c>
      <c r="V59" s="233">
        <f t="shared" si="45"/>
        <v>0</v>
      </c>
      <c r="W59" s="243">
        <f t="shared" si="46"/>
        <v>14.5</v>
      </c>
      <c r="X59" s="233">
        <f t="shared" si="47"/>
        <v>0.53997286221997753</v>
      </c>
      <c r="Y59" s="233">
        <f t="shared" si="48"/>
        <v>0.31840248485926437</v>
      </c>
      <c r="Z59" s="233">
        <f t="shared" si="49"/>
        <v>0</v>
      </c>
      <c r="AA59" s="233">
        <f t="shared" si="50"/>
        <v>0</v>
      </c>
      <c r="AB59" s="233">
        <f t="shared" si="72"/>
        <v>0.95</v>
      </c>
      <c r="AC59" s="233">
        <f t="shared" si="51"/>
        <v>0.8449534398670413</v>
      </c>
      <c r="AD59" s="233">
        <f t="shared" si="52"/>
        <v>0.80270576787368919</v>
      </c>
      <c r="AE59" s="240">
        <f t="shared" si="53"/>
        <v>0</v>
      </c>
      <c r="AF59" s="248">
        <f t="shared" si="54"/>
        <v>0</v>
      </c>
      <c r="AG59"/>
      <c r="AH59"/>
      <c r="AI59"/>
      <c r="AJ59"/>
      <c r="AK59" s="235"/>
      <c r="AL59" s="249">
        <f t="shared" si="73"/>
        <v>2037</v>
      </c>
      <c r="AM59" s="233">
        <f t="shared" si="74"/>
        <v>64</v>
      </c>
      <c r="AN59" s="233">
        <f t="shared" si="75"/>
        <v>29</v>
      </c>
      <c r="AO59" s="240">
        <f t="shared" si="76"/>
        <v>344257.5910324548</v>
      </c>
      <c r="AP59" s="233">
        <f t="shared" si="55"/>
        <v>0.97</v>
      </c>
      <c r="AQ59" s="240">
        <f t="shared" si="56"/>
        <v>121049.57544678693</v>
      </c>
      <c r="AR59" s="240">
        <f t="shared" si="57"/>
        <v>124793.37674926486</v>
      </c>
      <c r="AS59" s="233">
        <f t="shared" si="58"/>
        <v>0</v>
      </c>
      <c r="AT59" s="243">
        <f t="shared" si="59"/>
        <v>14.5</v>
      </c>
      <c r="AU59" s="233">
        <f t="shared" si="60"/>
        <v>0.53997286221997753</v>
      </c>
      <c r="AV59" s="233">
        <f t="shared" si="61"/>
        <v>0.51672044231576797</v>
      </c>
      <c r="AW59" s="233">
        <f t="shared" si="62"/>
        <v>0</v>
      </c>
      <c r="AX59" s="233">
        <f t="shared" si="63"/>
        <v>0</v>
      </c>
      <c r="AY59" s="233">
        <f t="shared" si="77"/>
        <v>0.6</v>
      </c>
      <c r="AZ59" s="233">
        <f t="shared" si="64"/>
        <v>0.8449534398670413</v>
      </c>
      <c r="BA59" s="233">
        <f t="shared" si="65"/>
        <v>0.50697206392022476</v>
      </c>
      <c r="BB59" s="240">
        <f t="shared" si="66"/>
        <v>0</v>
      </c>
      <c r="BC59" s="248">
        <f t="shared" si="67"/>
        <v>0</v>
      </c>
      <c r="BD59" s="242"/>
      <c r="BE59" s="242"/>
      <c r="BF59" s="242"/>
      <c r="BG59" s="242"/>
    </row>
    <row r="60" spans="1:59">
      <c r="A60" s="126"/>
      <c r="K60" s="251"/>
      <c r="N60" s="233"/>
      <c r="O60" s="249">
        <f t="shared" si="68"/>
        <v>2038</v>
      </c>
      <c r="P60" s="233">
        <f t="shared" si="69"/>
        <v>54</v>
      </c>
      <c r="Q60" s="233">
        <f t="shared" si="70"/>
        <v>25</v>
      </c>
      <c r="R60" s="240">
        <f t="shared" si="71"/>
        <v>121174.76002534419</v>
      </c>
      <c r="S60" s="233">
        <f t="shared" si="42"/>
        <v>0.67</v>
      </c>
      <c r="T60" s="240">
        <f t="shared" si="43"/>
        <v>25370.965380306443</v>
      </c>
      <c r="U60" s="240">
        <f t="shared" si="44"/>
        <v>37867.112507920065</v>
      </c>
      <c r="V60" s="233">
        <f t="shared" si="45"/>
        <v>0</v>
      </c>
      <c r="W60" s="243">
        <f t="shared" si="46"/>
        <v>14.5</v>
      </c>
      <c r="X60" s="233">
        <f t="shared" si="47"/>
        <v>0.51672044231576797</v>
      </c>
      <c r="Y60" s="233">
        <f t="shared" si="48"/>
        <v>0.31840248485926437</v>
      </c>
      <c r="Z60" s="233">
        <f t="shared" si="49"/>
        <v>0</v>
      </c>
      <c r="AA60" s="233">
        <f t="shared" si="50"/>
        <v>0</v>
      </c>
      <c r="AB60" s="233">
        <f t="shared" si="72"/>
        <v>0.95</v>
      </c>
      <c r="AC60" s="233">
        <f t="shared" si="51"/>
        <v>0.83484634130403845</v>
      </c>
      <c r="AD60" s="233">
        <f t="shared" si="52"/>
        <v>0.79310402423883652</v>
      </c>
      <c r="AE60" s="240">
        <f t="shared" si="53"/>
        <v>0</v>
      </c>
      <c r="AF60" s="248">
        <f t="shared" si="54"/>
        <v>0</v>
      </c>
      <c r="AG60" s="240"/>
      <c r="AH60" s="240"/>
      <c r="AI60" s="240"/>
      <c r="AJ60" s="240"/>
      <c r="AK60" s="235"/>
      <c r="AL60" s="247">
        <f t="shared" si="73"/>
        <v>2038</v>
      </c>
      <c r="AM60" s="245">
        <f t="shared" si="74"/>
        <v>65</v>
      </c>
      <c r="AN60" s="245">
        <f t="shared" si="75"/>
        <v>30</v>
      </c>
      <c r="AO60" s="244">
        <f t="shared" si="76"/>
        <v>355445.9627410096</v>
      </c>
      <c r="AP60" s="245">
        <f t="shared" si="55"/>
        <v>1</v>
      </c>
      <c r="AQ60" s="244">
        <f t="shared" si="56"/>
        <v>133292.23602787862</v>
      </c>
      <c r="AR60" s="244">
        <f t="shared" si="57"/>
        <v>133292.23602787862</v>
      </c>
      <c r="AS60" s="245">
        <f t="shared" si="58"/>
        <v>14.5</v>
      </c>
      <c r="AT60" s="246">
        <f t="shared" si="59"/>
        <v>14.5</v>
      </c>
      <c r="AU60" s="245">
        <f t="shared" si="60"/>
        <v>0.51672044231576797</v>
      </c>
      <c r="AV60" s="245">
        <f t="shared" si="61"/>
        <v>0.51672044231576797</v>
      </c>
      <c r="AW60" s="245">
        <f t="shared" si="62"/>
        <v>1</v>
      </c>
      <c r="AX60" s="245">
        <f t="shared" si="63"/>
        <v>0</v>
      </c>
      <c r="AY60" s="245">
        <f t="shared" si="77"/>
        <v>0.6</v>
      </c>
      <c r="AZ60" s="245">
        <f t="shared" si="64"/>
        <v>0.83484634130403845</v>
      </c>
      <c r="BA60" s="245">
        <f t="shared" si="65"/>
        <v>0</v>
      </c>
      <c r="BB60" s="244">
        <f t="shared" si="66"/>
        <v>599210.96147097368</v>
      </c>
      <c r="BC60" s="236">
        <f t="shared" si="67"/>
        <v>0</v>
      </c>
      <c r="BD60" s="242"/>
      <c r="BE60" s="242"/>
      <c r="BF60" s="242"/>
      <c r="BG60" s="242"/>
    </row>
    <row r="61" spans="1:59">
      <c r="A61" s="126"/>
      <c r="C61" s="126"/>
      <c r="D61" s="126"/>
      <c r="E61" s="126"/>
      <c r="F61" s="126"/>
      <c r="G61" s="126"/>
      <c r="H61" s="126"/>
      <c r="I61" s="126"/>
      <c r="K61" s="251"/>
      <c r="N61" s="233"/>
      <c r="O61" s="249">
        <f t="shared" si="68"/>
        <v>2039</v>
      </c>
      <c r="P61" s="233">
        <f t="shared" si="69"/>
        <v>55</v>
      </c>
      <c r="Q61" s="233">
        <f t="shared" si="70"/>
        <v>26</v>
      </c>
      <c r="R61" s="240">
        <f t="shared" si="71"/>
        <v>125112.93972616788</v>
      </c>
      <c r="S61" s="233">
        <f t="shared" si="42"/>
        <v>0.7</v>
      </c>
      <c r="T61" s="240">
        <f t="shared" si="43"/>
        <v>28463.193787703189</v>
      </c>
      <c r="U61" s="240">
        <f t="shared" si="44"/>
        <v>40661.705411004565</v>
      </c>
      <c r="V61" s="233">
        <f t="shared" si="45"/>
        <v>17</v>
      </c>
      <c r="W61" s="243">
        <f t="shared" si="46"/>
        <v>14.5</v>
      </c>
      <c r="X61" s="233">
        <f t="shared" si="47"/>
        <v>0.49446932279020878</v>
      </c>
      <c r="Y61" s="233">
        <f t="shared" si="48"/>
        <v>0.31840248485926437</v>
      </c>
      <c r="Z61" s="233">
        <f t="shared" si="49"/>
        <v>0.4</v>
      </c>
      <c r="AA61" s="233">
        <f t="shared" si="50"/>
        <v>0</v>
      </c>
      <c r="AB61" s="233">
        <f t="shared" si="72"/>
        <v>0.95</v>
      </c>
      <c r="AC61" s="233">
        <f t="shared" si="51"/>
        <v>0.82486014104920569</v>
      </c>
      <c r="AD61" s="233">
        <f t="shared" si="52"/>
        <v>0.4701702803980472</v>
      </c>
      <c r="AE61" s="240">
        <f t="shared" si="53"/>
        <v>90919.177971972385</v>
      </c>
      <c r="AF61" s="248">
        <f t="shared" si="54"/>
        <v>0</v>
      </c>
      <c r="AG61" s="240"/>
      <c r="AH61" s="240"/>
      <c r="AI61" s="240"/>
      <c r="AJ61" s="240"/>
      <c r="AK61" s="235"/>
      <c r="AL61" s="233"/>
      <c r="AM61" s="233"/>
      <c r="AN61" s="233"/>
      <c r="AO61" s="240"/>
      <c r="AP61" s="233"/>
      <c r="AQ61" s="240"/>
      <c r="AR61" s="240"/>
      <c r="AS61" s="233"/>
      <c r="AT61" s="243"/>
      <c r="AU61" s="233"/>
      <c r="AV61" s="233"/>
      <c r="AW61" s="233"/>
      <c r="AX61" s="233"/>
      <c r="AY61" s="233"/>
      <c r="AZ61" s="233"/>
      <c r="BA61" s="233">
        <f>SUM(BA45:BA60)</f>
        <v>10.236829546612316</v>
      </c>
      <c r="BB61" s="240">
        <f>SUM(BB45:BB60)</f>
        <v>845723.20350095292</v>
      </c>
      <c r="BC61" s="240">
        <f>SUM(BC45:BC60)</f>
        <v>0</v>
      </c>
      <c r="BD61" s="242"/>
      <c r="BE61" s="242"/>
      <c r="BF61" s="242"/>
      <c r="BG61" s="242"/>
    </row>
    <row r="62" spans="1:59">
      <c r="A62" s="126"/>
      <c r="C62" s="126"/>
      <c r="D62" s="126"/>
      <c r="E62" s="126"/>
      <c r="F62" s="126"/>
      <c r="G62" s="126"/>
      <c r="H62" s="126"/>
      <c r="I62" s="126"/>
      <c r="K62" s="251"/>
      <c r="N62" s="233"/>
      <c r="O62" s="249">
        <f t="shared" si="68"/>
        <v>2040</v>
      </c>
      <c r="P62" s="233">
        <f t="shared" si="69"/>
        <v>56</v>
      </c>
      <c r="Q62" s="233">
        <f t="shared" si="70"/>
        <v>27</v>
      </c>
      <c r="R62" s="240">
        <f t="shared" si="71"/>
        <v>129179.11026726833</v>
      </c>
      <c r="S62" s="233">
        <f t="shared" si="42"/>
        <v>0.73</v>
      </c>
      <c r="T62" s="240">
        <f t="shared" si="43"/>
        <v>31826.503292098234</v>
      </c>
      <c r="U62" s="240">
        <f t="shared" si="44"/>
        <v>43597.94971520306</v>
      </c>
      <c r="V62" s="233">
        <f t="shared" si="45"/>
        <v>0</v>
      </c>
      <c r="W62" s="243">
        <f t="shared" si="46"/>
        <v>14.5</v>
      </c>
      <c r="X62" s="233">
        <f t="shared" si="47"/>
        <v>0.47317638544517582</v>
      </c>
      <c r="Y62" s="233">
        <f t="shared" si="48"/>
        <v>0.31840248485926437</v>
      </c>
      <c r="Z62" s="233">
        <f t="shared" si="49"/>
        <v>0</v>
      </c>
      <c r="AA62" s="233">
        <f t="shared" si="50"/>
        <v>0</v>
      </c>
      <c r="AB62" s="233">
        <f t="shared" si="72"/>
        <v>0.56999999999999995</v>
      </c>
      <c r="AC62" s="233">
        <f t="shared" si="51"/>
        <v>0.81499339295053097</v>
      </c>
      <c r="AD62" s="233">
        <f t="shared" si="52"/>
        <v>0.46454623398180261</v>
      </c>
      <c r="AE62" s="240">
        <f t="shared" si="53"/>
        <v>0</v>
      </c>
      <c r="AF62" s="248">
        <f t="shared" si="54"/>
        <v>0</v>
      </c>
      <c r="AG62" s="240"/>
      <c r="AH62" s="240"/>
      <c r="AI62" s="240"/>
      <c r="AJ62" s="240"/>
      <c r="AK62" s="235"/>
      <c r="AL62" s="239" t="s">
        <v>289</v>
      </c>
      <c r="AM62" s="238">
        <f>SUM(BB61:BC61)</f>
        <v>845723.20350095292</v>
      </c>
      <c r="AN62" s="233"/>
      <c r="AO62" s="240"/>
      <c r="AP62" s="233"/>
      <c r="AQ62" s="240"/>
      <c r="AR62" s="240"/>
      <c r="AS62" s="233"/>
      <c r="AT62" s="243"/>
      <c r="AU62" s="233"/>
      <c r="AV62" s="233"/>
      <c r="AW62" s="233"/>
      <c r="AX62" s="233"/>
      <c r="AY62" s="233"/>
      <c r="AZ62" s="233"/>
      <c r="BA62" s="233"/>
      <c r="BB62" s="240"/>
      <c r="BC62" s="240"/>
      <c r="BD62" s="242"/>
      <c r="BE62" s="242"/>
      <c r="BF62" s="242"/>
      <c r="BG62" s="242"/>
    </row>
    <row r="63" spans="1:59">
      <c r="A63" s="126"/>
      <c r="K63" s="251"/>
      <c r="N63" s="233"/>
      <c r="O63" s="249">
        <f t="shared" si="68"/>
        <v>2041</v>
      </c>
      <c r="P63" s="233">
        <f t="shared" si="69"/>
        <v>57</v>
      </c>
      <c r="Q63" s="233">
        <f t="shared" si="70"/>
        <v>28</v>
      </c>
      <c r="R63" s="240">
        <f t="shared" si="71"/>
        <v>133377.43135095455</v>
      </c>
      <c r="S63" s="233">
        <f t="shared" si="42"/>
        <v>0.76</v>
      </c>
      <c r="T63" s="240">
        <f t="shared" si="43"/>
        <v>35478.396739353913</v>
      </c>
      <c r="U63" s="240">
        <f t="shared" si="44"/>
        <v>46682.100972834094</v>
      </c>
      <c r="V63" s="233">
        <f t="shared" si="45"/>
        <v>0</v>
      </c>
      <c r="W63" s="243">
        <f t="shared" si="46"/>
        <v>14.5</v>
      </c>
      <c r="X63" s="233">
        <f t="shared" si="47"/>
        <v>0.45280036884705832</v>
      </c>
      <c r="Y63" s="233">
        <f t="shared" si="48"/>
        <v>0.31840248485926437</v>
      </c>
      <c r="Z63" s="233">
        <f t="shared" si="49"/>
        <v>0</v>
      </c>
      <c r="AA63" s="233">
        <f t="shared" si="50"/>
        <v>0</v>
      </c>
      <c r="AB63" s="233">
        <f t="shared" si="72"/>
        <v>0.56999999999999995</v>
      </c>
      <c r="AC63" s="233">
        <f t="shared" si="51"/>
        <v>0.80524466815447204</v>
      </c>
      <c r="AD63" s="233">
        <f t="shared" si="52"/>
        <v>0.45898946084804904</v>
      </c>
      <c r="AE63" s="240">
        <f t="shared" si="53"/>
        <v>0</v>
      </c>
      <c r="AF63" s="248">
        <f t="shared" si="54"/>
        <v>0</v>
      </c>
      <c r="AG63" s="240"/>
      <c r="AH63" s="240"/>
      <c r="AI63" s="240"/>
      <c r="AJ63" s="240"/>
      <c r="AK63" s="235"/>
      <c r="AL63" s="237" t="s">
        <v>185</v>
      </c>
      <c r="AM63" s="236">
        <f>(AM62-0)/BA61</f>
        <v>82615.73562889194</v>
      </c>
      <c r="AN63" s="233"/>
      <c r="AO63" s="240"/>
      <c r="AP63" s="233"/>
      <c r="AQ63" s="240"/>
      <c r="AR63" s="240"/>
      <c r="AS63" s="233"/>
      <c r="AT63" s="243"/>
      <c r="AU63" s="233"/>
      <c r="AV63" s="233"/>
      <c r="AW63" s="233"/>
      <c r="AX63" s="233"/>
      <c r="AY63" s="233"/>
      <c r="AZ63" s="233"/>
      <c r="BA63" s="233"/>
      <c r="BB63" s="240"/>
      <c r="BC63" s="240"/>
      <c r="BD63" s="242"/>
      <c r="BE63" s="242"/>
      <c r="BF63" s="242"/>
      <c r="BG63" s="242"/>
    </row>
    <row r="64" spans="1:59">
      <c r="A64" s="126"/>
      <c r="K64" s="251"/>
      <c r="N64" s="233"/>
      <c r="O64" s="249">
        <f t="shared" si="68"/>
        <v>2042</v>
      </c>
      <c r="P64" s="233">
        <f t="shared" si="69"/>
        <v>58</v>
      </c>
      <c r="Q64" s="233">
        <f t="shared" si="70"/>
        <v>29</v>
      </c>
      <c r="R64" s="240">
        <f t="shared" si="71"/>
        <v>137712.19786986057</v>
      </c>
      <c r="S64" s="233">
        <f t="shared" si="42"/>
        <v>0.79</v>
      </c>
      <c r="T64" s="240">
        <f t="shared" si="43"/>
        <v>39437.330664981324</v>
      </c>
      <c r="U64" s="240">
        <f t="shared" si="44"/>
        <v>49920.671727824461</v>
      </c>
      <c r="V64" s="233">
        <f t="shared" si="45"/>
        <v>0</v>
      </c>
      <c r="W64" s="243">
        <f t="shared" si="46"/>
        <v>14.5</v>
      </c>
      <c r="X64" s="233">
        <f t="shared" si="47"/>
        <v>0.43330178837039074</v>
      </c>
      <c r="Y64" s="233">
        <f t="shared" si="48"/>
        <v>0.31840248485926437</v>
      </c>
      <c r="Z64" s="233">
        <f t="shared" si="49"/>
        <v>0</v>
      </c>
      <c r="AA64" s="233">
        <f t="shared" si="50"/>
        <v>0</v>
      </c>
      <c r="AB64" s="233">
        <f t="shared" si="72"/>
        <v>0.56999999999999995</v>
      </c>
      <c r="AC64" s="233">
        <f t="shared" si="51"/>
        <v>0.79561255489903571</v>
      </c>
      <c r="AD64" s="233">
        <f t="shared" si="52"/>
        <v>0.4534991562924503</v>
      </c>
      <c r="AE64" s="240">
        <f t="shared" si="53"/>
        <v>0</v>
      </c>
      <c r="AF64" s="248">
        <f t="shared" si="54"/>
        <v>0</v>
      </c>
      <c r="AG64" s="240"/>
      <c r="AH64" s="240"/>
      <c r="AI64" s="240"/>
      <c r="AJ64" s="240"/>
      <c r="AK64" s="235"/>
      <c r="AL64" s="233"/>
      <c r="AM64" s="233"/>
      <c r="AN64" s="233"/>
      <c r="AO64" s="240"/>
      <c r="AP64" s="233"/>
      <c r="AQ64" s="240"/>
      <c r="AR64" s="240"/>
      <c r="AS64" s="233"/>
      <c r="AT64" s="243"/>
      <c r="AU64" s="233"/>
      <c r="AV64" s="233"/>
      <c r="AW64" s="233"/>
      <c r="AX64" s="233"/>
      <c r="AY64" s="233"/>
      <c r="AZ64" s="233"/>
      <c r="BA64" s="233"/>
      <c r="BB64" s="240"/>
      <c r="BC64" s="240"/>
      <c r="BD64" s="242"/>
      <c r="BE64" s="242"/>
      <c r="BF64" s="242"/>
      <c r="BG64" s="242"/>
    </row>
    <row r="65" spans="1:59">
      <c r="A65" s="126"/>
      <c r="K65" s="251"/>
      <c r="N65" s="233"/>
      <c r="O65" s="249">
        <f t="shared" si="68"/>
        <v>2043</v>
      </c>
      <c r="P65" s="233">
        <f t="shared" si="69"/>
        <v>59</v>
      </c>
      <c r="Q65" s="233">
        <f t="shared" si="70"/>
        <v>30</v>
      </c>
      <c r="R65" s="240">
        <f t="shared" si="71"/>
        <v>142187.84430063103</v>
      </c>
      <c r="S65" s="233">
        <f t="shared" si="42"/>
        <v>0.82000000000000006</v>
      </c>
      <c r="T65" s="240">
        <f t="shared" si="43"/>
        <v>43722.762122444052</v>
      </c>
      <c r="U65" s="240">
        <f t="shared" si="44"/>
        <v>53320.441612736642</v>
      </c>
      <c r="V65" s="233">
        <f t="shared" si="45"/>
        <v>0</v>
      </c>
      <c r="W65" s="243">
        <f t="shared" si="46"/>
        <v>14.5</v>
      </c>
      <c r="X65" s="233">
        <f t="shared" si="47"/>
        <v>0.41464285968458453</v>
      </c>
      <c r="Y65" s="233">
        <f t="shared" si="48"/>
        <v>0.31840248485926437</v>
      </c>
      <c r="Z65" s="233">
        <f t="shared" si="49"/>
        <v>0</v>
      </c>
      <c r="AA65" s="233">
        <f t="shared" si="50"/>
        <v>0</v>
      </c>
      <c r="AB65" s="233">
        <f t="shared" si="72"/>
        <v>0.56999999999999995</v>
      </c>
      <c r="AC65" s="233">
        <f t="shared" si="51"/>
        <v>0.78609565830933459</v>
      </c>
      <c r="AD65" s="233">
        <f t="shared" si="52"/>
        <v>0.44807452523632069</v>
      </c>
      <c r="AE65" s="240">
        <f t="shared" si="53"/>
        <v>0</v>
      </c>
      <c r="AF65" s="248">
        <f t="shared" si="54"/>
        <v>0</v>
      </c>
      <c r="AG65" s="240"/>
      <c r="AH65" s="240"/>
      <c r="AI65" s="240"/>
      <c r="AJ65" s="240"/>
      <c r="AK65" s="235"/>
      <c r="AL65" s="233"/>
      <c r="AM65" s="233"/>
      <c r="AN65" s="233"/>
      <c r="AO65" s="240"/>
      <c r="AP65" s="233"/>
      <c r="AQ65" s="240"/>
      <c r="AR65" s="240"/>
      <c r="AS65" s="233"/>
      <c r="AT65" s="243"/>
      <c r="AU65" s="233"/>
      <c r="AV65" s="233"/>
      <c r="AW65" s="233"/>
      <c r="AX65" s="233"/>
      <c r="AY65" s="233"/>
      <c r="AZ65" s="233"/>
      <c r="BA65" s="233"/>
      <c r="BB65" s="240"/>
      <c r="BC65" s="240"/>
      <c r="BD65" s="242"/>
      <c r="BE65" s="242"/>
      <c r="BF65" s="242"/>
      <c r="BG65" s="242"/>
    </row>
    <row r="66" spans="1:59">
      <c r="A66" s="126"/>
      <c r="K66" s="251"/>
      <c r="N66" s="233"/>
      <c r="O66" s="249">
        <f t="shared" si="68"/>
        <v>2044</v>
      </c>
      <c r="P66" s="233">
        <f t="shared" si="69"/>
        <v>60</v>
      </c>
      <c r="Q66" s="233">
        <f t="shared" si="70"/>
        <v>31</v>
      </c>
      <c r="R66" s="240">
        <f t="shared" si="71"/>
        <v>146808.94924040153</v>
      </c>
      <c r="S66" s="233">
        <f t="shared" si="42"/>
        <v>0.85</v>
      </c>
      <c r="T66" s="240">
        <f t="shared" si="43"/>
        <v>48355.197656057251</v>
      </c>
      <c r="U66" s="240">
        <f t="shared" si="44"/>
        <v>56888.467830655602</v>
      </c>
      <c r="V66" s="233">
        <f t="shared" si="45"/>
        <v>0</v>
      </c>
      <c r="W66" s="243">
        <f t="shared" si="46"/>
        <v>14.5</v>
      </c>
      <c r="X66" s="233">
        <f t="shared" si="47"/>
        <v>0.39678742553548757</v>
      </c>
      <c r="Y66" s="233">
        <f t="shared" si="48"/>
        <v>0.31840248485926437</v>
      </c>
      <c r="Z66" s="233">
        <f t="shared" si="49"/>
        <v>0</v>
      </c>
      <c r="AA66" s="233">
        <f t="shared" si="50"/>
        <v>0</v>
      </c>
      <c r="AB66" s="233">
        <f t="shared" si="72"/>
        <v>0.56999999999999995</v>
      </c>
      <c r="AC66" s="233">
        <f t="shared" si="51"/>
        <v>0.77669260019558661</v>
      </c>
      <c r="AD66" s="233">
        <f t="shared" si="52"/>
        <v>0.44271478211148435</v>
      </c>
      <c r="AE66" s="240">
        <f t="shared" si="53"/>
        <v>0</v>
      </c>
      <c r="AF66" s="248">
        <f t="shared" si="54"/>
        <v>0</v>
      </c>
      <c r="AG66" s="240"/>
      <c r="AH66" s="240"/>
      <c r="AI66" s="240"/>
      <c r="AJ66" s="240"/>
      <c r="AK66" s="235"/>
      <c r="AL66" s="233"/>
      <c r="AM66" s="233"/>
      <c r="AN66" s="233"/>
      <c r="AO66" s="240"/>
      <c r="AP66" s="233"/>
      <c r="AQ66" s="240"/>
      <c r="AR66" s="240"/>
      <c r="AS66" s="233"/>
      <c r="AT66" s="243"/>
      <c r="AU66" s="233"/>
      <c r="AV66" s="233"/>
      <c r="AW66" s="233"/>
      <c r="AX66" s="233"/>
      <c r="AY66" s="233"/>
      <c r="AZ66" s="233"/>
      <c r="BA66" s="233"/>
      <c r="BB66" s="240"/>
      <c r="BC66" s="240"/>
      <c r="BD66" s="242"/>
      <c r="BE66" s="242"/>
      <c r="BF66" s="242"/>
      <c r="BG66" s="242"/>
    </row>
    <row r="67" spans="1:59">
      <c r="A67" s="126"/>
      <c r="K67" s="251"/>
      <c r="N67" s="233"/>
      <c r="O67" s="249">
        <f t="shared" si="68"/>
        <v>2045</v>
      </c>
      <c r="P67" s="233">
        <f t="shared" si="69"/>
        <v>61</v>
      </c>
      <c r="Q67" s="233">
        <f t="shared" si="70"/>
        <v>32</v>
      </c>
      <c r="R67" s="240">
        <f t="shared" si="71"/>
        <v>151580.24009071459</v>
      </c>
      <c r="S67" s="233">
        <f t="shared" si="42"/>
        <v>0.88</v>
      </c>
      <c r="T67" s="240">
        <f t="shared" si="43"/>
        <v>53356.244511931545</v>
      </c>
      <c r="U67" s="240">
        <f t="shared" si="44"/>
        <v>60632.096036285839</v>
      </c>
      <c r="V67" s="233">
        <f t="shared" si="45"/>
        <v>0</v>
      </c>
      <c r="W67" s="243">
        <f t="shared" si="46"/>
        <v>14.5</v>
      </c>
      <c r="X67" s="233">
        <f t="shared" si="47"/>
        <v>0.37970088567989252</v>
      </c>
      <c r="Y67" s="233">
        <f t="shared" si="48"/>
        <v>0.31840248485926437</v>
      </c>
      <c r="Z67" s="233">
        <f t="shared" si="49"/>
        <v>0</v>
      </c>
      <c r="AA67" s="233">
        <f t="shared" si="50"/>
        <v>0</v>
      </c>
      <c r="AB67" s="233">
        <f t="shared" si="72"/>
        <v>0.56999999999999995</v>
      </c>
      <c r="AC67" s="233">
        <f t="shared" si="51"/>
        <v>0.7674020188535341</v>
      </c>
      <c r="AD67" s="233">
        <f t="shared" si="52"/>
        <v>0.43741915074651438</v>
      </c>
      <c r="AE67" s="240">
        <f t="shared" si="53"/>
        <v>0</v>
      </c>
      <c r="AF67" s="248">
        <f t="shared" si="54"/>
        <v>0</v>
      </c>
      <c r="AG67" s="240"/>
      <c r="AH67" s="240"/>
      <c r="AI67" s="240"/>
      <c r="AJ67" s="240"/>
      <c r="AK67" s="235"/>
      <c r="AL67" s="233"/>
      <c r="AM67" s="233"/>
      <c r="AN67" s="233"/>
      <c r="AO67" s="240"/>
      <c r="AP67" s="233"/>
      <c r="AQ67" s="240"/>
      <c r="AR67" s="240"/>
      <c r="AS67" s="233"/>
      <c r="AT67" s="243"/>
      <c r="AU67" s="233"/>
      <c r="AV67" s="233"/>
      <c r="AW67" s="233"/>
      <c r="AX67" s="233"/>
      <c r="AY67" s="233"/>
      <c r="AZ67" s="233"/>
      <c r="BA67" s="233"/>
      <c r="BB67" s="240"/>
      <c r="BC67" s="240"/>
      <c r="BD67" s="242"/>
      <c r="BE67" s="242"/>
      <c r="BF67" s="242"/>
      <c r="BG67" s="242"/>
    </row>
    <row r="68" spans="1:59">
      <c r="A68" s="126"/>
      <c r="K68" s="251"/>
      <c r="N68" s="233"/>
      <c r="O68" s="249">
        <f t="shared" si="68"/>
        <v>2046</v>
      </c>
      <c r="P68" s="233">
        <f t="shared" si="69"/>
        <v>62</v>
      </c>
      <c r="Q68" s="233">
        <f t="shared" si="70"/>
        <v>33</v>
      </c>
      <c r="R68" s="240">
        <f t="shared" si="71"/>
        <v>156506.59789366281</v>
      </c>
      <c r="S68" s="233">
        <f t="shared" si="42"/>
        <v>0.91</v>
      </c>
      <c r="T68" s="240">
        <f t="shared" si="43"/>
        <v>58748.664184333684</v>
      </c>
      <c r="U68" s="240">
        <f t="shared" si="44"/>
        <v>64558.971631135915</v>
      </c>
      <c r="V68" s="233">
        <f t="shared" si="45"/>
        <v>0</v>
      </c>
      <c r="W68" s="243">
        <f t="shared" si="46"/>
        <v>14.5</v>
      </c>
      <c r="X68" s="233">
        <f t="shared" si="47"/>
        <v>0.36335012983721771</v>
      </c>
      <c r="Y68" s="233">
        <f t="shared" si="48"/>
        <v>0.31840248485926437</v>
      </c>
      <c r="Z68" s="233">
        <f t="shared" si="49"/>
        <v>0</v>
      </c>
      <c r="AA68" s="233">
        <f t="shared" si="50"/>
        <v>0</v>
      </c>
      <c r="AB68" s="233">
        <f t="shared" si="72"/>
        <v>0.56999999999999995</v>
      </c>
      <c r="AC68" s="233">
        <f t="shared" si="51"/>
        <v>0.75822256886724781</v>
      </c>
      <c r="AD68" s="233">
        <f t="shared" si="52"/>
        <v>0.43218686425433123</v>
      </c>
      <c r="AE68" s="240">
        <f t="shared" si="53"/>
        <v>0</v>
      </c>
      <c r="AF68" s="248">
        <f t="shared" si="54"/>
        <v>0</v>
      </c>
      <c r="AG68" s="240"/>
      <c r="AH68" s="240"/>
      <c r="AI68" s="240"/>
      <c r="AJ68" s="240"/>
      <c r="AK68" s="235"/>
      <c r="AL68" s="233"/>
      <c r="AM68" s="233"/>
      <c r="AN68" s="233"/>
      <c r="AO68" s="240"/>
      <c r="AP68" s="233"/>
      <c r="AQ68" s="240"/>
      <c r="AR68" s="240"/>
      <c r="AS68" s="233"/>
      <c r="AT68" s="243"/>
      <c r="AU68" s="233"/>
      <c r="AV68" s="233"/>
      <c r="AW68" s="233"/>
      <c r="AX68" s="233"/>
      <c r="AY68" s="233"/>
      <c r="AZ68" s="233"/>
      <c r="BA68" s="233"/>
      <c r="BB68" s="240"/>
      <c r="BC68" s="240"/>
      <c r="BD68" s="242"/>
      <c r="BE68" s="242"/>
      <c r="BF68" s="242"/>
      <c r="BG68" s="242"/>
    </row>
    <row r="69" spans="1:59">
      <c r="A69" s="126"/>
      <c r="K69" s="251"/>
      <c r="N69" s="233"/>
      <c r="O69" s="249">
        <f t="shared" si="68"/>
        <v>2047</v>
      </c>
      <c r="P69" s="233">
        <f t="shared" si="69"/>
        <v>63</v>
      </c>
      <c r="Q69" s="233">
        <f t="shared" si="70"/>
        <v>34</v>
      </c>
      <c r="R69" s="240">
        <f t="shared" si="71"/>
        <v>161593.06232520685</v>
      </c>
      <c r="S69" s="233">
        <f t="shared" si="42"/>
        <v>0.94</v>
      </c>
      <c r="T69" s="240">
        <f t="shared" si="43"/>
        <v>64556.428398920129</v>
      </c>
      <c r="U69" s="240">
        <f t="shared" si="44"/>
        <v>68677.051488212906</v>
      </c>
      <c r="V69" s="233">
        <f t="shared" si="45"/>
        <v>0</v>
      </c>
      <c r="W69" s="243">
        <f t="shared" si="46"/>
        <v>14.5</v>
      </c>
      <c r="X69" s="233">
        <f t="shared" si="47"/>
        <v>0.34770347352843806</v>
      </c>
      <c r="Y69" s="233">
        <f t="shared" si="48"/>
        <v>0.31840248485926437</v>
      </c>
      <c r="Z69" s="233">
        <f t="shared" si="49"/>
        <v>0</v>
      </c>
      <c r="AA69" s="233">
        <f t="shared" si="50"/>
        <v>0</v>
      </c>
      <c r="AB69" s="233">
        <f t="shared" si="72"/>
        <v>0.56999999999999995</v>
      </c>
      <c r="AC69" s="233">
        <f t="shared" si="51"/>
        <v>0.74915292091429042</v>
      </c>
      <c r="AD69" s="233">
        <f t="shared" si="52"/>
        <v>0.4270171649211455</v>
      </c>
      <c r="AE69" s="240">
        <f t="shared" si="53"/>
        <v>0</v>
      </c>
      <c r="AF69" s="248">
        <f t="shared" si="54"/>
        <v>0</v>
      </c>
      <c r="AG69" s="240"/>
      <c r="AH69" s="240"/>
      <c r="AI69" s="240"/>
      <c r="AJ69" s="240"/>
      <c r="AK69" s="235"/>
      <c r="AL69" s="233"/>
      <c r="AM69" s="233"/>
      <c r="AN69" s="233"/>
      <c r="AO69" s="240"/>
      <c r="AP69" s="233"/>
      <c r="AQ69" s="240"/>
      <c r="AR69" s="240"/>
      <c r="AS69" s="233"/>
      <c r="AT69" s="243"/>
      <c r="AU69" s="233"/>
      <c r="AV69" s="233"/>
      <c r="AW69" s="233"/>
      <c r="AX69" s="233"/>
      <c r="AY69" s="233"/>
      <c r="AZ69" s="233"/>
      <c r="BA69" s="233"/>
      <c r="BB69" s="240"/>
      <c r="BC69" s="240"/>
      <c r="BD69" s="242"/>
      <c r="BE69" s="242"/>
      <c r="BF69" s="242"/>
      <c r="BG69" s="242"/>
    </row>
    <row r="70" spans="1:59">
      <c r="A70" s="126"/>
      <c r="C70" s="126"/>
      <c r="D70" s="126"/>
      <c r="E70" s="126"/>
      <c r="F70" s="126"/>
      <c r="G70" s="126"/>
      <c r="H70" s="126"/>
      <c r="I70" s="126"/>
      <c r="M70" s="250"/>
      <c r="N70" s="233"/>
      <c r="O70" s="249">
        <f t="shared" si="68"/>
        <v>2048</v>
      </c>
      <c r="P70" s="233">
        <f t="shared" si="69"/>
        <v>64</v>
      </c>
      <c r="Q70" s="233">
        <f t="shared" si="70"/>
        <v>35</v>
      </c>
      <c r="R70" s="240">
        <f t="shared" si="71"/>
        <v>166844.83685077608</v>
      </c>
      <c r="S70" s="233">
        <f t="shared" si="42"/>
        <v>0.97</v>
      </c>
      <c r="T70" s="240">
        <f t="shared" si="43"/>
        <v>70804.777638548112</v>
      </c>
      <c r="U70" s="240">
        <f t="shared" si="44"/>
        <v>72994.616122214531</v>
      </c>
      <c r="V70" s="233">
        <f t="shared" si="45"/>
        <v>0</v>
      </c>
      <c r="W70" s="243">
        <f t="shared" si="46"/>
        <v>14.5</v>
      </c>
      <c r="X70" s="233">
        <f t="shared" si="47"/>
        <v>0.3327305966779312</v>
      </c>
      <c r="Y70" s="233">
        <f t="shared" si="48"/>
        <v>0.31840248485926437</v>
      </c>
      <c r="Z70" s="233">
        <f t="shared" si="49"/>
        <v>0</v>
      </c>
      <c r="AA70" s="233">
        <f t="shared" si="50"/>
        <v>0</v>
      </c>
      <c r="AB70" s="233">
        <f t="shared" si="72"/>
        <v>0.56999999999999995</v>
      </c>
      <c r="AC70" s="233">
        <f t="shared" si="51"/>
        <v>0.74019176157321054</v>
      </c>
      <c r="AD70" s="233">
        <f t="shared" si="52"/>
        <v>0.42190930409673</v>
      </c>
      <c r="AE70" s="240">
        <f t="shared" si="53"/>
        <v>0</v>
      </c>
      <c r="AF70" s="248">
        <f t="shared" si="54"/>
        <v>0</v>
      </c>
      <c r="AG70" s="240"/>
      <c r="AH70" s="240"/>
      <c r="AI70" s="240"/>
      <c r="AJ70" s="240"/>
      <c r="AK70" s="235"/>
      <c r="AL70" s="233"/>
      <c r="AM70" s="233"/>
      <c r="AN70" s="233"/>
      <c r="AO70" s="240"/>
      <c r="AP70" s="233"/>
      <c r="AQ70" s="240"/>
      <c r="AR70" s="240"/>
      <c r="AS70" s="233"/>
      <c r="AT70" s="243"/>
      <c r="AU70" s="233"/>
      <c r="AV70" s="233"/>
      <c r="AW70" s="233"/>
      <c r="AX70" s="233"/>
      <c r="AY70" s="233"/>
      <c r="AZ70" s="233"/>
      <c r="BA70" s="233"/>
      <c r="BB70" s="240"/>
      <c r="BC70" s="240"/>
      <c r="BD70" s="242"/>
      <c r="BE70" s="242"/>
      <c r="BF70" s="242"/>
      <c r="BG70" s="242"/>
    </row>
    <row r="71" spans="1:59">
      <c r="A71" s="126"/>
      <c r="N71" s="233"/>
      <c r="O71" s="247">
        <f t="shared" si="68"/>
        <v>2049</v>
      </c>
      <c r="P71" s="245">
        <f t="shared" si="69"/>
        <v>65</v>
      </c>
      <c r="Q71" s="245">
        <f t="shared" si="70"/>
        <v>36</v>
      </c>
      <c r="R71" s="244">
        <f t="shared" si="71"/>
        <v>172267.29404842629</v>
      </c>
      <c r="S71" s="245">
        <f t="shared" si="42"/>
        <v>1</v>
      </c>
      <c r="T71" s="244">
        <f t="shared" si="43"/>
        <v>77520.282321791834</v>
      </c>
      <c r="U71" s="244">
        <f t="shared" si="44"/>
        <v>77520.282321791834</v>
      </c>
      <c r="V71" s="245">
        <f t="shared" si="45"/>
        <v>14.5</v>
      </c>
      <c r="W71" s="246">
        <f t="shared" si="46"/>
        <v>14.5</v>
      </c>
      <c r="X71" s="245">
        <f t="shared" si="47"/>
        <v>0.31840248485926437</v>
      </c>
      <c r="Y71" s="245">
        <f t="shared" si="48"/>
        <v>0.31840248485926437</v>
      </c>
      <c r="Z71" s="245">
        <f t="shared" si="49"/>
        <v>1</v>
      </c>
      <c r="AA71" s="245">
        <f t="shared" si="50"/>
        <v>0</v>
      </c>
      <c r="AB71" s="245">
        <f t="shared" si="72"/>
        <v>0.56999999999999995</v>
      </c>
      <c r="AC71" s="245">
        <f t="shared" si="51"/>
        <v>0.73133779313333958</v>
      </c>
      <c r="AD71" s="245">
        <f t="shared" si="52"/>
        <v>0</v>
      </c>
      <c r="AE71" s="244">
        <f t="shared" si="53"/>
        <v>204002.10653333805</v>
      </c>
      <c r="AF71" s="236">
        <f t="shared" si="54"/>
        <v>0</v>
      </c>
      <c r="AG71" s="240"/>
      <c r="AH71" s="240"/>
      <c r="AI71" s="240"/>
      <c r="AJ71" s="240"/>
      <c r="AK71" s="235"/>
      <c r="AL71" s="233"/>
      <c r="AM71" s="233"/>
      <c r="AN71" s="233"/>
      <c r="AO71" s="240"/>
      <c r="AP71" s="233"/>
      <c r="AQ71" s="240"/>
      <c r="AR71" s="240"/>
      <c r="AS71" s="233"/>
      <c r="AT71" s="243"/>
      <c r="AU71" s="233"/>
      <c r="AV71" s="233"/>
      <c r="AW71" s="233"/>
      <c r="AX71" s="233"/>
      <c r="AY71" s="233"/>
      <c r="AZ71" s="233"/>
      <c r="BA71" s="233"/>
      <c r="BB71" s="240"/>
      <c r="BC71" s="240"/>
      <c r="BD71" s="242"/>
      <c r="BE71" s="242"/>
      <c r="BF71" s="242"/>
      <c r="BG71" s="242"/>
    </row>
    <row r="72" spans="1:59">
      <c r="A72" s="126"/>
      <c r="N72" s="233"/>
      <c r="O72" s="233"/>
      <c r="P72" s="233"/>
      <c r="Q72" s="233"/>
      <c r="R72" s="233"/>
      <c r="S72" s="233"/>
      <c r="T72" s="233"/>
      <c r="U72" s="233"/>
      <c r="V72" s="233"/>
      <c r="W72" s="233"/>
      <c r="X72" s="233"/>
      <c r="Y72" s="233"/>
      <c r="Z72" s="233"/>
      <c r="AA72" s="233"/>
      <c r="AB72" s="233"/>
      <c r="AC72" s="233"/>
      <c r="AD72" s="241">
        <f>SUM(AD45:AD71)</f>
        <v>18.366134520759054</v>
      </c>
      <c r="AE72" s="240">
        <f>SUM(AE45:AE71)</f>
        <v>294921.28450531047</v>
      </c>
      <c r="AF72" s="240">
        <f>SUM(AF45:AF71)</f>
        <v>2164.1418892778129</v>
      </c>
      <c r="AG72" s="233"/>
      <c r="AH72" s="233"/>
      <c r="AI72" s="233"/>
      <c r="AJ72" s="233"/>
      <c r="AK72" s="235"/>
      <c r="AL72" s="233"/>
      <c r="AM72" s="233"/>
      <c r="AN72" s="233"/>
      <c r="AO72" s="233"/>
      <c r="AP72" s="233"/>
      <c r="AQ72" s="233"/>
      <c r="AR72" s="233"/>
      <c r="AS72" s="233"/>
      <c r="AT72" s="233"/>
      <c r="AU72" s="233"/>
      <c r="AV72" s="233"/>
      <c r="AW72" s="233"/>
      <c r="AX72" s="233"/>
      <c r="AY72" s="233"/>
      <c r="AZ72" s="233"/>
      <c r="BA72" s="233"/>
      <c r="BB72" s="233"/>
      <c r="BC72" s="233"/>
    </row>
    <row r="73" spans="1:59">
      <c r="A73" s="126"/>
      <c r="N73" s="233"/>
      <c r="O73" s="239" t="s">
        <v>289</v>
      </c>
      <c r="P73" s="238">
        <f>SUM(AE72:AF72)</f>
        <v>297085.42639458826</v>
      </c>
      <c r="Q73" s="233"/>
      <c r="R73" s="233"/>
      <c r="S73" s="233"/>
      <c r="T73" s="233"/>
      <c r="U73" s="233"/>
      <c r="V73" s="233"/>
      <c r="W73" s="233"/>
      <c r="X73" s="233"/>
      <c r="Y73" s="233"/>
      <c r="Z73" s="233"/>
      <c r="AA73" s="233"/>
      <c r="AB73" s="233"/>
      <c r="AC73" s="233"/>
      <c r="AD73" s="233"/>
      <c r="AE73" s="233"/>
      <c r="AF73" s="233"/>
      <c r="AG73" s="233"/>
      <c r="AH73" s="233"/>
      <c r="AI73" s="233"/>
      <c r="AJ73" s="233"/>
      <c r="AK73" s="235"/>
      <c r="AL73" s="233"/>
      <c r="AM73" s="233"/>
      <c r="AN73" s="233"/>
      <c r="AO73" s="233"/>
      <c r="AP73" s="233"/>
      <c r="AQ73" s="233"/>
      <c r="AR73" s="233"/>
      <c r="AS73" s="233"/>
      <c r="AT73" s="233"/>
      <c r="AU73" s="233"/>
      <c r="AV73" s="233"/>
      <c r="AW73" s="233"/>
      <c r="AX73" s="233"/>
      <c r="AY73" s="233"/>
      <c r="AZ73" s="233"/>
      <c r="BA73" s="233"/>
      <c r="BB73" s="233"/>
      <c r="BC73" s="233"/>
    </row>
    <row r="74" spans="1:59">
      <c r="A74" s="126"/>
      <c r="O74" s="237" t="s">
        <v>185</v>
      </c>
      <c r="P74" s="236">
        <f>(P73-0)/AD72</f>
        <v>16175.718742492909</v>
      </c>
      <c r="Q74" s="233"/>
      <c r="R74" s="233"/>
      <c r="S74" s="233"/>
      <c r="T74" s="233"/>
      <c r="U74" s="233"/>
      <c r="V74" s="233"/>
      <c r="W74" s="233"/>
      <c r="X74" s="233"/>
      <c r="Y74" s="233"/>
      <c r="Z74" s="233"/>
      <c r="AA74" s="233"/>
      <c r="AB74" s="233"/>
      <c r="AC74" s="233"/>
      <c r="AD74" s="233"/>
      <c r="AE74" s="233"/>
      <c r="AF74" s="233"/>
      <c r="AG74" s="233"/>
      <c r="AH74" s="233"/>
      <c r="AI74" s="233"/>
      <c r="AJ74" s="233"/>
      <c r="AK74" s="235"/>
      <c r="AL74" s="233"/>
      <c r="AM74" s="233"/>
      <c r="AN74" s="233"/>
      <c r="AO74" s="233"/>
      <c r="AP74" s="233"/>
      <c r="AQ74" s="233"/>
      <c r="AR74" s="233"/>
      <c r="AS74" s="233"/>
      <c r="AT74" s="233"/>
      <c r="AU74" s="233"/>
      <c r="AV74" s="233"/>
      <c r="AW74" s="233"/>
      <c r="AX74" s="233"/>
      <c r="AY74" s="233"/>
      <c r="AZ74" s="233"/>
      <c r="BA74" s="233"/>
      <c r="BB74" s="233"/>
      <c r="BC74" s="233"/>
    </row>
    <row r="75" spans="1:59">
      <c r="A75" s="126"/>
    </row>
    <row r="76" spans="1:59">
      <c r="A76" s="126"/>
    </row>
    <row r="77" spans="1:59">
      <c r="A77" s="126"/>
      <c r="N77" s="234" t="s">
        <v>288</v>
      </c>
      <c r="O77" s="233"/>
    </row>
    <row r="78" spans="1:59">
      <c r="A78" s="126"/>
      <c r="N78" s="232" t="s">
        <v>287</v>
      </c>
    </row>
    <row r="79" spans="1:59">
      <c r="A79" s="126"/>
      <c r="N79" s="232" t="s">
        <v>286</v>
      </c>
    </row>
    <row r="80" spans="1:59">
      <c r="A80" s="126"/>
      <c r="N80" s="232" t="s">
        <v>285</v>
      </c>
    </row>
    <row r="81" spans="1:14">
      <c r="A81" s="126"/>
      <c r="N81" s="232" t="s">
        <v>284</v>
      </c>
    </row>
    <row r="82" spans="1:14">
      <c r="A82" s="126"/>
    </row>
    <row r="83" spans="1:14">
      <c r="A83" s="126"/>
    </row>
    <row r="84" spans="1:14">
      <c r="A84" s="126"/>
    </row>
    <row r="85" spans="1:14">
      <c r="A85" s="126"/>
    </row>
    <row r="86" spans="1:14">
      <c r="A86" s="126"/>
    </row>
    <row r="87" spans="1:14">
      <c r="A87" s="126"/>
    </row>
    <row r="88" spans="1:14">
      <c r="A88" s="126"/>
    </row>
    <row r="89" spans="1:14">
      <c r="A89" s="126"/>
    </row>
    <row r="90" spans="1:14">
      <c r="A90" s="126"/>
    </row>
    <row r="91" spans="1:14">
      <c r="A91" s="126"/>
    </row>
    <row r="92" spans="1:14">
      <c r="A92" s="126"/>
    </row>
    <row r="93" spans="1:14">
      <c r="A93" s="126"/>
    </row>
    <row r="94" spans="1:14">
      <c r="A94" s="126"/>
    </row>
    <row r="95" spans="1:14">
      <c r="A95" s="126"/>
    </row>
    <row r="96" spans="1:14">
      <c r="A96" s="126"/>
    </row>
    <row r="97" spans="1:1">
      <c r="A97" s="126"/>
    </row>
    <row r="98" spans="1:1">
      <c r="A98" s="126"/>
    </row>
    <row r="99" spans="1:1">
      <c r="A99" s="126"/>
    </row>
    <row r="100" spans="1:1">
      <c r="A100" s="126"/>
    </row>
    <row r="101" spans="1:1">
      <c r="A101" s="126"/>
    </row>
    <row r="102" spans="1:1">
      <c r="A102" s="126"/>
    </row>
    <row r="103" spans="1:1">
      <c r="A103" s="126"/>
    </row>
    <row r="104" spans="1:1">
      <c r="A104" s="126"/>
    </row>
    <row r="105" spans="1:1">
      <c r="A105" s="126"/>
    </row>
    <row r="106" spans="1:1">
      <c r="A106" s="126"/>
    </row>
    <row r="107" spans="1:1">
      <c r="A107" s="126"/>
    </row>
    <row r="108" spans="1:1">
      <c r="A108" s="126"/>
    </row>
    <row r="109" spans="1:1">
      <c r="A109" s="126"/>
    </row>
    <row r="110" spans="1:1">
      <c r="A110" s="126"/>
    </row>
    <row r="111" spans="1:1">
      <c r="A111" s="126"/>
    </row>
    <row r="112" spans="1:1">
      <c r="A112" s="126"/>
    </row>
    <row r="113" spans="1:1">
      <c r="A113" s="126"/>
    </row>
    <row r="114" spans="1:1">
      <c r="A114" s="126"/>
    </row>
    <row r="115" spans="1:1">
      <c r="A115" s="126"/>
    </row>
    <row r="116" spans="1:1">
      <c r="A116" s="126"/>
    </row>
    <row r="117" spans="1:1">
      <c r="A117" s="126"/>
    </row>
    <row r="118" spans="1:1">
      <c r="A118" s="126"/>
    </row>
    <row r="119" spans="1:1">
      <c r="A119" s="126"/>
    </row>
    <row r="120" spans="1:1">
      <c r="A120" s="126"/>
    </row>
    <row r="121" spans="1:1">
      <c r="A121" s="126"/>
    </row>
    <row r="122" spans="1:1">
      <c r="A122" s="126"/>
    </row>
    <row r="123" spans="1:1">
      <c r="A123" s="126"/>
    </row>
    <row r="124" spans="1:1">
      <c r="A124" s="126"/>
    </row>
    <row r="125" spans="1:1">
      <c r="A125" s="126"/>
    </row>
    <row r="126" spans="1:1">
      <c r="A126" s="126"/>
    </row>
    <row r="127" spans="1:1">
      <c r="A127" s="126"/>
    </row>
    <row r="128" spans="1:1">
      <c r="A128" s="126"/>
    </row>
    <row r="129" spans="1:1">
      <c r="A129" s="126"/>
    </row>
    <row r="130" spans="1:1">
      <c r="A130" s="126"/>
    </row>
    <row r="131" spans="1:1">
      <c r="A131" s="126"/>
    </row>
    <row r="132" spans="1:1">
      <c r="A132" s="126"/>
    </row>
    <row r="133" spans="1:1">
      <c r="A133" s="126"/>
    </row>
    <row r="134" spans="1:1">
      <c r="A134" s="126"/>
    </row>
    <row r="135" spans="1:1">
      <c r="A135" s="126"/>
    </row>
    <row r="136" spans="1:1">
      <c r="A136" s="126"/>
    </row>
    <row r="137" spans="1:1">
      <c r="A137" s="126"/>
    </row>
    <row r="138" spans="1:1">
      <c r="A138" s="126"/>
    </row>
    <row r="139" spans="1:1">
      <c r="A139" s="126"/>
    </row>
    <row r="140" spans="1:1">
      <c r="A140" s="126"/>
    </row>
    <row r="141" spans="1:1">
      <c r="A141" s="126"/>
    </row>
    <row r="142" spans="1:1">
      <c r="A142" s="126"/>
    </row>
    <row r="143" spans="1:1">
      <c r="A143" s="126"/>
    </row>
    <row r="144" spans="1:1">
      <c r="A144" s="126"/>
    </row>
    <row r="145" spans="1:1">
      <c r="A145" s="126"/>
    </row>
    <row r="146" spans="1:1">
      <c r="A146" s="126"/>
    </row>
    <row r="147" spans="1:1">
      <c r="A147" s="126"/>
    </row>
    <row r="148" spans="1:1">
      <c r="A148" s="126"/>
    </row>
    <row r="149" spans="1:1">
      <c r="A149" s="126"/>
    </row>
    <row r="150" spans="1:1">
      <c r="A150" s="126"/>
    </row>
    <row r="151" spans="1:1">
      <c r="A151" s="126"/>
    </row>
    <row r="152" spans="1:1">
      <c r="A152" s="126"/>
    </row>
    <row r="153" spans="1:1">
      <c r="A153" s="126"/>
    </row>
    <row r="154" spans="1:1">
      <c r="A154" s="126"/>
    </row>
    <row r="155" spans="1:1">
      <c r="A155" s="126"/>
    </row>
    <row r="156" spans="1:1">
      <c r="A156" s="126"/>
    </row>
    <row r="157" spans="1:1">
      <c r="A157" s="126"/>
    </row>
    <row r="158" spans="1:1">
      <c r="A158" s="126"/>
    </row>
    <row r="159" spans="1:1">
      <c r="A159" s="126"/>
    </row>
    <row r="160" spans="1:1">
      <c r="A160" s="126"/>
    </row>
    <row r="161" spans="1:1">
      <c r="A161" s="126"/>
    </row>
    <row r="162" spans="1:1">
      <c r="A162" s="126"/>
    </row>
    <row r="163" spans="1:1">
      <c r="A163" s="126"/>
    </row>
    <row r="164" spans="1:1">
      <c r="A164" s="126"/>
    </row>
    <row r="165" spans="1:1">
      <c r="A165" s="126"/>
    </row>
    <row r="166" spans="1:1">
      <c r="A166" s="126"/>
    </row>
    <row r="167" spans="1:1">
      <c r="A167" s="126"/>
    </row>
    <row r="168" spans="1:1">
      <c r="A168" s="126"/>
    </row>
    <row r="169" spans="1:1">
      <c r="A169" s="126"/>
    </row>
    <row r="170" spans="1:1">
      <c r="A170" s="126"/>
    </row>
    <row r="171" spans="1:1">
      <c r="A171" s="126"/>
    </row>
    <row r="172" spans="1:1">
      <c r="A172" s="126"/>
    </row>
    <row r="173" spans="1:1">
      <c r="A173" s="126"/>
    </row>
    <row r="174" spans="1:1">
      <c r="A174" s="126"/>
    </row>
    <row r="175" spans="1:1">
      <c r="A175" s="126"/>
    </row>
    <row r="176" spans="1:1">
      <c r="A176" s="126"/>
    </row>
    <row r="177" spans="1:1">
      <c r="A177" s="126"/>
    </row>
    <row r="178" spans="1:1">
      <c r="A178" s="126"/>
    </row>
    <row r="179" spans="1:1">
      <c r="A179" s="126"/>
    </row>
    <row r="180" spans="1:1">
      <c r="A180" s="126"/>
    </row>
    <row r="181" spans="1:1">
      <c r="A181" s="126"/>
    </row>
    <row r="182" spans="1:1">
      <c r="A182" s="126"/>
    </row>
    <row r="183" spans="1:1">
      <c r="A183" s="126"/>
    </row>
    <row r="184" spans="1:1">
      <c r="A184" s="126"/>
    </row>
    <row r="185" spans="1:1">
      <c r="A185" s="126"/>
    </row>
    <row r="186" spans="1:1">
      <c r="A186" s="126"/>
    </row>
    <row r="187" spans="1:1">
      <c r="A187" s="126"/>
    </row>
    <row r="188" spans="1:1">
      <c r="A188" s="126"/>
    </row>
    <row r="189" spans="1:1">
      <c r="A189" s="126"/>
    </row>
    <row r="190" spans="1:1">
      <c r="A190" s="126"/>
    </row>
    <row r="191" spans="1:1">
      <c r="A191" s="126"/>
    </row>
    <row r="192" spans="1:1">
      <c r="A192" s="126"/>
    </row>
    <row r="193" spans="1:1">
      <c r="A193" s="126"/>
    </row>
    <row r="194" spans="1:1">
      <c r="A194" s="126"/>
    </row>
    <row r="195" spans="1:1">
      <c r="A195" s="126"/>
    </row>
    <row r="196" spans="1:1">
      <c r="A196" s="126"/>
    </row>
    <row r="197" spans="1:1">
      <c r="A197" s="126"/>
    </row>
    <row r="198" spans="1:1">
      <c r="A198" s="126"/>
    </row>
    <row r="199" spans="1:1">
      <c r="A199" s="126"/>
    </row>
    <row r="200" spans="1:1">
      <c r="A200" s="126"/>
    </row>
    <row r="201" spans="1:1">
      <c r="A201" s="126"/>
    </row>
    <row r="202" spans="1:1">
      <c r="A202" s="126"/>
    </row>
    <row r="203" spans="1:1">
      <c r="A203" s="126"/>
    </row>
    <row r="204" spans="1:1">
      <c r="A204" s="126"/>
    </row>
    <row r="205" spans="1:1">
      <c r="A205" s="126"/>
    </row>
    <row r="206" spans="1:1">
      <c r="A206" s="126"/>
    </row>
    <row r="207" spans="1:1">
      <c r="A207" s="126"/>
    </row>
    <row r="208" spans="1:1">
      <c r="A208" s="126"/>
    </row>
    <row r="209" spans="1:1">
      <c r="A209" s="126"/>
    </row>
    <row r="210" spans="1:1">
      <c r="A210" s="126"/>
    </row>
    <row r="211" spans="1:1">
      <c r="A211" s="126"/>
    </row>
    <row r="212" spans="1:1">
      <c r="A212" s="126"/>
    </row>
    <row r="213" spans="1:1">
      <c r="A213" s="126"/>
    </row>
    <row r="214" spans="1:1">
      <c r="A214" s="126"/>
    </row>
    <row r="215" spans="1:1">
      <c r="A215" s="126"/>
    </row>
    <row r="216" spans="1:1">
      <c r="A216" s="126"/>
    </row>
    <row r="217" spans="1:1">
      <c r="A217" s="126"/>
    </row>
    <row r="218" spans="1:1">
      <c r="A218" s="126"/>
    </row>
    <row r="219" spans="1:1">
      <c r="A219" s="126"/>
    </row>
    <row r="220" spans="1:1">
      <c r="A220" s="126"/>
    </row>
    <row r="221" spans="1:1">
      <c r="A221" s="126"/>
    </row>
    <row r="222" spans="1:1">
      <c r="A222" s="126"/>
    </row>
    <row r="223" spans="1:1">
      <c r="A223" s="126"/>
    </row>
    <row r="224" spans="1:1">
      <c r="A224" s="126"/>
    </row>
    <row r="225" spans="1:1">
      <c r="A225" s="126"/>
    </row>
    <row r="226" spans="1:1">
      <c r="A226" s="126"/>
    </row>
    <row r="227" spans="1:1">
      <c r="A227" s="126"/>
    </row>
    <row r="228" spans="1:1">
      <c r="A228" s="126"/>
    </row>
    <row r="229" spans="1:1">
      <c r="A229" s="126"/>
    </row>
    <row r="230" spans="1:1">
      <c r="A230" s="126"/>
    </row>
    <row r="231" spans="1:1">
      <c r="A231" s="126"/>
    </row>
    <row r="232" spans="1:1">
      <c r="A232" s="126"/>
    </row>
    <row r="233" spans="1:1">
      <c r="A233" s="126"/>
    </row>
    <row r="234" spans="1:1">
      <c r="A234" s="126"/>
    </row>
    <row r="235" spans="1:1">
      <c r="A235" s="126"/>
    </row>
    <row r="236" spans="1:1">
      <c r="A236" s="126"/>
    </row>
    <row r="237" spans="1:1">
      <c r="A237" s="126"/>
    </row>
    <row r="238" spans="1:1">
      <c r="A238" s="126"/>
    </row>
    <row r="239" spans="1:1">
      <c r="A239" s="126"/>
    </row>
    <row r="240" spans="1:1">
      <c r="A240" s="126"/>
    </row>
    <row r="241" spans="1:1">
      <c r="A241" s="126"/>
    </row>
    <row r="242" spans="1:1">
      <c r="A242" s="126"/>
    </row>
    <row r="243" spans="1:1">
      <c r="A243" s="126"/>
    </row>
    <row r="244" spans="1:1">
      <c r="A244" s="126"/>
    </row>
    <row r="245" spans="1:1">
      <c r="A245" s="126"/>
    </row>
    <row r="246" spans="1:1">
      <c r="A246" s="126"/>
    </row>
    <row r="247" spans="1:1">
      <c r="A247" s="126"/>
    </row>
    <row r="248" spans="1:1">
      <c r="A248" s="126"/>
    </row>
    <row r="249" spans="1:1">
      <c r="A249" s="126"/>
    </row>
    <row r="250" spans="1:1">
      <c r="A250" s="126"/>
    </row>
    <row r="251" spans="1:1">
      <c r="A251" s="126"/>
    </row>
    <row r="252" spans="1:1">
      <c r="A252" s="126"/>
    </row>
    <row r="253" spans="1:1">
      <c r="A253" s="126"/>
    </row>
    <row r="254" spans="1:1">
      <c r="A254" s="126"/>
    </row>
    <row r="255" spans="1:1">
      <c r="A255" s="126"/>
    </row>
    <row r="256" spans="1:1">
      <c r="A256" s="126"/>
    </row>
    <row r="257" spans="1:1">
      <c r="A257" s="126"/>
    </row>
    <row r="258" spans="1:1">
      <c r="A258" s="126"/>
    </row>
    <row r="259" spans="1:1">
      <c r="A259" s="126"/>
    </row>
    <row r="260" spans="1:1">
      <c r="A260" s="126"/>
    </row>
    <row r="261" spans="1:1">
      <c r="A261" s="126"/>
    </row>
    <row r="262" spans="1:1">
      <c r="A262" s="126"/>
    </row>
    <row r="263" spans="1:1">
      <c r="A263" s="126"/>
    </row>
    <row r="264" spans="1:1">
      <c r="A264" s="126"/>
    </row>
    <row r="265" spans="1:1">
      <c r="A265" s="126"/>
    </row>
    <row r="266" spans="1:1">
      <c r="A266" s="126"/>
    </row>
    <row r="267" spans="1:1">
      <c r="A267" s="126"/>
    </row>
    <row r="268" spans="1:1">
      <c r="A268" s="126"/>
    </row>
    <row r="269" spans="1:1">
      <c r="A269" s="126"/>
    </row>
    <row r="270" spans="1:1">
      <c r="A270" s="126"/>
    </row>
    <row r="271" spans="1:1">
      <c r="A271" s="126"/>
    </row>
    <row r="272" spans="1:1">
      <c r="A272" s="126"/>
    </row>
    <row r="273" spans="1:1">
      <c r="A273" s="126"/>
    </row>
    <row r="274" spans="1:1">
      <c r="A274" s="126"/>
    </row>
    <row r="275" spans="1:1">
      <c r="A275" s="126"/>
    </row>
    <row r="276" spans="1:1">
      <c r="A276" s="126"/>
    </row>
    <row r="277" spans="1:1">
      <c r="A277" s="126"/>
    </row>
    <row r="278" spans="1:1">
      <c r="A278" s="126"/>
    </row>
    <row r="279" spans="1:1">
      <c r="A279" s="126"/>
    </row>
    <row r="280" spans="1:1">
      <c r="A280" s="126"/>
    </row>
    <row r="281" spans="1:1">
      <c r="A281" s="126"/>
    </row>
    <row r="282" spans="1:1">
      <c r="A282" s="126"/>
    </row>
    <row r="283" spans="1:1">
      <c r="A283" s="126"/>
    </row>
    <row r="284" spans="1:1">
      <c r="A284" s="126"/>
    </row>
    <row r="285" spans="1:1">
      <c r="A285" s="126"/>
    </row>
    <row r="286" spans="1:1">
      <c r="A286" s="126"/>
    </row>
    <row r="287" spans="1:1">
      <c r="A287" s="126"/>
    </row>
    <row r="288" spans="1:1">
      <c r="A288" s="126"/>
    </row>
    <row r="289" spans="1:1">
      <c r="A289" s="126"/>
    </row>
    <row r="290" spans="1:1">
      <c r="A290" s="126"/>
    </row>
    <row r="291" spans="1:1">
      <c r="A291" s="126"/>
    </row>
    <row r="292" spans="1:1">
      <c r="A292" s="126"/>
    </row>
    <row r="293" spans="1:1">
      <c r="A293" s="126"/>
    </row>
    <row r="294" spans="1:1">
      <c r="A294" s="126"/>
    </row>
    <row r="295" spans="1:1">
      <c r="A295" s="126"/>
    </row>
    <row r="296" spans="1:1">
      <c r="A296" s="126"/>
    </row>
    <row r="297" spans="1:1">
      <c r="A297" s="126"/>
    </row>
    <row r="298" spans="1:1">
      <c r="A298" s="126"/>
    </row>
    <row r="299" spans="1:1">
      <c r="A299" s="126"/>
    </row>
    <row r="300" spans="1:1">
      <c r="A300" s="126"/>
    </row>
    <row r="301" spans="1:1">
      <c r="A301" s="126"/>
    </row>
    <row r="302" spans="1:1">
      <c r="A302" s="126"/>
    </row>
    <row r="303" spans="1:1">
      <c r="A303" s="126"/>
    </row>
    <row r="304" spans="1:1">
      <c r="A304" s="126"/>
    </row>
    <row r="305" spans="1:1">
      <c r="A305" s="126"/>
    </row>
    <row r="306" spans="1:1">
      <c r="A306" s="126"/>
    </row>
    <row r="307" spans="1:1">
      <c r="A307" s="126"/>
    </row>
    <row r="308" spans="1:1">
      <c r="A308" s="126"/>
    </row>
    <row r="309" spans="1:1">
      <c r="A309" s="126"/>
    </row>
    <row r="310" spans="1:1">
      <c r="A310" s="126"/>
    </row>
    <row r="311" spans="1:1">
      <c r="A311" s="126"/>
    </row>
    <row r="312" spans="1:1">
      <c r="A312" s="126"/>
    </row>
    <row r="313" spans="1:1">
      <c r="A313" s="126"/>
    </row>
    <row r="314" spans="1:1">
      <c r="A314" s="126"/>
    </row>
    <row r="315" spans="1:1">
      <c r="A315" s="126"/>
    </row>
    <row r="316" spans="1:1">
      <c r="A316" s="126"/>
    </row>
    <row r="317" spans="1:1">
      <c r="A317" s="126"/>
    </row>
    <row r="318" spans="1:1">
      <c r="A318" s="126"/>
    </row>
    <row r="319" spans="1:1">
      <c r="A319" s="126"/>
    </row>
    <row r="320" spans="1:1">
      <c r="A320" s="126"/>
    </row>
    <row r="321" spans="1:1">
      <c r="A321" s="126"/>
    </row>
    <row r="322" spans="1:1">
      <c r="A322" s="126"/>
    </row>
    <row r="323" spans="1:1">
      <c r="A323" s="126"/>
    </row>
    <row r="324" spans="1:1">
      <c r="A324" s="126"/>
    </row>
    <row r="325" spans="1:1">
      <c r="A325" s="126"/>
    </row>
    <row r="326" spans="1:1">
      <c r="A326" s="126"/>
    </row>
    <row r="327" spans="1:1">
      <c r="A327" s="126"/>
    </row>
    <row r="328" spans="1:1">
      <c r="A328" s="126"/>
    </row>
    <row r="329" spans="1:1">
      <c r="A329" s="126"/>
    </row>
    <row r="330" spans="1:1">
      <c r="A330" s="126"/>
    </row>
    <row r="331" spans="1:1">
      <c r="A331" s="126"/>
    </row>
    <row r="332" spans="1:1">
      <c r="A332" s="126"/>
    </row>
    <row r="333" spans="1:1">
      <c r="A333" s="126"/>
    </row>
    <row r="334" spans="1:1">
      <c r="A334" s="126"/>
    </row>
    <row r="335" spans="1:1">
      <c r="A335" s="126"/>
    </row>
    <row r="336" spans="1:1">
      <c r="A336" s="126"/>
    </row>
    <row r="337" spans="1:1">
      <c r="A337" s="126"/>
    </row>
    <row r="338" spans="1:1">
      <c r="A338" s="126"/>
    </row>
    <row r="339" spans="1:1">
      <c r="A339" s="126"/>
    </row>
    <row r="340" spans="1:1">
      <c r="A340" s="126"/>
    </row>
    <row r="341" spans="1:1">
      <c r="A341" s="126"/>
    </row>
    <row r="342" spans="1:1">
      <c r="A342" s="126"/>
    </row>
    <row r="343" spans="1:1">
      <c r="A343" s="126"/>
    </row>
    <row r="344" spans="1:1">
      <c r="A344" s="126"/>
    </row>
    <row r="345" spans="1:1">
      <c r="A345" s="126"/>
    </row>
    <row r="346" spans="1:1">
      <c r="A346" s="126"/>
    </row>
    <row r="347" spans="1:1">
      <c r="A347" s="126"/>
    </row>
    <row r="348" spans="1:1">
      <c r="A348" s="126"/>
    </row>
    <row r="349" spans="1:1">
      <c r="A349" s="126"/>
    </row>
    <row r="350" spans="1:1">
      <c r="A350" s="126"/>
    </row>
    <row r="351" spans="1:1">
      <c r="A351" s="126"/>
    </row>
    <row r="352" spans="1:1">
      <c r="A352" s="126"/>
    </row>
    <row r="353" spans="1:1">
      <c r="A353" s="126"/>
    </row>
    <row r="354" spans="1:1">
      <c r="A354" s="126"/>
    </row>
    <row r="355" spans="1:1">
      <c r="A355" s="126"/>
    </row>
    <row r="356" spans="1:1">
      <c r="A356" s="126"/>
    </row>
    <row r="357" spans="1:1">
      <c r="A357" s="126"/>
    </row>
    <row r="358" spans="1:1">
      <c r="A358" s="126"/>
    </row>
    <row r="359" spans="1:1">
      <c r="A359" s="126"/>
    </row>
    <row r="360" spans="1:1">
      <c r="A360" s="126"/>
    </row>
    <row r="361" spans="1:1">
      <c r="A361" s="126"/>
    </row>
    <row r="362" spans="1:1">
      <c r="A362" s="126"/>
    </row>
    <row r="363" spans="1:1">
      <c r="A363" s="126"/>
    </row>
    <row r="364" spans="1:1">
      <c r="A364" s="126"/>
    </row>
    <row r="365" spans="1:1">
      <c r="A365" s="126"/>
    </row>
    <row r="366" spans="1:1">
      <c r="A366" s="126"/>
    </row>
    <row r="367" spans="1:1">
      <c r="A367" s="126"/>
    </row>
    <row r="368" spans="1:1">
      <c r="A368" s="126"/>
    </row>
    <row r="369" spans="1:1">
      <c r="A369" s="126"/>
    </row>
    <row r="370" spans="1:1">
      <c r="A370" s="126"/>
    </row>
    <row r="371" spans="1:1">
      <c r="A371" s="126"/>
    </row>
    <row r="372" spans="1:1">
      <c r="A372" s="126"/>
    </row>
    <row r="373" spans="1:1">
      <c r="A373" s="126"/>
    </row>
    <row r="374" spans="1:1">
      <c r="A374" s="126"/>
    </row>
    <row r="375" spans="1:1">
      <c r="A375" s="126"/>
    </row>
    <row r="376" spans="1:1">
      <c r="A376" s="126"/>
    </row>
    <row r="377" spans="1:1">
      <c r="A377" s="126"/>
    </row>
    <row r="378" spans="1:1">
      <c r="A378" s="126"/>
    </row>
    <row r="379" spans="1:1">
      <c r="A379" s="126"/>
    </row>
    <row r="380" spans="1:1">
      <c r="A380" s="126"/>
    </row>
    <row r="381" spans="1:1">
      <c r="A381" s="126"/>
    </row>
    <row r="382" spans="1:1">
      <c r="A382" s="126"/>
    </row>
    <row r="383" spans="1:1">
      <c r="A383" s="126"/>
    </row>
    <row r="384" spans="1:1">
      <c r="A384" s="126"/>
    </row>
    <row r="385" spans="1:1">
      <c r="A385" s="126"/>
    </row>
    <row r="386" spans="1:1">
      <c r="A386" s="126"/>
    </row>
    <row r="387" spans="1:1">
      <c r="A387" s="126"/>
    </row>
    <row r="388" spans="1:1">
      <c r="A388" s="126"/>
    </row>
    <row r="389" spans="1:1">
      <c r="A389" s="126"/>
    </row>
    <row r="390" spans="1:1">
      <c r="A390" s="126"/>
    </row>
    <row r="391" spans="1:1">
      <c r="A391" s="126"/>
    </row>
    <row r="392" spans="1:1">
      <c r="A392" s="126"/>
    </row>
    <row r="393" spans="1:1">
      <c r="A393" s="126"/>
    </row>
    <row r="394" spans="1:1">
      <c r="A394" s="126"/>
    </row>
    <row r="395" spans="1:1">
      <c r="A395" s="126"/>
    </row>
    <row r="396" spans="1:1">
      <c r="A396" s="126"/>
    </row>
    <row r="397" spans="1:1">
      <c r="A397" s="126"/>
    </row>
    <row r="398" spans="1:1">
      <c r="A398" s="126"/>
    </row>
    <row r="399" spans="1:1">
      <c r="A399" s="126"/>
    </row>
    <row r="400" spans="1:1">
      <c r="A400" s="126"/>
    </row>
    <row r="401" spans="1:1">
      <c r="A401" s="126"/>
    </row>
    <row r="402" spans="1:1">
      <c r="A402" s="126"/>
    </row>
    <row r="403" spans="1:1">
      <c r="A403" s="126"/>
    </row>
    <row r="404" spans="1:1">
      <c r="A404" s="126"/>
    </row>
    <row r="405" spans="1:1">
      <c r="A405" s="126"/>
    </row>
    <row r="406" spans="1:1">
      <c r="A406" s="126"/>
    </row>
    <row r="407" spans="1:1">
      <c r="A407" s="126"/>
    </row>
    <row r="408" spans="1:1">
      <c r="A408" s="126"/>
    </row>
    <row r="409" spans="1:1">
      <c r="A409" s="126"/>
    </row>
    <row r="410" spans="1:1">
      <c r="A410" s="126"/>
    </row>
    <row r="411" spans="1:1">
      <c r="A411" s="126"/>
    </row>
    <row r="412" spans="1:1">
      <c r="A412" s="126"/>
    </row>
    <row r="413" spans="1:1">
      <c r="A413" s="126"/>
    </row>
    <row r="414" spans="1:1">
      <c r="A414" s="126"/>
    </row>
    <row r="415" spans="1:1">
      <c r="A415" s="126"/>
    </row>
    <row r="416" spans="1:1">
      <c r="A416" s="126"/>
    </row>
    <row r="417" spans="1:1">
      <c r="A417" s="126"/>
    </row>
    <row r="418" spans="1:1">
      <c r="A418" s="126"/>
    </row>
    <row r="419" spans="1:1">
      <c r="A419" s="126"/>
    </row>
    <row r="420" spans="1:1">
      <c r="A420" s="126"/>
    </row>
    <row r="421" spans="1:1">
      <c r="A421" s="126"/>
    </row>
    <row r="422" spans="1:1">
      <c r="A422" s="126"/>
    </row>
    <row r="423" spans="1:1">
      <c r="A423" s="126"/>
    </row>
    <row r="424" spans="1:1">
      <c r="A424" s="126"/>
    </row>
    <row r="425" spans="1:1">
      <c r="A425" s="126"/>
    </row>
    <row r="426" spans="1:1">
      <c r="A426" s="126"/>
    </row>
    <row r="427" spans="1:1">
      <c r="A427" s="126"/>
    </row>
    <row r="428" spans="1:1">
      <c r="A428" s="126"/>
    </row>
    <row r="429" spans="1:1">
      <c r="A429" s="126"/>
    </row>
    <row r="430" spans="1:1">
      <c r="A430" s="126"/>
    </row>
    <row r="431" spans="1:1">
      <c r="A431" s="126"/>
    </row>
    <row r="432" spans="1:1">
      <c r="A432" s="126"/>
    </row>
    <row r="433" spans="1:1">
      <c r="A433" s="126"/>
    </row>
    <row r="434" spans="1:1">
      <c r="A434" s="126"/>
    </row>
    <row r="435" spans="1:1">
      <c r="A435" s="126"/>
    </row>
    <row r="436" spans="1:1">
      <c r="A436" s="126"/>
    </row>
    <row r="437" spans="1:1">
      <c r="A437" s="126"/>
    </row>
    <row r="438" spans="1:1">
      <c r="A438" s="126"/>
    </row>
    <row r="439" spans="1:1">
      <c r="A439" s="126"/>
    </row>
    <row r="440" spans="1:1">
      <c r="A440" s="126"/>
    </row>
    <row r="441" spans="1:1">
      <c r="A441" s="126"/>
    </row>
    <row r="442" spans="1:1">
      <c r="A442" s="126"/>
    </row>
    <row r="443" spans="1:1">
      <c r="A443" s="126"/>
    </row>
    <row r="444" spans="1:1">
      <c r="A444" s="126"/>
    </row>
    <row r="445" spans="1:1">
      <c r="A445" s="126"/>
    </row>
    <row r="446" spans="1:1">
      <c r="A446" s="126"/>
    </row>
    <row r="447" spans="1:1">
      <c r="A447" s="126"/>
    </row>
    <row r="448" spans="1:1">
      <c r="A448" s="126"/>
    </row>
    <row r="449" spans="1:1">
      <c r="A449" s="126"/>
    </row>
    <row r="450" spans="1:1">
      <c r="A450" s="126"/>
    </row>
    <row r="451" spans="1:1">
      <c r="A451" s="126"/>
    </row>
    <row r="452" spans="1:1">
      <c r="A452" s="126"/>
    </row>
    <row r="453" spans="1:1">
      <c r="A453" s="126"/>
    </row>
    <row r="454" spans="1:1">
      <c r="A454" s="126"/>
    </row>
    <row r="455" spans="1:1">
      <c r="A455" s="126"/>
    </row>
    <row r="456" spans="1:1">
      <c r="A456" s="126"/>
    </row>
    <row r="457" spans="1:1">
      <c r="A457" s="126"/>
    </row>
    <row r="458" spans="1:1">
      <c r="A458" s="126"/>
    </row>
    <row r="459" spans="1:1">
      <c r="A459" s="126"/>
    </row>
    <row r="460" spans="1:1">
      <c r="A460" s="126"/>
    </row>
    <row r="461" spans="1:1">
      <c r="A461" s="126"/>
    </row>
    <row r="462" spans="1:1">
      <c r="A462" s="126"/>
    </row>
    <row r="463" spans="1:1">
      <c r="A463" s="126"/>
    </row>
    <row r="464" spans="1:1">
      <c r="A464" s="126"/>
    </row>
    <row r="465" spans="1:1">
      <c r="A465" s="126"/>
    </row>
    <row r="466" spans="1:1">
      <c r="A466" s="126"/>
    </row>
    <row r="467" spans="1:1">
      <c r="A467" s="126"/>
    </row>
    <row r="468" spans="1:1">
      <c r="A468" s="126"/>
    </row>
    <row r="469" spans="1:1">
      <c r="A469" s="126"/>
    </row>
    <row r="470" spans="1:1">
      <c r="A470" s="126"/>
    </row>
    <row r="471" spans="1:1">
      <c r="A471" s="126"/>
    </row>
    <row r="472" spans="1:1">
      <c r="A472" s="126"/>
    </row>
    <row r="473" spans="1:1">
      <c r="A473" s="126"/>
    </row>
    <row r="474" spans="1:1">
      <c r="A474" s="126"/>
    </row>
    <row r="475" spans="1:1">
      <c r="A475" s="126"/>
    </row>
    <row r="476" spans="1:1">
      <c r="A476" s="126"/>
    </row>
    <row r="477" spans="1:1">
      <c r="A477" s="126"/>
    </row>
    <row r="478" spans="1:1">
      <c r="A478" s="126"/>
    </row>
    <row r="479" spans="1:1">
      <c r="A479" s="126"/>
    </row>
    <row r="480" spans="1:1">
      <c r="A480" s="126"/>
    </row>
    <row r="481" spans="1:1">
      <c r="A481" s="126"/>
    </row>
    <row r="482" spans="1:1">
      <c r="A482" s="126"/>
    </row>
    <row r="483" spans="1:1">
      <c r="A483" s="126"/>
    </row>
    <row r="484" spans="1:1">
      <c r="A484" s="126"/>
    </row>
    <row r="485" spans="1:1">
      <c r="A485" s="126"/>
    </row>
    <row r="486" spans="1:1">
      <c r="A486" s="126"/>
    </row>
    <row r="487" spans="1:1">
      <c r="A487" s="126"/>
    </row>
    <row r="488" spans="1:1">
      <c r="A488" s="126"/>
    </row>
    <row r="489" spans="1:1">
      <c r="A489" s="126"/>
    </row>
    <row r="490" spans="1:1">
      <c r="A490" s="126"/>
    </row>
    <row r="491" spans="1:1">
      <c r="A491" s="126"/>
    </row>
    <row r="492" spans="1:1">
      <c r="A492" s="126"/>
    </row>
    <row r="493" spans="1:1">
      <c r="A493" s="126"/>
    </row>
    <row r="494" spans="1:1">
      <c r="A494" s="126"/>
    </row>
    <row r="495" spans="1:1">
      <c r="A495" s="126"/>
    </row>
    <row r="496" spans="1:1">
      <c r="A496" s="126"/>
    </row>
    <row r="497" spans="1:1">
      <c r="A497" s="126"/>
    </row>
    <row r="498" spans="1:1">
      <c r="A498" s="126"/>
    </row>
    <row r="499" spans="1:1">
      <c r="A499" s="126"/>
    </row>
    <row r="500" spans="1:1">
      <c r="A500" s="126"/>
    </row>
    <row r="501" spans="1:1">
      <c r="A501" s="126"/>
    </row>
    <row r="502" spans="1:1">
      <c r="A502" s="126"/>
    </row>
    <row r="503" spans="1:1">
      <c r="A503" s="126"/>
    </row>
    <row r="504" spans="1:1">
      <c r="A504" s="126"/>
    </row>
    <row r="505" spans="1:1">
      <c r="A505" s="126"/>
    </row>
    <row r="506" spans="1:1">
      <c r="A506" s="126"/>
    </row>
    <row r="507" spans="1:1">
      <c r="A507" s="126"/>
    </row>
    <row r="508" spans="1:1">
      <c r="A508" s="126"/>
    </row>
    <row r="509" spans="1:1">
      <c r="A509" s="126"/>
    </row>
    <row r="510" spans="1:1">
      <c r="A510" s="126"/>
    </row>
    <row r="511" spans="1:1">
      <c r="A511" s="126"/>
    </row>
    <row r="512" spans="1:1">
      <c r="A512" s="126"/>
    </row>
    <row r="513" spans="1:1">
      <c r="A513" s="126"/>
    </row>
    <row r="514" spans="1:1">
      <c r="A514" s="126"/>
    </row>
    <row r="515" spans="1:1">
      <c r="A515" s="126"/>
    </row>
    <row r="516" spans="1:1">
      <c r="A516" s="126"/>
    </row>
    <row r="517" spans="1:1">
      <c r="A517" s="126"/>
    </row>
    <row r="518" spans="1:1">
      <c r="A518" s="126"/>
    </row>
    <row r="519" spans="1:1">
      <c r="A519" s="126"/>
    </row>
    <row r="520" spans="1:1">
      <c r="A520" s="126"/>
    </row>
    <row r="521" spans="1:1">
      <c r="A521" s="126"/>
    </row>
    <row r="522" spans="1:1">
      <c r="A522" s="126"/>
    </row>
    <row r="523" spans="1:1">
      <c r="A523" s="126"/>
    </row>
    <row r="524" spans="1:1">
      <c r="A524" s="126"/>
    </row>
    <row r="525" spans="1:1">
      <c r="A525" s="126"/>
    </row>
    <row r="526" spans="1:1">
      <c r="A526" s="126"/>
    </row>
    <row r="527" spans="1:1">
      <c r="A527" s="126"/>
    </row>
    <row r="528" spans="1:1">
      <c r="A528" s="126"/>
    </row>
    <row r="529" spans="1:1">
      <c r="A529" s="126"/>
    </row>
    <row r="530" spans="1:1">
      <c r="A530" s="126"/>
    </row>
    <row r="531" spans="1:1">
      <c r="A531" s="126"/>
    </row>
    <row r="532" spans="1:1">
      <c r="A532" s="126"/>
    </row>
    <row r="533" spans="1:1">
      <c r="A533" s="126"/>
    </row>
    <row r="534" spans="1:1">
      <c r="A534" s="126"/>
    </row>
    <row r="535" spans="1:1">
      <c r="A535" s="126"/>
    </row>
    <row r="536" spans="1:1">
      <c r="A536" s="126"/>
    </row>
    <row r="537" spans="1:1">
      <c r="A537" s="126"/>
    </row>
    <row r="538" spans="1:1">
      <c r="A538" s="126"/>
    </row>
    <row r="539" spans="1:1">
      <c r="A539" s="126"/>
    </row>
    <row r="540" spans="1:1">
      <c r="A540" s="126"/>
    </row>
    <row r="541" spans="1:1">
      <c r="A541" s="126"/>
    </row>
    <row r="542" spans="1:1">
      <c r="A542" s="126"/>
    </row>
    <row r="543" spans="1:1">
      <c r="A543" s="126"/>
    </row>
    <row r="544" spans="1:1">
      <c r="A544" s="126"/>
    </row>
    <row r="545" spans="1:1">
      <c r="A545" s="126"/>
    </row>
    <row r="546" spans="1:1">
      <c r="A546" s="126"/>
    </row>
    <row r="547" spans="1:1">
      <c r="A547" s="126"/>
    </row>
    <row r="548" spans="1:1">
      <c r="A548" s="126"/>
    </row>
    <row r="549" spans="1:1">
      <c r="A549" s="126"/>
    </row>
    <row r="550" spans="1:1">
      <c r="A550" s="126"/>
    </row>
    <row r="551" spans="1:1">
      <c r="A551" s="126"/>
    </row>
    <row r="552" spans="1:1">
      <c r="A552" s="126"/>
    </row>
    <row r="553" spans="1:1">
      <c r="A553" s="126"/>
    </row>
    <row r="554" spans="1:1">
      <c r="A554" s="126"/>
    </row>
    <row r="555" spans="1:1">
      <c r="A555" s="126"/>
    </row>
    <row r="556" spans="1:1">
      <c r="A556" s="126"/>
    </row>
    <row r="557" spans="1:1">
      <c r="A557" s="126"/>
    </row>
    <row r="558" spans="1:1">
      <c r="A558" s="126"/>
    </row>
    <row r="559" spans="1:1">
      <c r="A559" s="126"/>
    </row>
    <row r="560" spans="1:1">
      <c r="A560" s="126"/>
    </row>
    <row r="561" spans="1:1">
      <c r="A561" s="126"/>
    </row>
    <row r="562" spans="1:1">
      <c r="A562" s="126"/>
    </row>
    <row r="563" spans="1:1">
      <c r="A563" s="126"/>
    </row>
    <row r="564" spans="1:1">
      <c r="A564" s="126"/>
    </row>
    <row r="565" spans="1:1">
      <c r="A565" s="126"/>
    </row>
    <row r="566" spans="1:1">
      <c r="A566" s="126"/>
    </row>
    <row r="567" spans="1:1">
      <c r="A567" s="126"/>
    </row>
    <row r="568" spans="1:1">
      <c r="A568" s="126"/>
    </row>
    <row r="569" spans="1:1">
      <c r="A569" s="126"/>
    </row>
    <row r="570" spans="1:1">
      <c r="A570" s="126"/>
    </row>
    <row r="571" spans="1:1">
      <c r="A571" s="126"/>
    </row>
    <row r="572" spans="1:1">
      <c r="A572" s="126"/>
    </row>
    <row r="573" spans="1:1">
      <c r="A573" s="126"/>
    </row>
    <row r="574" spans="1:1">
      <c r="A574" s="126"/>
    </row>
    <row r="575" spans="1:1">
      <c r="A575" s="126"/>
    </row>
    <row r="576" spans="1:1">
      <c r="A576" s="126"/>
    </row>
    <row r="577" spans="1:1">
      <c r="A577" s="126"/>
    </row>
    <row r="578" spans="1:1">
      <c r="A578" s="126"/>
    </row>
    <row r="579" spans="1:1">
      <c r="A579" s="126"/>
    </row>
    <row r="580" spans="1:1">
      <c r="A580" s="126"/>
    </row>
    <row r="581" spans="1:1">
      <c r="A581" s="126"/>
    </row>
    <row r="582" spans="1:1">
      <c r="A582" s="126"/>
    </row>
    <row r="583" spans="1:1">
      <c r="A583" s="126"/>
    </row>
    <row r="584" spans="1:1">
      <c r="A584" s="126"/>
    </row>
    <row r="585" spans="1:1">
      <c r="A585" s="126"/>
    </row>
    <row r="586" spans="1:1">
      <c r="A586" s="126"/>
    </row>
    <row r="587" spans="1:1">
      <c r="A587" s="126"/>
    </row>
    <row r="588" spans="1:1">
      <c r="A588" s="126"/>
    </row>
    <row r="589" spans="1:1">
      <c r="A589" s="126"/>
    </row>
    <row r="590" spans="1:1">
      <c r="A590" s="126"/>
    </row>
    <row r="591" spans="1:1">
      <c r="A591" s="126"/>
    </row>
    <row r="592" spans="1:1">
      <c r="A592" s="126"/>
    </row>
    <row r="593" spans="1:1">
      <c r="A593" s="126"/>
    </row>
    <row r="594" spans="1:1">
      <c r="A594" s="126"/>
    </row>
    <row r="595" spans="1:1">
      <c r="A595" s="126"/>
    </row>
    <row r="596" spans="1:1">
      <c r="A596" s="126"/>
    </row>
    <row r="597" spans="1:1">
      <c r="A597" s="126"/>
    </row>
    <row r="598" spans="1:1">
      <c r="A598" s="126"/>
    </row>
    <row r="599" spans="1:1">
      <c r="A599" s="126"/>
    </row>
    <row r="600" spans="1:1">
      <c r="A600" s="126"/>
    </row>
    <row r="601" spans="1:1">
      <c r="A601" s="126"/>
    </row>
    <row r="602" spans="1:1">
      <c r="A602" s="126"/>
    </row>
    <row r="603" spans="1:1">
      <c r="A603" s="126"/>
    </row>
    <row r="604" spans="1:1">
      <c r="A604" s="126"/>
    </row>
    <row r="605" spans="1:1">
      <c r="A605" s="126"/>
    </row>
    <row r="606" spans="1:1">
      <c r="A606" s="126"/>
    </row>
    <row r="607" spans="1:1">
      <c r="A607" s="126"/>
    </row>
    <row r="608" spans="1:1">
      <c r="A608" s="126"/>
    </row>
    <row r="609" spans="1:1">
      <c r="A609" s="126"/>
    </row>
    <row r="610" spans="1:1">
      <c r="A610" s="126"/>
    </row>
    <row r="611" spans="1:1">
      <c r="A611" s="126"/>
    </row>
    <row r="612" spans="1:1">
      <c r="A612" s="126"/>
    </row>
    <row r="613" spans="1:1">
      <c r="A613" s="126"/>
    </row>
    <row r="614" spans="1:1">
      <c r="A614" s="126"/>
    </row>
    <row r="615" spans="1:1">
      <c r="A615" s="126"/>
    </row>
    <row r="616" spans="1:1">
      <c r="A616" s="126"/>
    </row>
    <row r="617" spans="1:1">
      <c r="A617" s="126"/>
    </row>
    <row r="618" spans="1:1">
      <c r="A618" s="126"/>
    </row>
    <row r="619" spans="1:1">
      <c r="A619" s="126"/>
    </row>
    <row r="620" spans="1:1">
      <c r="A620" s="126"/>
    </row>
    <row r="621" spans="1:1">
      <c r="A621" s="126"/>
    </row>
    <row r="622" spans="1:1">
      <c r="A622" s="126"/>
    </row>
    <row r="623" spans="1:1">
      <c r="A623" s="126"/>
    </row>
    <row r="624" spans="1:1">
      <c r="A624" s="126"/>
    </row>
    <row r="625" spans="1:1">
      <c r="A625" s="126"/>
    </row>
    <row r="626" spans="1:1">
      <c r="A626" s="126"/>
    </row>
    <row r="627" spans="1:1">
      <c r="A627" s="126"/>
    </row>
    <row r="628" spans="1:1">
      <c r="A628" s="126"/>
    </row>
    <row r="629" spans="1:1">
      <c r="A629" s="126"/>
    </row>
    <row r="630" spans="1:1">
      <c r="A630" s="126"/>
    </row>
    <row r="631" spans="1:1">
      <c r="A631" s="126"/>
    </row>
    <row r="632" spans="1:1">
      <c r="A632" s="126"/>
    </row>
    <row r="633" spans="1:1">
      <c r="A633" s="126"/>
    </row>
    <row r="634" spans="1:1">
      <c r="A634" s="126"/>
    </row>
    <row r="635" spans="1:1">
      <c r="A635" s="126"/>
    </row>
    <row r="636" spans="1:1">
      <c r="A636" s="126"/>
    </row>
    <row r="637" spans="1:1">
      <c r="A637" s="126"/>
    </row>
    <row r="638" spans="1:1">
      <c r="A638" s="126"/>
    </row>
    <row r="639" spans="1:1">
      <c r="A639" s="126"/>
    </row>
    <row r="640" spans="1:1">
      <c r="A640" s="126"/>
    </row>
    <row r="641" spans="1:1">
      <c r="A641" s="126"/>
    </row>
    <row r="642" spans="1:1">
      <c r="A642" s="126"/>
    </row>
    <row r="643" spans="1:1">
      <c r="A643" s="126"/>
    </row>
    <row r="644" spans="1:1">
      <c r="A644" s="126"/>
    </row>
    <row r="645" spans="1:1">
      <c r="A645" s="126"/>
    </row>
    <row r="646" spans="1:1">
      <c r="A646" s="126"/>
    </row>
    <row r="647" spans="1:1">
      <c r="A647" s="126"/>
    </row>
    <row r="648" spans="1:1">
      <c r="A648" s="126"/>
    </row>
    <row r="649" spans="1:1">
      <c r="A649" s="126"/>
    </row>
    <row r="650" spans="1:1">
      <c r="A650" s="126"/>
    </row>
    <row r="651" spans="1:1">
      <c r="A651" s="126"/>
    </row>
    <row r="652" spans="1:1">
      <c r="A652" s="126"/>
    </row>
    <row r="653" spans="1:1">
      <c r="A653" s="126"/>
    </row>
    <row r="654" spans="1:1">
      <c r="A654" s="126"/>
    </row>
    <row r="655" spans="1:1">
      <c r="A655" s="126"/>
    </row>
    <row r="656" spans="1:1">
      <c r="A656" s="126"/>
    </row>
    <row r="657" spans="1:1">
      <c r="A657" s="126"/>
    </row>
    <row r="658" spans="1:1">
      <c r="A658" s="126"/>
    </row>
    <row r="659" spans="1:1">
      <c r="A659" s="126"/>
    </row>
    <row r="660" spans="1:1">
      <c r="A660" s="126"/>
    </row>
    <row r="661" spans="1:1">
      <c r="A661" s="126"/>
    </row>
    <row r="662" spans="1:1">
      <c r="A662" s="126"/>
    </row>
    <row r="663" spans="1:1">
      <c r="A663" s="126"/>
    </row>
    <row r="664" spans="1:1">
      <c r="A664" s="126"/>
    </row>
    <row r="665" spans="1:1">
      <c r="A665" s="126"/>
    </row>
    <row r="666" spans="1:1">
      <c r="A666" s="126"/>
    </row>
    <row r="667" spans="1:1">
      <c r="A667" s="126"/>
    </row>
    <row r="668" spans="1:1">
      <c r="A668" s="126"/>
    </row>
    <row r="669" spans="1:1">
      <c r="A669" s="126"/>
    </row>
    <row r="670" spans="1:1">
      <c r="A670" s="126"/>
    </row>
    <row r="671" spans="1:1">
      <c r="A671" s="126"/>
    </row>
    <row r="672" spans="1:1">
      <c r="A672" s="126"/>
    </row>
    <row r="673" spans="1:1">
      <c r="A673" s="126"/>
    </row>
    <row r="674" spans="1:1">
      <c r="A674" s="126"/>
    </row>
    <row r="675" spans="1:1">
      <c r="A675" s="126"/>
    </row>
    <row r="676" spans="1:1">
      <c r="A676" s="126"/>
    </row>
    <row r="677" spans="1:1">
      <c r="A677" s="126"/>
    </row>
    <row r="678" spans="1:1">
      <c r="A678" s="126"/>
    </row>
    <row r="679" spans="1:1">
      <c r="A679" s="126"/>
    </row>
    <row r="680" spans="1:1">
      <c r="A680" s="126"/>
    </row>
    <row r="681" spans="1:1">
      <c r="A681" s="126"/>
    </row>
    <row r="682" spans="1:1">
      <c r="A682" s="126"/>
    </row>
    <row r="683" spans="1:1">
      <c r="A683" s="126"/>
    </row>
    <row r="684" spans="1:1">
      <c r="A684" s="126"/>
    </row>
    <row r="685" spans="1:1">
      <c r="A685" s="126"/>
    </row>
    <row r="686" spans="1:1">
      <c r="A686" s="126"/>
    </row>
    <row r="687" spans="1:1">
      <c r="A687" s="126"/>
    </row>
    <row r="688" spans="1:1">
      <c r="A688" s="126"/>
    </row>
    <row r="689" spans="1:1">
      <c r="A689" s="126"/>
    </row>
    <row r="690" spans="1:1">
      <c r="A690" s="126"/>
    </row>
    <row r="691" spans="1:1">
      <c r="A691" s="126"/>
    </row>
    <row r="692" spans="1:1">
      <c r="A692" s="126"/>
    </row>
    <row r="693" spans="1:1">
      <c r="A693" s="126"/>
    </row>
    <row r="694" spans="1:1">
      <c r="A694" s="126"/>
    </row>
    <row r="695" spans="1:1">
      <c r="A695" s="126"/>
    </row>
    <row r="696" spans="1:1">
      <c r="A696" s="126"/>
    </row>
    <row r="697" spans="1:1">
      <c r="A697" s="126"/>
    </row>
    <row r="698" spans="1:1">
      <c r="A698" s="126"/>
    </row>
    <row r="699" spans="1:1">
      <c r="A699" s="126"/>
    </row>
    <row r="700" spans="1:1">
      <c r="A700" s="126"/>
    </row>
    <row r="701" spans="1:1">
      <c r="A701" s="126"/>
    </row>
    <row r="702" spans="1:1">
      <c r="A702" s="126"/>
    </row>
    <row r="703" spans="1:1">
      <c r="A703" s="126"/>
    </row>
    <row r="704" spans="1:1">
      <c r="A704" s="126"/>
    </row>
    <row r="705" spans="1:1">
      <c r="A705" s="126"/>
    </row>
    <row r="706" spans="1:1">
      <c r="A706" s="126"/>
    </row>
    <row r="707" spans="1:1">
      <c r="A707" s="126"/>
    </row>
    <row r="708" spans="1:1">
      <c r="A708" s="126"/>
    </row>
    <row r="709" spans="1:1">
      <c r="A709" s="126"/>
    </row>
    <row r="710" spans="1:1">
      <c r="A710" s="126"/>
    </row>
    <row r="711" spans="1:1">
      <c r="A711" s="126"/>
    </row>
    <row r="712" spans="1:1">
      <c r="A712" s="126"/>
    </row>
    <row r="713" spans="1:1">
      <c r="A713" s="126"/>
    </row>
    <row r="714" spans="1:1">
      <c r="A714" s="126"/>
    </row>
    <row r="715" spans="1:1">
      <c r="A715" s="126"/>
    </row>
    <row r="716" spans="1:1">
      <c r="A716" s="126"/>
    </row>
    <row r="717" spans="1:1">
      <c r="A717" s="126"/>
    </row>
    <row r="718" spans="1:1">
      <c r="A718" s="126"/>
    </row>
    <row r="719" spans="1:1">
      <c r="A719" s="126"/>
    </row>
    <row r="720" spans="1:1">
      <c r="A720" s="126"/>
    </row>
    <row r="721" spans="1:1">
      <c r="A721" s="126"/>
    </row>
    <row r="722" spans="1:1">
      <c r="A722" s="126"/>
    </row>
    <row r="723" spans="1:1">
      <c r="A723" s="126"/>
    </row>
    <row r="724" spans="1:1">
      <c r="A724" s="126"/>
    </row>
    <row r="725" spans="1:1">
      <c r="A725" s="126"/>
    </row>
    <row r="726" spans="1:1">
      <c r="A726" s="126"/>
    </row>
    <row r="727" spans="1:1">
      <c r="A727" s="126"/>
    </row>
    <row r="728" spans="1:1">
      <c r="A728" s="126"/>
    </row>
    <row r="729" spans="1:1">
      <c r="A729" s="126"/>
    </row>
    <row r="730" spans="1:1">
      <c r="A730" s="126"/>
    </row>
    <row r="731" spans="1:1">
      <c r="A731" s="126"/>
    </row>
    <row r="732" spans="1:1">
      <c r="A732" s="126"/>
    </row>
    <row r="733" spans="1:1">
      <c r="A733" s="126"/>
    </row>
    <row r="734" spans="1:1">
      <c r="A734" s="126"/>
    </row>
    <row r="735" spans="1:1">
      <c r="A735" s="126"/>
    </row>
    <row r="736" spans="1:1">
      <c r="A736" s="126"/>
    </row>
    <row r="737" spans="1:1">
      <c r="A737" s="126"/>
    </row>
    <row r="738" spans="1:1">
      <c r="A738" s="126"/>
    </row>
    <row r="739" spans="1:1">
      <c r="A739" s="126"/>
    </row>
    <row r="740" spans="1:1">
      <c r="A740" s="126"/>
    </row>
    <row r="741" spans="1:1">
      <c r="A741" s="126"/>
    </row>
    <row r="742" spans="1:1">
      <c r="A742" s="126"/>
    </row>
    <row r="743" spans="1:1">
      <c r="A743" s="126"/>
    </row>
    <row r="744" spans="1:1">
      <c r="A744" s="126"/>
    </row>
    <row r="745" spans="1:1">
      <c r="A745" s="126"/>
    </row>
    <row r="746" spans="1:1">
      <c r="A746" s="126"/>
    </row>
    <row r="747" spans="1:1">
      <c r="A747" s="126"/>
    </row>
    <row r="748" spans="1:1">
      <c r="A748" s="126"/>
    </row>
    <row r="749" spans="1:1">
      <c r="A749" s="126"/>
    </row>
    <row r="750" spans="1:1">
      <c r="A750" s="126"/>
    </row>
    <row r="751" spans="1:1">
      <c r="A751" s="126"/>
    </row>
    <row r="752" spans="1:1">
      <c r="A752" s="126"/>
    </row>
    <row r="753" spans="1:1">
      <c r="A753" s="126"/>
    </row>
    <row r="754" spans="1:1">
      <c r="A754" s="126"/>
    </row>
    <row r="755" spans="1:1">
      <c r="A755" s="126"/>
    </row>
    <row r="756" spans="1:1">
      <c r="A756" s="126"/>
    </row>
    <row r="757" spans="1:1">
      <c r="A757" s="126"/>
    </row>
    <row r="758" spans="1:1">
      <c r="A758" s="126"/>
    </row>
    <row r="759" spans="1:1">
      <c r="A759" s="126"/>
    </row>
    <row r="760" spans="1:1">
      <c r="A760" s="126"/>
    </row>
    <row r="761" spans="1:1">
      <c r="A761" s="126"/>
    </row>
    <row r="762" spans="1:1">
      <c r="A762" s="126"/>
    </row>
    <row r="763" spans="1:1">
      <c r="A763" s="126"/>
    </row>
    <row r="764" spans="1:1">
      <c r="A764" s="126"/>
    </row>
    <row r="765" spans="1:1">
      <c r="A765" s="126"/>
    </row>
    <row r="766" spans="1:1">
      <c r="A766" s="126"/>
    </row>
    <row r="767" spans="1:1">
      <c r="A767" s="126"/>
    </row>
    <row r="768" spans="1:1">
      <c r="A768" s="126"/>
    </row>
    <row r="769" spans="1:1">
      <c r="A769" s="126"/>
    </row>
    <row r="770" spans="1:1">
      <c r="A770" s="126"/>
    </row>
    <row r="771" spans="1:1">
      <c r="A771" s="126"/>
    </row>
    <row r="772" spans="1:1">
      <c r="A772" s="126"/>
    </row>
    <row r="773" spans="1:1">
      <c r="A773" s="126"/>
    </row>
    <row r="774" spans="1:1">
      <c r="A774" s="126"/>
    </row>
    <row r="775" spans="1:1">
      <c r="A775" s="126"/>
    </row>
    <row r="776" spans="1:1">
      <c r="A776" s="126"/>
    </row>
    <row r="777" spans="1:1">
      <c r="A777" s="126"/>
    </row>
    <row r="778" spans="1:1">
      <c r="A778" s="126"/>
    </row>
    <row r="779" spans="1:1">
      <c r="A779" s="126"/>
    </row>
    <row r="780" spans="1:1">
      <c r="A780" s="126"/>
    </row>
    <row r="781" spans="1:1">
      <c r="A781" s="126"/>
    </row>
    <row r="782" spans="1:1">
      <c r="A782" s="126"/>
    </row>
    <row r="783" spans="1:1">
      <c r="A783" s="126"/>
    </row>
    <row r="784" spans="1:1">
      <c r="A784" s="126"/>
    </row>
    <row r="785" spans="1:1">
      <c r="A785" s="126"/>
    </row>
    <row r="786" spans="1:1">
      <c r="A786" s="126"/>
    </row>
    <row r="787" spans="1:1">
      <c r="A787" s="126"/>
    </row>
    <row r="788" spans="1:1">
      <c r="A788" s="126"/>
    </row>
    <row r="789" spans="1:1">
      <c r="A789" s="126"/>
    </row>
    <row r="790" spans="1:1">
      <c r="A790" s="126"/>
    </row>
    <row r="791" spans="1:1">
      <c r="A791" s="126"/>
    </row>
    <row r="792" spans="1:1">
      <c r="A792" s="126"/>
    </row>
    <row r="793" spans="1:1">
      <c r="A793" s="126"/>
    </row>
    <row r="794" spans="1:1">
      <c r="A794" s="126"/>
    </row>
    <row r="795" spans="1:1">
      <c r="A795" s="126"/>
    </row>
    <row r="796" spans="1:1">
      <c r="A796" s="126"/>
    </row>
    <row r="797" spans="1:1">
      <c r="A797" s="126"/>
    </row>
    <row r="798" spans="1:1">
      <c r="A798" s="126"/>
    </row>
    <row r="799" spans="1:1">
      <c r="A799" s="126"/>
    </row>
    <row r="800" spans="1:1">
      <c r="A800" s="126"/>
    </row>
    <row r="801" spans="1:1">
      <c r="A801" s="126"/>
    </row>
    <row r="802" spans="1:1">
      <c r="A802" s="126"/>
    </row>
    <row r="803" spans="1:1">
      <c r="A803" s="126"/>
    </row>
    <row r="804" spans="1:1">
      <c r="A804" s="126"/>
    </row>
    <row r="805" spans="1:1">
      <c r="A805" s="126"/>
    </row>
    <row r="806" spans="1:1">
      <c r="A806" s="126"/>
    </row>
    <row r="807" spans="1:1">
      <c r="A807" s="126"/>
    </row>
    <row r="808" spans="1:1">
      <c r="A808" s="126"/>
    </row>
    <row r="809" spans="1:1">
      <c r="A809" s="126"/>
    </row>
    <row r="810" spans="1:1">
      <c r="A810" s="126"/>
    </row>
    <row r="811" spans="1:1">
      <c r="A811" s="126"/>
    </row>
    <row r="812" spans="1:1">
      <c r="A812" s="126"/>
    </row>
    <row r="813" spans="1:1">
      <c r="A813" s="126"/>
    </row>
    <row r="814" spans="1:1">
      <c r="A814" s="126"/>
    </row>
    <row r="815" spans="1:1">
      <c r="A815" s="126"/>
    </row>
    <row r="816" spans="1:1">
      <c r="A816" s="126"/>
    </row>
    <row r="817" spans="1:1">
      <c r="A817" s="126"/>
    </row>
    <row r="818" spans="1:1">
      <c r="A818" s="126"/>
    </row>
    <row r="819" spans="1:1">
      <c r="A819" s="126"/>
    </row>
    <row r="820" spans="1:1">
      <c r="A820" s="126"/>
    </row>
    <row r="821" spans="1:1">
      <c r="A821" s="126"/>
    </row>
    <row r="822" spans="1:1">
      <c r="A822" s="126"/>
    </row>
    <row r="823" spans="1:1">
      <c r="A823" s="126"/>
    </row>
    <row r="824" spans="1:1">
      <c r="A824" s="126"/>
    </row>
    <row r="825" spans="1:1">
      <c r="A825" s="126"/>
    </row>
    <row r="826" spans="1:1">
      <c r="A826" s="126"/>
    </row>
    <row r="827" spans="1:1">
      <c r="A827" s="126"/>
    </row>
    <row r="828" spans="1:1">
      <c r="A828" s="126"/>
    </row>
    <row r="829" spans="1:1">
      <c r="A829" s="126"/>
    </row>
    <row r="830" spans="1:1">
      <c r="A830" s="126"/>
    </row>
    <row r="831" spans="1:1">
      <c r="A831" s="126"/>
    </row>
    <row r="832" spans="1:1">
      <c r="A832" s="126"/>
    </row>
    <row r="833" spans="1:1">
      <c r="A833" s="126"/>
    </row>
    <row r="834" spans="1:1">
      <c r="A834" s="126"/>
    </row>
    <row r="835" spans="1:1">
      <c r="A835" s="126"/>
    </row>
    <row r="836" spans="1:1">
      <c r="A836" s="126"/>
    </row>
    <row r="837" spans="1:1">
      <c r="A837" s="126"/>
    </row>
    <row r="838" spans="1:1">
      <c r="A838" s="126"/>
    </row>
    <row r="839" spans="1:1">
      <c r="A839" s="126"/>
    </row>
    <row r="840" spans="1:1">
      <c r="A840" s="126"/>
    </row>
    <row r="841" spans="1:1">
      <c r="A841" s="126"/>
    </row>
    <row r="842" spans="1:1">
      <c r="A842" s="126"/>
    </row>
    <row r="843" spans="1:1">
      <c r="A843" s="126"/>
    </row>
    <row r="844" spans="1:1">
      <c r="A844" s="126"/>
    </row>
    <row r="845" spans="1:1">
      <c r="A845" s="126"/>
    </row>
    <row r="846" spans="1:1">
      <c r="A846" s="126"/>
    </row>
    <row r="847" spans="1:1">
      <c r="A847" s="126"/>
    </row>
    <row r="848" spans="1:1">
      <c r="A848" s="126"/>
    </row>
    <row r="849" spans="1:1">
      <c r="A849" s="126"/>
    </row>
    <row r="850" spans="1:1">
      <c r="A850" s="126"/>
    </row>
    <row r="851" spans="1:1">
      <c r="A851" s="126"/>
    </row>
    <row r="852" spans="1:1">
      <c r="A852" s="126"/>
    </row>
    <row r="853" spans="1:1">
      <c r="A853" s="126"/>
    </row>
    <row r="854" spans="1:1">
      <c r="A854" s="126"/>
    </row>
    <row r="855" spans="1:1">
      <c r="A855" s="126"/>
    </row>
    <row r="856" spans="1:1">
      <c r="A856" s="126"/>
    </row>
    <row r="857" spans="1:1">
      <c r="A857" s="126"/>
    </row>
    <row r="858" spans="1:1">
      <c r="A858" s="126"/>
    </row>
    <row r="859" spans="1:1">
      <c r="A859" s="126"/>
    </row>
    <row r="860" spans="1:1">
      <c r="A860" s="126"/>
    </row>
    <row r="861" spans="1:1">
      <c r="A861" s="126"/>
    </row>
    <row r="862" spans="1:1">
      <c r="A862" s="126"/>
    </row>
    <row r="863" spans="1:1">
      <c r="A863" s="126"/>
    </row>
    <row r="864" spans="1:1">
      <c r="A864" s="126"/>
    </row>
    <row r="865" spans="1:1">
      <c r="A865" s="126"/>
    </row>
    <row r="866" spans="1:1">
      <c r="A866" s="126"/>
    </row>
    <row r="867" spans="1:1">
      <c r="A867" s="126"/>
    </row>
    <row r="868" spans="1:1">
      <c r="A868" s="126"/>
    </row>
    <row r="869" spans="1:1">
      <c r="A869" s="126"/>
    </row>
    <row r="870" spans="1:1">
      <c r="A870" s="126"/>
    </row>
    <row r="871" spans="1:1">
      <c r="A871" s="126"/>
    </row>
    <row r="872" spans="1:1">
      <c r="A872" s="126"/>
    </row>
    <row r="873" spans="1:1">
      <c r="A873" s="126"/>
    </row>
    <row r="874" spans="1:1">
      <c r="A874" s="126"/>
    </row>
    <row r="875" spans="1:1">
      <c r="A875" s="126"/>
    </row>
    <row r="876" spans="1:1">
      <c r="A876" s="126"/>
    </row>
    <row r="877" spans="1:1">
      <c r="A877" s="126"/>
    </row>
    <row r="878" spans="1:1">
      <c r="A878" s="126"/>
    </row>
    <row r="879" spans="1:1">
      <c r="A879" s="126"/>
    </row>
    <row r="880" spans="1:1">
      <c r="A880" s="126"/>
    </row>
    <row r="881" spans="1:1">
      <c r="A881" s="126"/>
    </row>
    <row r="882" spans="1:1">
      <c r="A882" s="126"/>
    </row>
    <row r="883" spans="1:1">
      <c r="A883" s="126"/>
    </row>
    <row r="884" spans="1:1">
      <c r="A884" s="126"/>
    </row>
    <row r="885" spans="1:1">
      <c r="A885" s="126"/>
    </row>
    <row r="886" spans="1:1">
      <c r="A886" s="126"/>
    </row>
    <row r="887" spans="1:1">
      <c r="A887" s="126"/>
    </row>
    <row r="888" spans="1:1">
      <c r="A888" s="126"/>
    </row>
    <row r="889" spans="1:1">
      <c r="A889" s="126"/>
    </row>
    <row r="890" spans="1:1">
      <c r="A890" s="126"/>
    </row>
    <row r="891" spans="1:1">
      <c r="A891" s="126"/>
    </row>
    <row r="892" spans="1:1">
      <c r="A892" s="126"/>
    </row>
    <row r="893" spans="1:1">
      <c r="A893" s="126"/>
    </row>
    <row r="894" spans="1:1">
      <c r="A894" s="126"/>
    </row>
    <row r="895" spans="1:1">
      <c r="A895" s="126"/>
    </row>
    <row r="896" spans="1:1">
      <c r="A896" s="126"/>
    </row>
    <row r="897" spans="1:1">
      <c r="A897" s="126"/>
    </row>
    <row r="898" spans="1:1">
      <c r="A898" s="126"/>
    </row>
    <row r="899" spans="1:1">
      <c r="A899" s="126"/>
    </row>
    <row r="900" spans="1:1">
      <c r="A900" s="126"/>
    </row>
    <row r="901" spans="1:1">
      <c r="A901" s="126"/>
    </row>
    <row r="902" spans="1:1">
      <c r="A902" s="126"/>
    </row>
    <row r="903" spans="1:1">
      <c r="A903" s="126"/>
    </row>
    <row r="904" spans="1:1">
      <c r="A904" s="126"/>
    </row>
    <row r="905" spans="1:1">
      <c r="A905" s="126"/>
    </row>
    <row r="906" spans="1:1">
      <c r="A906" s="126"/>
    </row>
    <row r="907" spans="1:1">
      <c r="A907" s="126"/>
    </row>
    <row r="908" spans="1:1">
      <c r="A908" s="126"/>
    </row>
    <row r="909" spans="1:1">
      <c r="A909" s="126"/>
    </row>
    <row r="910" spans="1:1">
      <c r="A910" s="126"/>
    </row>
    <row r="911" spans="1:1">
      <c r="A911" s="126"/>
    </row>
    <row r="912" spans="1:1">
      <c r="A912" s="126"/>
    </row>
    <row r="913" spans="1:1">
      <c r="A913" s="126"/>
    </row>
    <row r="914" spans="1:1">
      <c r="A914" s="126"/>
    </row>
    <row r="915" spans="1:1">
      <c r="A915" s="126"/>
    </row>
    <row r="916" spans="1:1">
      <c r="A916" s="126"/>
    </row>
    <row r="917" spans="1:1">
      <c r="A917" s="126"/>
    </row>
    <row r="918" spans="1:1">
      <c r="A918" s="126"/>
    </row>
    <row r="919" spans="1:1">
      <c r="A919" s="126"/>
    </row>
    <row r="920" spans="1:1">
      <c r="A920" s="126"/>
    </row>
    <row r="921" spans="1:1">
      <c r="A921" s="126"/>
    </row>
    <row r="922" spans="1:1">
      <c r="A922" s="126"/>
    </row>
    <row r="923" spans="1:1">
      <c r="A923" s="126"/>
    </row>
    <row r="924" spans="1:1">
      <c r="A924" s="126"/>
    </row>
    <row r="925" spans="1:1">
      <c r="A925" s="126"/>
    </row>
    <row r="926" spans="1:1">
      <c r="A926" s="126"/>
    </row>
    <row r="927" spans="1:1">
      <c r="A927" s="126"/>
    </row>
    <row r="928" spans="1:1">
      <c r="A928" s="126"/>
    </row>
    <row r="929" spans="1:1">
      <c r="A929" s="126"/>
    </row>
    <row r="930" spans="1:1">
      <c r="A930" s="126"/>
    </row>
    <row r="931" spans="1:1">
      <c r="A931" s="126"/>
    </row>
    <row r="932" spans="1:1">
      <c r="A932" s="126"/>
    </row>
    <row r="933" spans="1:1">
      <c r="A933" s="126"/>
    </row>
    <row r="934" spans="1:1">
      <c r="A934" s="126"/>
    </row>
    <row r="935" spans="1:1">
      <c r="A935" s="126"/>
    </row>
    <row r="936" spans="1:1">
      <c r="A936" s="126"/>
    </row>
    <row r="937" spans="1:1">
      <c r="A937" s="126"/>
    </row>
    <row r="938" spans="1:1">
      <c r="A938" s="126"/>
    </row>
    <row r="939" spans="1:1">
      <c r="A939" s="126"/>
    </row>
    <row r="940" spans="1:1">
      <c r="A940" s="126"/>
    </row>
    <row r="941" spans="1:1">
      <c r="A941" s="126"/>
    </row>
    <row r="942" spans="1:1">
      <c r="A942" s="126"/>
    </row>
    <row r="943" spans="1:1">
      <c r="A943" s="126"/>
    </row>
    <row r="944" spans="1:1">
      <c r="A944" s="126"/>
    </row>
    <row r="945" spans="1:1">
      <c r="A945" s="126"/>
    </row>
    <row r="946" spans="1:1">
      <c r="A946" s="126"/>
    </row>
    <row r="947" spans="1:1">
      <c r="A947" s="126"/>
    </row>
    <row r="948" spans="1:1">
      <c r="A948" s="126"/>
    </row>
    <row r="949" spans="1:1">
      <c r="A949" s="126"/>
    </row>
    <row r="950" spans="1:1">
      <c r="A950" s="126"/>
    </row>
    <row r="951" spans="1:1">
      <c r="A951" s="126"/>
    </row>
    <row r="952" spans="1:1">
      <c r="A952" s="126"/>
    </row>
    <row r="953" spans="1:1">
      <c r="A953" s="126"/>
    </row>
    <row r="954" spans="1:1">
      <c r="A954" s="126"/>
    </row>
    <row r="955" spans="1:1">
      <c r="A955" s="126"/>
    </row>
    <row r="956" spans="1:1">
      <c r="A956" s="126"/>
    </row>
    <row r="957" spans="1:1">
      <c r="A957" s="126"/>
    </row>
    <row r="958" spans="1:1">
      <c r="A958" s="126"/>
    </row>
    <row r="959" spans="1:1">
      <c r="A959" s="126"/>
    </row>
    <row r="960" spans="1:1">
      <c r="A960" s="126"/>
    </row>
    <row r="961" spans="1:1">
      <c r="A961" s="126"/>
    </row>
    <row r="962" spans="1:1">
      <c r="A962" s="126"/>
    </row>
    <row r="963" spans="1:1">
      <c r="A963" s="126"/>
    </row>
    <row r="964" spans="1:1">
      <c r="A964" s="126"/>
    </row>
    <row r="965" spans="1:1">
      <c r="A965" s="126"/>
    </row>
    <row r="966" spans="1:1">
      <c r="A966" s="126"/>
    </row>
    <row r="967" spans="1:1">
      <c r="A967" s="126"/>
    </row>
    <row r="968" spans="1:1">
      <c r="A968" s="126"/>
    </row>
    <row r="969" spans="1:1">
      <c r="A969" s="126"/>
    </row>
    <row r="970" spans="1:1">
      <c r="A970" s="126"/>
    </row>
    <row r="971" spans="1:1">
      <c r="A971" s="126"/>
    </row>
    <row r="972" spans="1:1">
      <c r="A972" s="126"/>
    </row>
    <row r="973" spans="1:1">
      <c r="A973" s="126"/>
    </row>
    <row r="974" spans="1:1">
      <c r="A974" s="126"/>
    </row>
    <row r="975" spans="1:1">
      <c r="A975" s="126"/>
    </row>
    <row r="976" spans="1:1">
      <c r="A976" s="126"/>
    </row>
    <row r="977" spans="1:1">
      <c r="A977" s="126"/>
    </row>
    <row r="978" spans="1:1">
      <c r="A978" s="126"/>
    </row>
    <row r="979" spans="1:1">
      <c r="A979" s="126"/>
    </row>
    <row r="980" spans="1:1">
      <c r="A980" s="126"/>
    </row>
    <row r="981" spans="1:1">
      <c r="A981" s="126"/>
    </row>
    <row r="982" spans="1:1">
      <c r="A982" s="126"/>
    </row>
    <row r="983" spans="1:1">
      <c r="A983" s="126"/>
    </row>
    <row r="984" spans="1:1">
      <c r="A984" s="126"/>
    </row>
    <row r="985" spans="1:1">
      <c r="A985" s="126"/>
    </row>
    <row r="986" spans="1:1">
      <c r="A986" s="126"/>
    </row>
    <row r="987" spans="1:1">
      <c r="A987" s="126"/>
    </row>
    <row r="988" spans="1:1">
      <c r="A988" s="126"/>
    </row>
    <row r="989" spans="1:1">
      <c r="A989" s="126"/>
    </row>
    <row r="990" spans="1:1">
      <c r="A990" s="126"/>
    </row>
    <row r="991" spans="1:1">
      <c r="A991" s="126"/>
    </row>
    <row r="992" spans="1:1">
      <c r="A992" s="126"/>
    </row>
    <row r="993" spans="1:1">
      <c r="A993" s="126"/>
    </row>
    <row r="994" spans="1:1">
      <c r="A994" s="126"/>
    </row>
    <row r="995" spans="1:1">
      <c r="A995" s="126"/>
    </row>
    <row r="996" spans="1:1">
      <c r="A996" s="126"/>
    </row>
    <row r="997" spans="1:1">
      <c r="A997" s="126"/>
    </row>
    <row r="998" spans="1:1">
      <c r="A998" s="126"/>
    </row>
    <row r="999" spans="1:1">
      <c r="A999" s="126"/>
    </row>
    <row r="1000" spans="1:1">
      <c r="A1000" s="126"/>
    </row>
    <row r="1001" spans="1:1">
      <c r="A1001" s="126"/>
    </row>
    <row r="1002" spans="1:1">
      <c r="A1002" s="126"/>
    </row>
    <row r="1003" spans="1:1">
      <c r="A1003" s="126"/>
    </row>
    <row r="1004" spans="1:1">
      <c r="A1004" s="126"/>
    </row>
    <row r="1005" spans="1:1">
      <c r="A1005" s="126"/>
    </row>
    <row r="1006" spans="1:1">
      <c r="A1006" s="126"/>
    </row>
    <row r="1007" spans="1:1">
      <c r="A1007" s="126"/>
    </row>
    <row r="1008" spans="1:1">
      <c r="A1008" s="126"/>
    </row>
    <row r="1009" spans="1:1">
      <c r="A1009" s="126"/>
    </row>
    <row r="1010" spans="1:1">
      <c r="A1010" s="126"/>
    </row>
    <row r="1011" spans="1:1">
      <c r="A1011" s="126"/>
    </row>
    <row r="1012" spans="1:1">
      <c r="A1012" s="126"/>
    </row>
    <row r="1013" spans="1:1">
      <c r="A1013" s="126"/>
    </row>
    <row r="1014" spans="1:1">
      <c r="A1014" s="126"/>
    </row>
    <row r="1015" spans="1:1">
      <c r="A1015" s="126"/>
    </row>
    <row r="1016" spans="1:1">
      <c r="A1016" s="126"/>
    </row>
    <row r="1017" spans="1:1">
      <c r="A1017" s="126"/>
    </row>
    <row r="1018" spans="1:1">
      <c r="A1018" s="126"/>
    </row>
    <row r="1019" spans="1:1">
      <c r="A1019" s="126"/>
    </row>
    <row r="1020" spans="1:1">
      <c r="A1020" s="126"/>
    </row>
    <row r="1021" spans="1:1">
      <c r="A1021" s="126"/>
    </row>
    <row r="1022" spans="1:1">
      <c r="A1022" s="126"/>
    </row>
    <row r="1023" spans="1:1">
      <c r="A1023" s="126"/>
    </row>
    <row r="1024" spans="1:1">
      <c r="A1024" s="126"/>
    </row>
    <row r="1025" spans="1:1">
      <c r="A1025" s="126"/>
    </row>
    <row r="1026" spans="1:1">
      <c r="A1026" s="126"/>
    </row>
    <row r="1027" spans="1:1">
      <c r="A1027" s="126"/>
    </row>
    <row r="1028" spans="1:1">
      <c r="A1028" s="126"/>
    </row>
    <row r="1029" spans="1:1">
      <c r="A1029" s="126"/>
    </row>
    <row r="1030" spans="1:1">
      <c r="A1030" s="126"/>
    </row>
    <row r="1031" spans="1:1">
      <c r="A1031" s="126"/>
    </row>
    <row r="1032" spans="1:1">
      <c r="A1032" s="126"/>
    </row>
    <row r="1033" spans="1:1">
      <c r="A1033" s="126"/>
    </row>
    <row r="1034" spans="1:1">
      <c r="A1034" s="126"/>
    </row>
    <row r="1035" spans="1:1">
      <c r="A1035" s="126"/>
    </row>
    <row r="1036" spans="1:1">
      <c r="A1036" s="126"/>
    </row>
    <row r="1037" spans="1:1">
      <c r="A1037" s="126"/>
    </row>
    <row r="1038" spans="1:1">
      <c r="A1038" s="126"/>
    </row>
    <row r="1039" spans="1:1">
      <c r="A1039" s="126"/>
    </row>
    <row r="1040" spans="1:1">
      <c r="A1040" s="126"/>
    </row>
    <row r="1041" spans="1:1">
      <c r="A1041" s="126"/>
    </row>
    <row r="1042" spans="1:1">
      <c r="A1042" s="126"/>
    </row>
    <row r="1043" spans="1:1">
      <c r="A1043" s="126"/>
    </row>
    <row r="1044" spans="1:1">
      <c r="A1044" s="126"/>
    </row>
    <row r="1045" spans="1:1">
      <c r="A1045" s="126"/>
    </row>
    <row r="1046" spans="1:1">
      <c r="A1046" s="126"/>
    </row>
    <row r="1047" spans="1:1">
      <c r="A1047" s="126"/>
    </row>
    <row r="1048" spans="1:1">
      <c r="A1048" s="126"/>
    </row>
    <row r="1049" spans="1:1">
      <c r="A1049" s="126"/>
    </row>
    <row r="1050" spans="1:1">
      <c r="A1050" s="126"/>
    </row>
    <row r="1051" spans="1:1">
      <c r="A1051" s="126"/>
    </row>
    <row r="1052" spans="1:1">
      <c r="A1052" s="126"/>
    </row>
    <row r="1053" spans="1:1">
      <c r="A1053" s="126"/>
    </row>
    <row r="1054" spans="1:1">
      <c r="A1054" s="126"/>
    </row>
    <row r="1055" spans="1:1">
      <c r="A1055" s="126"/>
    </row>
    <row r="1056" spans="1:1">
      <c r="A1056" s="126"/>
    </row>
    <row r="1057" spans="1:1">
      <c r="A1057" s="126"/>
    </row>
    <row r="1058" spans="1:1">
      <c r="A1058" s="126"/>
    </row>
    <row r="1059" spans="1:1">
      <c r="A1059" s="126"/>
    </row>
    <row r="1060" spans="1:1">
      <c r="A1060" s="126"/>
    </row>
    <row r="1061" spans="1:1">
      <c r="A1061" s="126"/>
    </row>
    <row r="1062" spans="1:1">
      <c r="A1062" s="126"/>
    </row>
    <row r="1063" spans="1:1">
      <c r="A1063" s="126"/>
    </row>
    <row r="1064" spans="1:1">
      <c r="A1064" s="126"/>
    </row>
    <row r="1065" spans="1:1">
      <c r="A1065" s="126"/>
    </row>
    <row r="1066" spans="1:1">
      <c r="A1066" s="126"/>
    </row>
    <row r="1067" spans="1:1">
      <c r="A1067" s="126"/>
    </row>
    <row r="1068" spans="1:1">
      <c r="A1068" s="126"/>
    </row>
    <row r="1069" spans="1:1">
      <c r="A1069" s="126"/>
    </row>
    <row r="1070" spans="1:1">
      <c r="A1070" s="126"/>
    </row>
    <row r="1071" spans="1:1">
      <c r="A1071" s="126"/>
    </row>
    <row r="1072" spans="1:1">
      <c r="A1072" s="126"/>
    </row>
    <row r="1073" spans="1:1">
      <c r="A1073" s="126"/>
    </row>
    <row r="1074" spans="1:1">
      <c r="A1074" s="126"/>
    </row>
    <row r="1075" spans="1:1">
      <c r="A1075" s="126"/>
    </row>
    <row r="1076" spans="1:1">
      <c r="A1076" s="126"/>
    </row>
    <row r="1077" spans="1:1">
      <c r="A1077" s="126"/>
    </row>
    <row r="1078" spans="1:1">
      <c r="A1078" s="126"/>
    </row>
    <row r="1079" spans="1:1">
      <c r="A1079" s="126"/>
    </row>
    <row r="1080" spans="1:1">
      <c r="A1080" s="126"/>
    </row>
    <row r="1081" spans="1:1">
      <c r="A1081" s="126"/>
    </row>
    <row r="1082" spans="1:1">
      <c r="A1082" s="126"/>
    </row>
    <row r="1083" spans="1:1">
      <c r="A1083" s="126"/>
    </row>
    <row r="1084" spans="1:1">
      <c r="A1084" s="126"/>
    </row>
    <row r="1085" spans="1:1">
      <c r="A1085" s="126"/>
    </row>
    <row r="1086" spans="1:1">
      <c r="A1086" s="126"/>
    </row>
    <row r="1087" spans="1:1">
      <c r="A1087" s="126"/>
    </row>
    <row r="1088" spans="1:1">
      <c r="A1088" s="126"/>
    </row>
    <row r="1089" spans="1:1">
      <c r="A1089" s="126"/>
    </row>
    <row r="1090" spans="1:1">
      <c r="A1090" s="126"/>
    </row>
    <row r="1091" spans="1:1">
      <c r="A1091" s="126"/>
    </row>
    <row r="1092" spans="1:1">
      <c r="A1092" s="126"/>
    </row>
    <row r="1093" spans="1:1">
      <c r="A1093" s="126"/>
    </row>
    <row r="1094" spans="1:1">
      <c r="A1094" s="126"/>
    </row>
    <row r="1095" spans="1:1">
      <c r="A1095" s="126"/>
    </row>
    <row r="1096" spans="1:1">
      <c r="A1096" s="126"/>
    </row>
    <row r="1097" spans="1:1">
      <c r="A1097" s="126"/>
    </row>
    <row r="1098" spans="1:1">
      <c r="A1098" s="126"/>
    </row>
    <row r="1099" spans="1:1">
      <c r="A1099" s="126"/>
    </row>
    <row r="1100" spans="1:1">
      <c r="A1100" s="126"/>
    </row>
    <row r="1101" spans="1:1">
      <c r="A1101" s="126"/>
    </row>
    <row r="1102" spans="1:1">
      <c r="A1102" s="126"/>
    </row>
    <row r="1103" spans="1:1">
      <c r="A1103" s="126"/>
    </row>
    <row r="1104" spans="1:1">
      <c r="A1104" s="126"/>
    </row>
    <row r="1105" spans="1:1">
      <c r="A1105" s="126"/>
    </row>
    <row r="1106" spans="1:1">
      <c r="A1106" s="126"/>
    </row>
    <row r="1107" spans="1:1">
      <c r="A1107" s="126"/>
    </row>
    <row r="1108" spans="1:1">
      <c r="A1108" s="126"/>
    </row>
    <row r="1109" spans="1:1">
      <c r="A1109" s="126"/>
    </row>
    <row r="1110" spans="1:1">
      <c r="A1110" s="126"/>
    </row>
    <row r="1111" spans="1:1">
      <c r="A1111" s="126"/>
    </row>
    <row r="1112" spans="1:1">
      <c r="A1112" s="126"/>
    </row>
    <row r="1113" spans="1:1">
      <c r="A1113" s="126"/>
    </row>
    <row r="1114" spans="1:1">
      <c r="A1114" s="126"/>
    </row>
    <row r="1115" spans="1:1">
      <c r="A1115" s="126"/>
    </row>
    <row r="1116" spans="1:1">
      <c r="A1116" s="126"/>
    </row>
    <row r="1117" spans="1:1">
      <c r="A1117" s="126"/>
    </row>
    <row r="1118" spans="1:1">
      <c r="A1118" s="126"/>
    </row>
    <row r="1119" spans="1:1">
      <c r="A1119" s="126"/>
    </row>
    <row r="1120" spans="1:1">
      <c r="A1120" s="126"/>
    </row>
    <row r="1121" spans="1:1">
      <c r="A1121" s="126"/>
    </row>
    <row r="1122" spans="1:1">
      <c r="A1122" s="126"/>
    </row>
    <row r="1123" spans="1:1">
      <c r="A1123" s="126"/>
    </row>
    <row r="1124" spans="1:1">
      <c r="A1124" s="126"/>
    </row>
    <row r="1125" spans="1:1">
      <c r="A1125" s="126"/>
    </row>
    <row r="1126" spans="1:1">
      <c r="A1126" s="126"/>
    </row>
    <row r="1127" spans="1:1">
      <c r="A1127" s="126"/>
    </row>
    <row r="1128" spans="1:1">
      <c r="A1128" s="126"/>
    </row>
    <row r="1129" spans="1:1">
      <c r="A1129" s="126"/>
    </row>
    <row r="1130" spans="1:1">
      <c r="A1130" s="126"/>
    </row>
    <row r="1131" spans="1:1">
      <c r="A1131" s="126"/>
    </row>
    <row r="1132" spans="1:1">
      <c r="A1132" s="126"/>
    </row>
    <row r="1133" spans="1:1">
      <c r="A1133" s="126"/>
    </row>
    <row r="1134" spans="1:1">
      <c r="A1134" s="126"/>
    </row>
    <row r="1135" spans="1:1">
      <c r="A1135" s="126"/>
    </row>
    <row r="1136" spans="1:1">
      <c r="A1136" s="126"/>
    </row>
    <row r="1137" spans="1:1">
      <c r="A1137" s="126"/>
    </row>
    <row r="1138" spans="1:1">
      <c r="A1138" s="126"/>
    </row>
    <row r="1139" spans="1:1">
      <c r="A1139" s="126"/>
    </row>
    <row r="1140" spans="1:1">
      <c r="A1140" s="126"/>
    </row>
    <row r="1141" spans="1:1">
      <c r="A1141" s="126"/>
    </row>
    <row r="1142" spans="1:1">
      <c r="A1142" s="126"/>
    </row>
    <row r="1143" spans="1:1">
      <c r="A1143" s="126"/>
    </row>
    <row r="1144" spans="1:1">
      <c r="A1144" s="126"/>
    </row>
    <row r="1145" spans="1:1">
      <c r="A1145" s="126"/>
    </row>
    <row r="1146" spans="1:1">
      <c r="A1146" s="126"/>
    </row>
    <row r="1147" spans="1:1">
      <c r="A1147" s="126"/>
    </row>
    <row r="1148" spans="1:1">
      <c r="A1148" s="126"/>
    </row>
    <row r="1149" spans="1:1">
      <c r="A1149" s="126"/>
    </row>
    <row r="1150" spans="1:1">
      <c r="A1150" s="126"/>
    </row>
    <row r="1151" spans="1:1">
      <c r="A1151" s="126"/>
    </row>
    <row r="1152" spans="1:1">
      <c r="A1152" s="126"/>
    </row>
    <row r="1153" spans="1:1">
      <c r="A1153" s="126"/>
    </row>
    <row r="1154" spans="1:1">
      <c r="A1154" s="126"/>
    </row>
    <row r="1155" spans="1:1">
      <c r="A1155" s="126"/>
    </row>
    <row r="1156" spans="1:1">
      <c r="A1156" s="126"/>
    </row>
    <row r="1157" spans="1:1">
      <c r="A1157" s="126"/>
    </row>
    <row r="1158" spans="1:1">
      <c r="A1158" s="126"/>
    </row>
    <row r="1159" spans="1:1">
      <c r="A1159" s="126"/>
    </row>
    <row r="1160" spans="1:1">
      <c r="A1160" s="126"/>
    </row>
    <row r="1161" spans="1:1">
      <c r="A1161" s="126"/>
    </row>
    <row r="1162" spans="1:1">
      <c r="A1162" s="126"/>
    </row>
    <row r="1163" spans="1:1">
      <c r="A1163" s="126"/>
    </row>
    <row r="1164" spans="1:1">
      <c r="A1164" s="126"/>
    </row>
    <row r="1165" spans="1:1">
      <c r="A1165" s="126"/>
    </row>
    <row r="1166" spans="1:1">
      <c r="A1166" s="126"/>
    </row>
    <row r="1167" spans="1:1">
      <c r="A1167" s="126"/>
    </row>
    <row r="1168" spans="1:1">
      <c r="A1168" s="126"/>
    </row>
    <row r="1169" spans="1:1">
      <c r="A1169" s="126"/>
    </row>
    <row r="1170" spans="1:1">
      <c r="A1170" s="126"/>
    </row>
    <row r="1171" spans="1:1">
      <c r="A1171" s="126"/>
    </row>
    <row r="1172" spans="1:1">
      <c r="A1172" s="126"/>
    </row>
    <row r="1173" spans="1:1">
      <c r="A1173" s="126"/>
    </row>
    <row r="1174" spans="1:1">
      <c r="A1174" s="126"/>
    </row>
    <row r="1175" spans="1:1">
      <c r="A1175" s="126"/>
    </row>
    <row r="1176" spans="1:1">
      <c r="A1176" s="126"/>
    </row>
    <row r="1177" spans="1:1">
      <c r="A1177" s="126"/>
    </row>
    <row r="1178" spans="1:1">
      <c r="A1178" s="126"/>
    </row>
    <row r="1179" spans="1:1">
      <c r="A1179" s="126"/>
    </row>
    <row r="1180" spans="1:1">
      <c r="A1180" s="126"/>
    </row>
    <row r="1181" spans="1:1">
      <c r="A1181" s="126"/>
    </row>
    <row r="1182" spans="1:1">
      <c r="A1182" s="126"/>
    </row>
    <row r="1183" spans="1:1">
      <c r="A1183" s="126"/>
    </row>
    <row r="1184" spans="1:1">
      <c r="A1184" s="126"/>
    </row>
    <row r="1185" spans="1:1">
      <c r="A1185" s="126"/>
    </row>
    <row r="1186" spans="1:1">
      <c r="A1186" s="126"/>
    </row>
    <row r="1187" spans="1:1">
      <c r="A1187" s="126"/>
    </row>
    <row r="1188" spans="1:1">
      <c r="A1188" s="126"/>
    </row>
    <row r="1189" spans="1:1">
      <c r="A1189" s="126"/>
    </row>
    <row r="1190" spans="1:1">
      <c r="A1190" s="126"/>
    </row>
    <row r="1191" spans="1:1">
      <c r="A1191" s="126"/>
    </row>
    <row r="1192" spans="1:1">
      <c r="A1192" s="126"/>
    </row>
    <row r="1193" spans="1:1">
      <c r="A1193" s="126"/>
    </row>
    <row r="1194" spans="1:1">
      <c r="A1194" s="126"/>
    </row>
    <row r="1195" spans="1:1">
      <c r="A1195" s="126"/>
    </row>
    <row r="1196" spans="1:1">
      <c r="A1196" s="126"/>
    </row>
    <row r="1197" spans="1:1">
      <c r="A1197" s="126"/>
    </row>
    <row r="1198" spans="1:1">
      <c r="A1198" s="126"/>
    </row>
    <row r="1199" spans="1:1">
      <c r="A1199" s="126"/>
    </row>
    <row r="1200" spans="1:1">
      <c r="A1200" s="126"/>
    </row>
    <row r="1201" spans="1:1">
      <c r="A1201" s="126"/>
    </row>
    <row r="1202" spans="1:1">
      <c r="A1202" s="126"/>
    </row>
    <row r="1203" spans="1:1">
      <c r="A1203" s="126"/>
    </row>
    <row r="1204" spans="1:1">
      <c r="A1204" s="126"/>
    </row>
    <row r="1205" spans="1:1">
      <c r="A1205" s="126"/>
    </row>
    <row r="1206" spans="1:1">
      <c r="A1206" s="126"/>
    </row>
    <row r="1207" spans="1:1">
      <c r="A1207" s="126"/>
    </row>
    <row r="1208" spans="1:1">
      <c r="A1208" s="126"/>
    </row>
    <row r="1209" spans="1:1">
      <c r="A1209" s="126"/>
    </row>
    <row r="1210" spans="1:1">
      <c r="A1210" s="126"/>
    </row>
    <row r="1211" spans="1:1">
      <c r="A1211" s="126"/>
    </row>
    <row r="1212" spans="1:1">
      <c r="A1212" s="126"/>
    </row>
    <row r="1213" spans="1:1">
      <c r="A1213" s="126"/>
    </row>
    <row r="1214" spans="1:1">
      <c r="A1214" s="126"/>
    </row>
    <row r="1215" spans="1:1">
      <c r="A1215" s="126"/>
    </row>
    <row r="1216" spans="1:1">
      <c r="A1216" s="126"/>
    </row>
    <row r="1217" spans="1:1">
      <c r="A1217" s="126"/>
    </row>
    <row r="1218" spans="1:1">
      <c r="A1218" s="126"/>
    </row>
    <row r="1219" spans="1:1">
      <c r="A1219" s="126"/>
    </row>
    <row r="1220" spans="1:1">
      <c r="A1220" s="126"/>
    </row>
    <row r="1221" spans="1:1">
      <c r="A1221" s="126"/>
    </row>
    <row r="1222" spans="1:1">
      <c r="A1222" s="126"/>
    </row>
    <row r="1223" spans="1:1">
      <c r="A1223" s="126"/>
    </row>
    <row r="1224" spans="1:1">
      <c r="A1224" s="126"/>
    </row>
    <row r="1225" spans="1:1">
      <c r="A1225" s="126"/>
    </row>
    <row r="1226" spans="1:1">
      <c r="A1226" s="126"/>
    </row>
    <row r="1227" spans="1:1">
      <c r="A1227" s="126"/>
    </row>
    <row r="1228" spans="1:1">
      <c r="A1228" s="126"/>
    </row>
    <row r="1229" spans="1:1">
      <c r="A1229" s="126"/>
    </row>
    <row r="1230" spans="1:1">
      <c r="A1230" s="126"/>
    </row>
    <row r="1231" spans="1:1">
      <c r="A1231" s="126"/>
    </row>
    <row r="1232" spans="1:1">
      <c r="A1232" s="126"/>
    </row>
    <row r="1233" spans="1:1">
      <c r="A1233" s="126"/>
    </row>
    <row r="1234" spans="1:1">
      <c r="A1234" s="126"/>
    </row>
    <row r="1235" spans="1:1">
      <c r="A1235" s="126"/>
    </row>
    <row r="1236" spans="1:1">
      <c r="A1236" s="126"/>
    </row>
    <row r="1237" spans="1:1">
      <c r="A1237" s="126"/>
    </row>
    <row r="1238" spans="1:1">
      <c r="A1238" s="126"/>
    </row>
    <row r="1239" spans="1:1">
      <c r="A1239" s="126"/>
    </row>
    <row r="1240" spans="1:1">
      <c r="A1240" s="126"/>
    </row>
    <row r="1241" spans="1:1">
      <c r="A1241" s="126"/>
    </row>
    <row r="1242" spans="1:1">
      <c r="A1242" s="126"/>
    </row>
    <row r="1243" spans="1:1">
      <c r="A1243" s="126"/>
    </row>
    <row r="1244" spans="1:1">
      <c r="A1244" s="126"/>
    </row>
    <row r="1245" spans="1:1">
      <c r="A1245" s="126"/>
    </row>
    <row r="1246" spans="1:1">
      <c r="A1246" s="126"/>
    </row>
    <row r="1247" spans="1:1">
      <c r="A1247" s="126"/>
    </row>
    <row r="1248" spans="1:1">
      <c r="A1248" s="126"/>
    </row>
    <row r="1249" spans="1:1">
      <c r="A1249" s="126"/>
    </row>
    <row r="1250" spans="1:1">
      <c r="A1250" s="126"/>
    </row>
    <row r="1251" spans="1:1">
      <c r="A1251" s="126"/>
    </row>
    <row r="1252" spans="1:1">
      <c r="A1252" s="126"/>
    </row>
    <row r="1253" spans="1:1">
      <c r="A1253" s="126"/>
    </row>
    <row r="1254" spans="1:1">
      <c r="A1254" s="126"/>
    </row>
    <row r="1255" spans="1:1">
      <c r="A1255" s="126"/>
    </row>
    <row r="1256" spans="1:1">
      <c r="A1256" s="126"/>
    </row>
    <row r="1257" spans="1:1">
      <c r="A1257" s="126"/>
    </row>
    <row r="1258" spans="1:1">
      <c r="A1258" s="126"/>
    </row>
    <row r="1259" spans="1:1">
      <c r="A1259" s="126"/>
    </row>
    <row r="1260" spans="1:1">
      <c r="A1260" s="126"/>
    </row>
    <row r="1261" spans="1:1">
      <c r="A1261" s="126"/>
    </row>
    <row r="1262" spans="1:1">
      <c r="A1262" s="126"/>
    </row>
    <row r="1263" spans="1:1">
      <c r="A1263" s="126"/>
    </row>
    <row r="1264" spans="1:1">
      <c r="A1264" s="126"/>
    </row>
    <row r="1265" spans="1:1">
      <c r="A1265" s="126"/>
    </row>
    <row r="1266" spans="1:1">
      <c r="A1266" s="126"/>
    </row>
    <row r="1267" spans="1:1">
      <c r="A1267" s="126"/>
    </row>
    <row r="1268" spans="1:1">
      <c r="A1268" s="126"/>
    </row>
    <row r="1269" spans="1:1">
      <c r="A1269" s="126"/>
    </row>
    <row r="1270" spans="1:1">
      <c r="A1270" s="126"/>
    </row>
    <row r="1271" spans="1:1">
      <c r="A1271" s="126"/>
    </row>
    <row r="1272" spans="1:1">
      <c r="A1272" s="126"/>
    </row>
    <row r="1273" spans="1:1">
      <c r="A1273" s="126"/>
    </row>
    <row r="1274" spans="1:1">
      <c r="A1274" s="126"/>
    </row>
    <row r="1275" spans="1:1">
      <c r="A1275" s="126"/>
    </row>
    <row r="1276" spans="1:1">
      <c r="A1276" s="126"/>
    </row>
    <row r="1277" spans="1:1">
      <c r="A1277" s="126"/>
    </row>
    <row r="1278" spans="1:1">
      <c r="A1278" s="126"/>
    </row>
    <row r="1279" spans="1:1">
      <c r="A1279" s="126"/>
    </row>
    <row r="1280" spans="1:1">
      <c r="A1280" s="126"/>
    </row>
    <row r="1281" spans="1:1">
      <c r="A1281" s="126"/>
    </row>
    <row r="1282" spans="1:1">
      <c r="A1282" s="126"/>
    </row>
    <row r="1283" spans="1:1">
      <c r="A1283" s="126"/>
    </row>
    <row r="1284" spans="1:1">
      <c r="A1284" s="126"/>
    </row>
    <row r="1285" spans="1:1">
      <c r="A1285" s="126"/>
    </row>
    <row r="1286" spans="1:1">
      <c r="A1286" s="126"/>
    </row>
    <row r="1287" spans="1:1">
      <c r="A1287" s="126"/>
    </row>
    <row r="1288" spans="1:1">
      <c r="A1288" s="126"/>
    </row>
    <row r="1289" spans="1:1">
      <c r="A1289" s="126"/>
    </row>
    <row r="1290" spans="1:1">
      <c r="A1290" s="126"/>
    </row>
    <row r="1291" spans="1:1">
      <c r="A1291" s="126"/>
    </row>
    <row r="1292" spans="1:1">
      <c r="A1292" s="126"/>
    </row>
    <row r="1293" spans="1:1">
      <c r="A1293" s="126"/>
    </row>
    <row r="1294" spans="1:1">
      <c r="A1294" s="126"/>
    </row>
    <row r="1295" spans="1:1">
      <c r="A1295" s="126"/>
    </row>
    <row r="1296" spans="1:1">
      <c r="A1296" s="126"/>
    </row>
    <row r="1297" spans="1:1">
      <c r="A1297" s="126"/>
    </row>
    <row r="1298" spans="1:1">
      <c r="A1298" s="126"/>
    </row>
    <row r="1299" spans="1:1">
      <c r="A1299" s="126"/>
    </row>
    <row r="1300" spans="1:1">
      <c r="A1300" s="126"/>
    </row>
    <row r="1301" spans="1:1">
      <c r="A1301" s="126"/>
    </row>
    <row r="1302" spans="1:1">
      <c r="A1302" s="126"/>
    </row>
    <row r="1303" spans="1:1">
      <c r="A1303" s="126"/>
    </row>
    <row r="1304" spans="1:1">
      <c r="A1304" s="126"/>
    </row>
    <row r="1305" spans="1:1">
      <c r="A1305" s="126"/>
    </row>
    <row r="1306" spans="1:1">
      <c r="A1306" s="126"/>
    </row>
    <row r="1307" spans="1:1">
      <c r="A1307" s="126"/>
    </row>
    <row r="1308" spans="1:1">
      <c r="A1308" s="126"/>
    </row>
    <row r="1309" spans="1:1">
      <c r="A1309" s="126"/>
    </row>
    <row r="1310" spans="1:1">
      <c r="A1310" s="126"/>
    </row>
    <row r="1311" spans="1:1">
      <c r="A1311" s="126"/>
    </row>
    <row r="1312" spans="1:1">
      <c r="A1312" s="126"/>
    </row>
    <row r="1313" spans="1:1">
      <c r="A1313" s="126"/>
    </row>
    <row r="1314" spans="1:1">
      <c r="A1314" s="126"/>
    </row>
    <row r="1315" spans="1:1">
      <c r="A1315" s="126"/>
    </row>
    <row r="1316" spans="1:1">
      <c r="A1316" s="126"/>
    </row>
    <row r="1317" spans="1:1">
      <c r="A1317" s="126"/>
    </row>
    <row r="1318" spans="1:1">
      <c r="A1318" s="126"/>
    </row>
    <row r="1319" spans="1:1">
      <c r="A1319" s="126"/>
    </row>
    <row r="1320" spans="1:1">
      <c r="A1320" s="126"/>
    </row>
    <row r="1321" spans="1:1">
      <c r="A1321" s="126"/>
    </row>
    <row r="1322" spans="1:1">
      <c r="A1322" s="126"/>
    </row>
    <row r="1323" spans="1:1">
      <c r="A1323" s="126"/>
    </row>
    <row r="1324" spans="1:1">
      <c r="A1324" s="126"/>
    </row>
    <row r="1325" spans="1:1">
      <c r="A1325" s="126"/>
    </row>
    <row r="1326" spans="1:1">
      <c r="A1326" s="126"/>
    </row>
    <row r="1327" spans="1:1">
      <c r="A1327" s="126"/>
    </row>
    <row r="1328" spans="1:1">
      <c r="A1328" s="126"/>
    </row>
    <row r="1329" spans="1:1">
      <c r="A1329" s="126"/>
    </row>
    <row r="1330" spans="1:1">
      <c r="A1330" s="126"/>
    </row>
    <row r="1331" spans="1:1">
      <c r="A1331" s="126"/>
    </row>
    <row r="1332" spans="1:1">
      <c r="A1332" s="126"/>
    </row>
    <row r="1333" spans="1:1">
      <c r="A1333" s="126"/>
    </row>
    <row r="1334" spans="1:1">
      <c r="A1334" s="126"/>
    </row>
    <row r="1335" spans="1:1">
      <c r="A1335" s="126"/>
    </row>
    <row r="1336" spans="1:1">
      <c r="A1336" s="126"/>
    </row>
    <row r="1337" spans="1:1">
      <c r="A1337" s="126"/>
    </row>
    <row r="1338" spans="1:1">
      <c r="A1338" s="126"/>
    </row>
    <row r="1339" spans="1:1">
      <c r="A1339" s="126"/>
    </row>
    <row r="1340" spans="1:1">
      <c r="A1340" s="126"/>
    </row>
    <row r="1341" spans="1:1">
      <c r="A1341" s="126"/>
    </row>
    <row r="1342" spans="1:1">
      <c r="A1342" s="126"/>
    </row>
    <row r="1343" spans="1:1">
      <c r="A1343" s="126"/>
    </row>
    <row r="1344" spans="1:1">
      <c r="A1344" s="126"/>
    </row>
    <row r="1345" spans="1:1">
      <c r="A1345" s="126"/>
    </row>
    <row r="1346" spans="1:1">
      <c r="A1346" s="126"/>
    </row>
    <row r="1347" spans="1:1">
      <c r="A1347" s="126"/>
    </row>
    <row r="1348" spans="1:1">
      <c r="A1348" s="126"/>
    </row>
    <row r="1349" spans="1:1">
      <c r="A1349" s="126"/>
    </row>
    <row r="1350" spans="1:1">
      <c r="A1350" s="126"/>
    </row>
    <row r="1351" spans="1:1">
      <c r="A1351" s="126"/>
    </row>
    <row r="1352" spans="1:1">
      <c r="A1352" s="126"/>
    </row>
    <row r="1353" spans="1:1">
      <c r="A1353" s="126"/>
    </row>
    <row r="1354" spans="1:1">
      <c r="A1354" s="126"/>
    </row>
    <row r="1355" spans="1:1">
      <c r="A1355" s="126"/>
    </row>
    <row r="1356" spans="1:1">
      <c r="A1356" s="126"/>
    </row>
    <row r="1357" spans="1:1">
      <c r="A1357" s="126"/>
    </row>
    <row r="1358" spans="1:1">
      <c r="A1358" s="126"/>
    </row>
    <row r="1359" spans="1:1">
      <c r="A1359" s="126"/>
    </row>
    <row r="1360" spans="1:1">
      <c r="A1360" s="126"/>
    </row>
    <row r="1361" spans="1:1">
      <c r="A1361" s="126"/>
    </row>
    <row r="1362" spans="1:1">
      <c r="A1362" s="126"/>
    </row>
    <row r="1363" spans="1:1">
      <c r="A1363" s="126"/>
    </row>
    <row r="1364" spans="1:1">
      <c r="A1364" s="126"/>
    </row>
    <row r="1365" spans="1:1">
      <c r="A1365" s="126"/>
    </row>
    <row r="1366" spans="1:1">
      <c r="A1366" s="126"/>
    </row>
    <row r="1367" spans="1:1">
      <c r="A1367" s="126"/>
    </row>
    <row r="1368" spans="1:1">
      <c r="A1368" s="126"/>
    </row>
    <row r="1369" spans="1:1">
      <c r="A1369" s="126"/>
    </row>
    <row r="1370" spans="1:1">
      <c r="A1370" s="126"/>
    </row>
    <row r="1371" spans="1:1">
      <c r="A1371" s="126"/>
    </row>
    <row r="1372" spans="1:1">
      <c r="A1372" s="126"/>
    </row>
    <row r="1373" spans="1:1">
      <c r="A1373" s="126"/>
    </row>
    <row r="1374" spans="1:1">
      <c r="A1374" s="126"/>
    </row>
    <row r="1375" spans="1:1">
      <c r="A1375" s="126"/>
    </row>
    <row r="1376" spans="1:1">
      <c r="A1376" s="126"/>
    </row>
    <row r="1377" spans="1:1">
      <c r="A1377" s="126"/>
    </row>
    <row r="1378" spans="1:1">
      <c r="A1378" s="126"/>
    </row>
    <row r="1379" spans="1:1">
      <c r="A1379" s="126"/>
    </row>
    <row r="1380" spans="1:1">
      <c r="A1380" s="126"/>
    </row>
    <row r="1381" spans="1:1">
      <c r="A1381" s="126"/>
    </row>
    <row r="1382" spans="1:1">
      <c r="A1382" s="126"/>
    </row>
    <row r="1383" spans="1:1">
      <c r="A1383" s="126"/>
    </row>
    <row r="1384" spans="1:1">
      <c r="A1384" s="126"/>
    </row>
    <row r="1385" spans="1:1">
      <c r="A1385" s="126"/>
    </row>
    <row r="1386" spans="1:1">
      <c r="A1386" s="126"/>
    </row>
    <row r="1387" spans="1:1">
      <c r="A1387" s="126"/>
    </row>
    <row r="1388" spans="1:1">
      <c r="A1388" s="126"/>
    </row>
    <row r="1389" spans="1:1">
      <c r="A1389" s="126"/>
    </row>
    <row r="1390" spans="1:1">
      <c r="A1390" s="126"/>
    </row>
    <row r="1391" spans="1:1">
      <c r="A1391" s="126"/>
    </row>
    <row r="1392" spans="1:1">
      <c r="A1392" s="126"/>
    </row>
    <row r="1393" spans="1:1">
      <c r="A1393" s="126"/>
    </row>
    <row r="1394" spans="1:1">
      <c r="A1394" s="126"/>
    </row>
    <row r="1395" spans="1:1">
      <c r="A1395" s="126"/>
    </row>
    <row r="1396" spans="1:1">
      <c r="A1396" s="126"/>
    </row>
    <row r="1397" spans="1:1">
      <c r="A1397" s="126"/>
    </row>
    <row r="1398" spans="1:1">
      <c r="A1398" s="126"/>
    </row>
    <row r="1399" spans="1:1">
      <c r="A1399" s="126"/>
    </row>
    <row r="1400" spans="1:1">
      <c r="A1400" s="126"/>
    </row>
    <row r="1401" spans="1:1">
      <c r="A1401" s="126"/>
    </row>
    <row r="1402" spans="1:1">
      <c r="A1402" s="126"/>
    </row>
    <row r="1403" spans="1:1">
      <c r="A1403" s="126"/>
    </row>
    <row r="1404" spans="1:1">
      <c r="A1404" s="126"/>
    </row>
    <row r="1405" spans="1:1">
      <c r="A1405" s="126"/>
    </row>
    <row r="1406" spans="1:1">
      <c r="A1406" s="126"/>
    </row>
    <row r="1407" spans="1:1">
      <c r="A1407" s="126"/>
    </row>
    <row r="1408" spans="1:1">
      <c r="A1408" s="126"/>
    </row>
    <row r="1409" spans="1:1">
      <c r="A1409" s="126"/>
    </row>
    <row r="1410" spans="1:1">
      <c r="A1410" s="126"/>
    </row>
    <row r="1411" spans="1:1">
      <c r="A1411" s="126"/>
    </row>
    <row r="1412" spans="1:1">
      <c r="A1412" s="126"/>
    </row>
    <row r="1413" spans="1:1">
      <c r="A1413" s="126"/>
    </row>
    <row r="1414" spans="1:1">
      <c r="A1414" s="126"/>
    </row>
    <row r="1415" spans="1:1">
      <c r="A1415" s="126"/>
    </row>
    <row r="1416" spans="1:1">
      <c r="A1416" s="126"/>
    </row>
    <row r="1417" spans="1:1">
      <c r="A1417" s="126"/>
    </row>
    <row r="1418" spans="1:1">
      <c r="A1418" s="126"/>
    </row>
    <row r="1419" spans="1:1">
      <c r="A1419" s="126"/>
    </row>
    <row r="1420" spans="1:1">
      <c r="A1420" s="126"/>
    </row>
    <row r="1421" spans="1:1">
      <c r="A1421" s="126"/>
    </row>
    <row r="1422" spans="1:1">
      <c r="A1422" s="126"/>
    </row>
    <row r="1423" spans="1:1">
      <c r="A1423" s="126"/>
    </row>
    <row r="1424" spans="1:1">
      <c r="A1424" s="126"/>
    </row>
    <row r="1425" spans="1:1">
      <c r="A1425" s="126"/>
    </row>
    <row r="1426" spans="1:1">
      <c r="A1426" s="126"/>
    </row>
    <row r="1427" spans="1:1">
      <c r="A1427" s="126"/>
    </row>
    <row r="1428" spans="1:1">
      <c r="A1428" s="126"/>
    </row>
    <row r="1429" spans="1:1">
      <c r="A1429" s="126"/>
    </row>
    <row r="1430" spans="1:1">
      <c r="A1430" s="126"/>
    </row>
    <row r="1431" spans="1:1">
      <c r="A1431" s="126"/>
    </row>
    <row r="1432" spans="1:1">
      <c r="A1432" s="126"/>
    </row>
    <row r="1433" spans="1:1">
      <c r="A1433" s="126"/>
    </row>
    <row r="1434" spans="1:1">
      <c r="A1434" s="126"/>
    </row>
    <row r="1435" spans="1:1">
      <c r="A1435" s="126"/>
    </row>
    <row r="1436" spans="1:1">
      <c r="A1436" s="126"/>
    </row>
    <row r="1437" spans="1:1">
      <c r="A1437" s="126"/>
    </row>
    <row r="1438" spans="1:1">
      <c r="A1438" s="126"/>
    </row>
    <row r="1439" spans="1:1">
      <c r="A1439" s="126"/>
    </row>
    <row r="1440" spans="1:1">
      <c r="A1440" s="126"/>
    </row>
    <row r="1441" spans="1:1">
      <c r="A1441" s="126"/>
    </row>
    <row r="1442" spans="1:1">
      <c r="A1442" s="126"/>
    </row>
    <row r="1443" spans="1:1">
      <c r="A1443" s="126"/>
    </row>
    <row r="1444" spans="1:1">
      <c r="A1444" s="126"/>
    </row>
    <row r="1445" spans="1:1">
      <c r="A1445" s="126"/>
    </row>
    <row r="1446" spans="1:1">
      <c r="A1446" s="126"/>
    </row>
    <row r="1447" spans="1:1">
      <c r="A1447" s="126"/>
    </row>
    <row r="1448" spans="1:1">
      <c r="A1448" s="126"/>
    </row>
    <row r="1449" spans="1:1">
      <c r="A1449" s="126"/>
    </row>
    <row r="1450" spans="1:1">
      <c r="A1450" s="126"/>
    </row>
    <row r="1451" spans="1:1">
      <c r="A1451" s="126"/>
    </row>
    <row r="1452" spans="1:1">
      <c r="A1452" s="126"/>
    </row>
    <row r="1453" spans="1:1">
      <c r="A1453" s="126"/>
    </row>
    <row r="1454" spans="1:1">
      <c r="A1454" s="126"/>
    </row>
    <row r="1455" spans="1:1">
      <c r="A1455" s="126"/>
    </row>
    <row r="1456" spans="1:1">
      <c r="A1456" s="126"/>
    </row>
    <row r="1457" spans="1:1">
      <c r="A1457" s="126"/>
    </row>
    <row r="1458" spans="1:1">
      <c r="A1458" s="126"/>
    </row>
    <row r="1459" spans="1:1">
      <c r="A1459" s="126"/>
    </row>
    <row r="1460" spans="1:1">
      <c r="A1460" s="126"/>
    </row>
    <row r="1461" spans="1:1">
      <c r="A1461" s="126"/>
    </row>
    <row r="1462" spans="1:1">
      <c r="A1462" s="126"/>
    </row>
    <row r="1463" spans="1:1">
      <c r="A1463" s="126"/>
    </row>
    <row r="1464" spans="1:1">
      <c r="A1464" s="126"/>
    </row>
    <row r="1465" spans="1:1">
      <c r="A1465" s="126"/>
    </row>
    <row r="1466" spans="1:1">
      <c r="A1466" s="126"/>
    </row>
    <row r="1467" spans="1:1">
      <c r="A1467" s="126"/>
    </row>
    <row r="1468" spans="1:1">
      <c r="A1468" s="126"/>
    </row>
    <row r="1469" spans="1:1">
      <c r="A1469" s="126"/>
    </row>
    <row r="1470" spans="1:1">
      <c r="A1470" s="126"/>
    </row>
    <row r="1471" spans="1:1">
      <c r="A1471" s="126"/>
    </row>
    <row r="1472" spans="1:1">
      <c r="A1472" s="126"/>
    </row>
    <row r="1473" spans="1:1">
      <c r="A1473" s="126"/>
    </row>
    <row r="1474" spans="1:1">
      <c r="A1474" s="126"/>
    </row>
    <row r="1475" spans="1:1">
      <c r="A1475" s="126"/>
    </row>
    <row r="1476" spans="1:1">
      <c r="A1476" s="126"/>
    </row>
    <row r="1477" spans="1:1">
      <c r="A1477" s="126"/>
    </row>
    <row r="1478" spans="1:1">
      <c r="A1478" s="126"/>
    </row>
    <row r="1479" spans="1:1">
      <c r="A1479" s="126"/>
    </row>
    <row r="1480" spans="1:1">
      <c r="A1480" s="126"/>
    </row>
    <row r="1481" spans="1:1">
      <c r="A1481" s="126"/>
    </row>
    <row r="1482" spans="1:1">
      <c r="A1482" s="126"/>
    </row>
    <row r="1483" spans="1:1">
      <c r="A1483" s="126"/>
    </row>
    <row r="1484" spans="1:1">
      <c r="A1484" s="126"/>
    </row>
    <row r="1485" spans="1:1">
      <c r="A1485" s="126"/>
    </row>
    <row r="1486" spans="1:1">
      <c r="A1486" s="126"/>
    </row>
    <row r="1487" spans="1:1">
      <c r="A1487" s="126"/>
    </row>
    <row r="1488" spans="1:1">
      <c r="A1488" s="126"/>
    </row>
    <row r="1489" spans="1:1">
      <c r="A1489" s="126"/>
    </row>
    <row r="1490" spans="1:1">
      <c r="A1490" s="126"/>
    </row>
    <row r="1491" spans="1:1">
      <c r="A1491" s="126"/>
    </row>
    <row r="1492" spans="1:1">
      <c r="A1492" s="126"/>
    </row>
    <row r="1493" spans="1:1">
      <c r="A1493" s="126"/>
    </row>
    <row r="1494" spans="1:1">
      <c r="A1494" s="126"/>
    </row>
    <row r="1495" spans="1:1">
      <c r="A1495" s="126"/>
    </row>
    <row r="1496" spans="1:1">
      <c r="A1496" s="126"/>
    </row>
    <row r="1497" spans="1:1">
      <c r="A1497" s="126"/>
    </row>
    <row r="1498" spans="1:1">
      <c r="A1498" s="126"/>
    </row>
    <row r="1499" spans="1:1">
      <c r="A1499" s="126"/>
    </row>
    <row r="1500" spans="1:1">
      <c r="A1500" s="126"/>
    </row>
    <row r="1501" spans="1:1">
      <c r="A1501" s="126"/>
    </row>
    <row r="1502" spans="1:1">
      <c r="A1502" s="126"/>
    </row>
    <row r="1503" spans="1:1">
      <c r="A1503" s="126"/>
    </row>
    <row r="1504" spans="1:1">
      <c r="A1504" s="126"/>
    </row>
    <row r="1505" spans="1:1">
      <c r="A1505" s="126"/>
    </row>
    <row r="1506" spans="1:1">
      <c r="A1506" s="126"/>
    </row>
    <row r="1507" spans="1:1">
      <c r="A1507" s="126"/>
    </row>
    <row r="1508" spans="1:1">
      <c r="A1508" s="126"/>
    </row>
    <row r="1509" spans="1:1">
      <c r="A1509" s="126"/>
    </row>
    <row r="1510" spans="1:1">
      <c r="A1510" s="126"/>
    </row>
    <row r="1511" spans="1:1">
      <c r="A1511" s="126"/>
    </row>
    <row r="1512" spans="1:1">
      <c r="A1512" s="126"/>
    </row>
    <row r="1513" spans="1:1">
      <c r="A1513" s="126"/>
    </row>
    <row r="1514" spans="1:1">
      <c r="A1514" s="126"/>
    </row>
    <row r="1515" spans="1:1">
      <c r="A1515" s="126"/>
    </row>
    <row r="1516" spans="1:1">
      <c r="A1516" s="126"/>
    </row>
    <row r="1517" spans="1:1">
      <c r="A1517" s="126"/>
    </row>
    <row r="1518" spans="1:1">
      <c r="A1518" s="126"/>
    </row>
    <row r="1519" spans="1:1">
      <c r="A1519" s="126"/>
    </row>
    <row r="1520" spans="1:1">
      <c r="A1520" s="126"/>
    </row>
    <row r="1521" spans="1:1">
      <c r="A1521" s="126"/>
    </row>
    <row r="1522" spans="1:1">
      <c r="A1522" s="126"/>
    </row>
    <row r="1523" spans="1:1">
      <c r="A1523" s="126"/>
    </row>
    <row r="1524" spans="1:1">
      <c r="A1524" s="126"/>
    </row>
    <row r="1525" spans="1:1">
      <c r="A1525" s="126"/>
    </row>
    <row r="1526" spans="1:1">
      <c r="A1526" s="126"/>
    </row>
    <row r="1527" spans="1:1">
      <c r="A1527" s="126"/>
    </row>
    <row r="1528" spans="1:1">
      <c r="A1528" s="126"/>
    </row>
    <row r="1529" spans="1:1">
      <c r="A1529" s="126"/>
    </row>
    <row r="1530" spans="1:1">
      <c r="A1530" s="126"/>
    </row>
    <row r="1531" spans="1:1">
      <c r="A1531" s="126"/>
    </row>
    <row r="1532" spans="1:1">
      <c r="A1532" s="126"/>
    </row>
    <row r="1533" spans="1:1">
      <c r="A1533" s="126"/>
    </row>
    <row r="1534" spans="1:1">
      <c r="A1534" s="126"/>
    </row>
    <row r="1535" spans="1:1">
      <c r="A1535" s="126"/>
    </row>
    <row r="1536" spans="1:1">
      <c r="A1536" s="126"/>
    </row>
    <row r="1537" spans="1:1">
      <c r="A1537" s="126"/>
    </row>
    <row r="1538" spans="1:1">
      <c r="A1538" s="126"/>
    </row>
    <row r="1539" spans="1:1">
      <c r="A1539" s="126"/>
    </row>
    <row r="1540" spans="1:1">
      <c r="A1540" s="126"/>
    </row>
    <row r="1541" spans="1:1">
      <c r="A1541" s="126"/>
    </row>
    <row r="1542" spans="1:1">
      <c r="A1542" s="126"/>
    </row>
    <row r="1543" spans="1:1">
      <c r="A1543" s="126"/>
    </row>
    <row r="1544" spans="1:1">
      <c r="A1544" s="126"/>
    </row>
    <row r="1545" spans="1:1">
      <c r="A1545" s="126"/>
    </row>
    <row r="1546" spans="1:1">
      <c r="A1546" s="126"/>
    </row>
    <row r="1547" spans="1:1">
      <c r="A1547" s="126"/>
    </row>
    <row r="1548" spans="1:1">
      <c r="A1548" s="126"/>
    </row>
    <row r="1549" spans="1:1">
      <c r="A1549" s="126"/>
    </row>
    <row r="1550" spans="1:1">
      <c r="A1550" s="126"/>
    </row>
    <row r="1551" spans="1:1">
      <c r="A1551" s="126"/>
    </row>
    <row r="1552" spans="1:1">
      <c r="A1552" s="126"/>
    </row>
    <row r="1553" spans="1:1">
      <c r="A1553" s="126"/>
    </row>
    <row r="1554" spans="1:1">
      <c r="A1554" s="126"/>
    </row>
    <row r="1555" spans="1:1">
      <c r="A1555" s="126"/>
    </row>
    <row r="1556" spans="1:1">
      <c r="A1556" s="126"/>
    </row>
    <row r="1557" spans="1:1">
      <c r="A1557" s="126"/>
    </row>
    <row r="1558" spans="1:1">
      <c r="A1558" s="126"/>
    </row>
    <row r="1559" spans="1:1">
      <c r="A1559" s="126"/>
    </row>
    <row r="1560" spans="1:1">
      <c r="A1560" s="126"/>
    </row>
    <row r="1561" spans="1:1">
      <c r="A1561" s="126"/>
    </row>
    <row r="1562" spans="1:1">
      <c r="A1562" s="126"/>
    </row>
    <row r="1563" spans="1:1">
      <c r="A1563" s="126"/>
    </row>
    <row r="1564" spans="1:1">
      <c r="A1564" s="126"/>
    </row>
    <row r="1565" spans="1:1">
      <c r="A1565" s="126"/>
    </row>
    <row r="1566" spans="1:1">
      <c r="A1566" s="126"/>
    </row>
    <row r="1567" spans="1:1">
      <c r="A1567" s="126"/>
    </row>
    <row r="1568" spans="1:1">
      <c r="A1568" s="126"/>
    </row>
    <row r="1569" spans="1:1">
      <c r="A1569" s="126"/>
    </row>
    <row r="1570" spans="1:1">
      <c r="A1570" s="126"/>
    </row>
    <row r="1571" spans="1:1">
      <c r="A1571" s="126"/>
    </row>
    <row r="1572" spans="1:1">
      <c r="A1572" s="126"/>
    </row>
    <row r="1573" spans="1:1">
      <c r="A1573" s="126"/>
    </row>
    <row r="1574" spans="1:1">
      <c r="A1574" s="126"/>
    </row>
    <row r="1575" spans="1:1">
      <c r="A1575" s="126"/>
    </row>
    <row r="1576" spans="1:1">
      <c r="A1576" s="126"/>
    </row>
    <row r="1577" spans="1:1">
      <c r="A1577" s="126"/>
    </row>
    <row r="1578" spans="1:1">
      <c r="A1578" s="126"/>
    </row>
    <row r="1579" spans="1:1">
      <c r="A1579" s="126"/>
    </row>
    <row r="1580" spans="1:1">
      <c r="A1580" s="126"/>
    </row>
    <row r="1581" spans="1:1">
      <c r="A1581" s="126"/>
    </row>
    <row r="1582" spans="1:1">
      <c r="A1582" s="126"/>
    </row>
    <row r="1583" spans="1:1">
      <c r="A1583" s="126"/>
    </row>
    <row r="1584" spans="1:1">
      <c r="A1584" s="126"/>
    </row>
    <row r="1585" spans="1:1">
      <c r="A1585" s="126"/>
    </row>
    <row r="1586" spans="1:1">
      <c r="A1586" s="126"/>
    </row>
    <row r="1587" spans="1:1">
      <c r="A1587" s="126"/>
    </row>
    <row r="1588" spans="1:1">
      <c r="A1588" s="126"/>
    </row>
    <row r="1589" spans="1:1">
      <c r="A1589" s="126"/>
    </row>
    <row r="1590" spans="1:1">
      <c r="A1590" s="126"/>
    </row>
    <row r="1591" spans="1:1">
      <c r="A1591" s="126"/>
    </row>
    <row r="1592" spans="1:1">
      <c r="A1592" s="126"/>
    </row>
    <row r="1593" spans="1:1">
      <c r="A1593" s="126"/>
    </row>
    <row r="1594" spans="1:1">
      <c r="A1594" s="126"/>
    </row>
    <row r="1595" spans="1:1">
      <c r="A1595" s="126"/>
    </row>
    <row r="1596" spans="1:1">
      <c r="A1596" s="126"/>
    </row>
    <row r="1597" spans="1:1">
      <c r="A1597" s="126"/>
    </row>
    <row r="1598" spans="1:1">
      <c r="A1598" s="126"/>
    </row>
    <row r="1599" spans="1:1">
      <c r="A1599" s="126"/>
    </row>
    <row r="1600" spans="1:1">
      <c r="A1600" s="126"/>
    </row>
    <row r="1601" spans="1:1">
      <c r="A1601" s="126"/>
    </row>
    <row r="1602" spans="1:1">
      <c r="A1602" s="126"/>
    </row>
    <row r="1603" spans="1:1">
      <c r="A1603" s="126"/>
    </row>
    <row r="1604" spans="1:1">
      <c r="A1604" s="126"/>
    </row>
    <row r="1605" spans="1:1">
      <c r="A1605" s="126"/>
    </row>
    <row r="1606" spans="1:1">
      <c r="A1606" s="126"/>
    </row>
    <row r="1607" spans="1:1">
      <c r="A1607" s="126"/>
    </row>
    <row r="1608" spans="1:1">
      <c r="A1608" s="126"/>
    </row>
    <row r="1609" spans="1:1">
      <c r="A1609" s="126"/>
    </row>
    <row r="1610" spans="1:1">
      <c r="A1610" s="126"/>
    </row>
    <row r="1611" spans="1:1">
      <c r="A1611" s="126"/>
    </row>
    <row r="1612" spans="1:1">
      <c r="A1612" s="126"/>
    </row>
    <row r="1613" spans="1:1">
      <c r="A1613" s="126"/>
    </row>
    <row r="1614" spans="1:1">
      <c r="A1614" s="126"/>
    </row>
    <row r="1615" spans="1:1">
      <c r="A1615" s="126"/>
    </row>
    <row r="1616" spans="1:1">
      <c r="A1616" s="126"/>
    </row>
    <row r="1617" spans="1:1">
      <c r="A1617" s="126"/>
    </row>
    <row r="1618" spans="1:1">
      <c r="A1618" s="126"/>
    </row>
    <row r="1619" spans="1:1">
      <c r="A1619" s="126"/>
    </row>
    <row r="1620" spans="1:1">
      <c r="A1620" s="126"/>
    </row>
    <row r="1621" spans="1:1">
      <c r="A1621" s="126"/>
    </row>
    <row r="1622" spans="1:1">
      <c r="A1622" s="126"/>
    </row>
    <row r="1623" spans="1:1">
      <c r="A1623" s="126"/>
    </row>
    <row r="1624" spans="1:1">
      <c r="A1624" s="126"/>
    </row>
    <row r="1625" spans="1:1">
      <c r="A1625" s="126"/>
    </row>
    <row r="1626" spans="1:1">
      <c r="A1626" s="126"/>
    </row>
    <row r="1627" spans="1:1">
      <c r="A1627" s="126"/>
    </row>
    <row r="1628" spans="1:1">
      <c r="A1628" s="126"/>
    </row>
    <row r="1629" spans="1:1">
      <c r="A1629" s="126"/>
    </row>
    <row r="1630" spans="1:1">
      <c r="A1630" s="126"/>
    </row>
    <row r="1631" spans="1:1">
      <c r="A1631" s="126"/>
    </row>
    <row r="1632" spans="1:1">
      <c r="A1632" s="126"/>
    </row>
    <row r="1633" spans="1:1">
      <c r="A1633" s="126"/>
    </row>
    <row r="1634" spans="1:1">
      <c r="A1634" s="126"/>
    </row>
    <row r="1635" spans="1:1">
      <c r="A1635" s="126"/>
    </row>
    <row r="1636" spans="1:1">
      <c r="A1636" s="126"/>
    </row>
    <row r="1637" spans="1:1">
      <c r="A1637" s="126"/>
    </row>
    <row r="1638" spans="1:1">
      <c r="A1638" s="126"/>
    </row>
    <row r="1639" spans="1:1">
      <c r="A1639" s="126"/>
    </row>
    <row r="1640" spans="1:1">
      <c r="A1640" s="126"/>
    </row>
    <row r="1641" spans="1:1">
      <c r="A1641" s="126"/>
    </row>
    <row r="1642" spans="1:1">
      <c r="A1642" s="126"/>
    </row>
    <row r="1643" spans="1:1">
      <c r="A1643" s="126"/>
    </row>
    <row r="1644" spans="1:1">
      <c r="A1644" s="126"/>
    </row>
    <row r="1645" spans="1:1">
      <c r="A1645" s="126"/>
    </row>
    <row r="1646" spans="1:1">
      <c r="A1646" s="126"/>
    </row>
    <row r="1647" spans="1:1">
      <c r="A1647" s="126"/>
    </row>
    <row r="1648" spans="1:1">
      <c r="A1648" s="126"/>
    </row>
    <row r="1649" spans="1:1">
      <c r="A1649" s="126"/>
    </row>
    <row r="1650" spans="1:1">
      <c r="A1650" s="126"/>
    </row>
    <row r="1651" spans="1:1">
      <c r="A1651" s="126"/>
    </row>
    <row r="1652" spans="1:1">
      <c r="A1652" s="126"/>
    </row>
    <row r="1653" spans="1:1">
      <c r="A1653" s="126"/>
    </row>
    <row r="1654" spans="1:1">
      <c r="A1654" s="126"/>
    </row>
    <row r="1655" spans="1:1">
      <c r="A1655" s="126"/>
    </row>
    <row r="1656" spans="1:1">
      <c r="A1656" s="126"/>
    </row>
    <row r="1657" spans="1:1">
      <c r="A1657" s="126"/>
    </row>
    <row r="1658" spans="1:1">
      <c r="A1658" s="126"/>
    </row>
    <row r="1659" spans="1:1">
      <c r="A1659" s="126"/>
    </row>
    <row r="1660" spans="1:1">
      <c r="A1660" s="126"/>
    </row>
    <row r="1661" spans="1:1">
      <c r="A1661" s="126"/>
    </row>
    <row r="1662" spans="1:1">
      <c r="A1662" s="126"/>
    </row>
    <row r="1663" spans="1:1">
      <c r="A1663" s="126"/>
    </row>
    <row r="1664" spans="1:1">
      <c r="A1664" s="126"/>
    </row>
    <row r="1665" spans="1:1">
      <c r="A1665" s="126"/>
    </row>
    <row r="1666" spans="1:1">
      <c r="A1666" s="126"/>
    </row>
    <row r="1667" spans="1:1">
      <c r="A1667" s="126"/>
    </row>
    <row r="1668" spans="1:1">
      <c r="A1668" s="126"/>
    </row>
    <row r="1669" spans="1:1">
      <c r="A1669" s="126"/>
    </row>
    <row r="1670" spans="1:1">
      <c r="A1670" s="126"/>
    </row>
    <row r="1671" spans="1:1">
      <c r="A1671" s="126"/>
    </row>
    <row r="1672" spans="1:1">
      <c r="A1672" s="126"/>
    </row>
    <row r="1673" spans="1:1">
      <c r="A1673" s="126"/>
    </row>
    <row r="1674" spans="1:1">
      <c r="A1674" s="126"/>
    </row>
    <row r="1675" spans="1:1">
      <c r="A1675" s="126"/>
    </row>
    <row r="1676" spans="1:1">
      <c r="A1676" s="126"/>
    </row>
    <row r="1677" spans="1:1">
      <c r="A1677" s="126"/>
    </row>
    <row r="1678" spans="1:1">
      <c r="A1678" s="126"/>
    </row>
    <row r="1679" spans="1:1">
      <c r="A1679" s="126"/>
    </row>
    <row r="1680" spans="1:1">
      <c r="A1680" s="126"/>
    </row>
    <row r="1681" spans="1:1">
      <c r="A1681" s="126"/>
    </row>
    <row r="1682" spans="1:1">
      <c r="A1682" s="126"/>
    </row>
    <row r="1683" spans="1:1">
      <c r="A1683" s="126"/>
    </row>
    <row r="1684" spans="1:1">
      <c r="A1684" s="126"/>
    </row>
    <row r="1685" spans="1:1">
      <c r="A1685" s="126"/>
    </row>
    <row r="1686" spans="1:1">
      <c r="A1686" s="126"/>
    </row>
    <row r="1687" spans="1:1">
      <c r="A1687" s="126"/>
    </row>
    <row r="1688" spans="1:1">
      <c r="A1688" s="126"/>
    </row>
    <row r="1689" spans="1:1">
      <c r="A1689" s="126"/>
    </row>
    <row r="1690" spans="1:1">
      <c r="A1690" s="126"/>
    </row>
    <row r="1691" spans="1:1">
      <c r="A1691" s="126"/>
    </row>
    <row r="1692" spans="1:1">
      <c r="A1692" s="126"/>
    </row>
    <row r="1693" spans="1:1">
      <c r="A1693" s="126"/>
    </row>
    <row r="1694" spans="1:1">
      <c r="A1694" s="126"/>
    </row>
    <row r="1695" spans="1:1">
      <c r="A1695" s="126"/>
    </row>
    <row r="1696" spans="1:1">
      <c r="A1696" s="126"/>
    </row>
    <row r="1697" spans="1:1">
      <c r="A1697" s="126"/>
    </row>
    <row r="1698" spans="1:1">
      <c r="A1698" s="126"/>
    </row>
    <row r="1699" spans="1:1">
      <c r="A1699" s="126"/>
    </row>
    <row r="1700" spans="1:1">
      <c r="A1700" s="126"/>
    </row>
    <row r="1701" spans="1:1">
      <c r="A1701" s="126"/>
    </row>
    <row r="1702" spans="1:1">
      <c r="A1702" s="126"/>
    </row>
    <row r="1703" spans="1:1">
      <c r="A1703" s="126"/>
    </row>
    <row r="1704" spans="1:1">
      <c r="A1704" s="126"/>
    </row>
    <row r="1705" spans="1:1">
      <c r="A1705" s="126"/>
    </row>
    <row r="1706" spans="1:1">
      <c r="A1706" s="126"/>
    </row>
    <row r="1707" spans="1:1">
      <c r="A1707" s="126"/>
    </row>
    <row r="1708" spans="1:1">
      <c r="A1708" s="126"/>
    </row>
    <row r="1709" spans="1:1">
      <c r="A1709" s="126"/>
    </row>
    <row r="1710" spans="1:1">
      <c r="A1710" s="126"/>
    </row>
    <row r="1711" spans="1:1">
      <c r="A1711" s="126"/>
    </row>
    <row r="1712" spans="1:1">
      <c r="A1712" s="126"/>
    </row>
    <row r="1713" spans="1:1">
      <c r="A1713" s="126"/>
    </row>
    <row r="1714" spans="1:1">
      <c r="A1714" s="126"/>
    </row>
    <row r="1715" spans="1:1">
      <c r="A1715" s="126"/>
    </row>
    <row r="1716" spans="1:1">
      <c r="A1716" s="126"/>
    </row>
    <row r="1717" spans="1:1">
      <c r="A1717" s="126"/>
    </row>
    <row r="1718" spans="1:1">
      <c r="A1718" s="126"/>
    </row>
    <row r="1719" spans="1:1">
      <c r="A1719" s="126"/>
    </row>
    <row r="1720" spans="1:1">
      <c r="A1720" s="126"/>
    </row>
    <row r="1721" spans="1:1">
      <c r="A1721" s="126"/>
    </row>
    <row r="1722" spans="1:1">
      <c r="A1722" s="126"/>
    </row>
    <row r="1723" spans="1:1">
      <c r="A1723" s="126"/>
    </row>
    <row r="1724" spans="1:1">
      <c r="A1724" s="126"/>
    </row>
    <row r="1725" spans="1:1">
      <c r="A1725" s="126"/>
    </row>
    <row r="1726" spans="1:1">
      <c r="A1726" s="126"/>
    </row>
    <row r="1727" spans="1:1">
      <c r="A1727" s="126"/>
    </row>
    <row r="1728" spans="1:1">
      <c r="A1728" s="126"/>
    </row>
    <row r="1729" spans="1:1">
      <c r="A1729" s="126"/>
    </row>
    <row r="1730" spans="1:1">
      <c r="A1730" s="126"/>
    </row>
    <row r="1731" spans="1:1">
      <c r="A1731" s="126"/>
    </row>
    <row r="1732" spans="1:1">
      <c r="A1732" s="126"/>
    </row>
    <row r="1733" spans="1:1">
      <c r="A1733" s="126"/>
    </row>
    <row r="1734" spans="1:1">
      <c r="A1734" s="126"/>
    </row>
    <row r="1735" spans="1:1">
      <c r="A1735" s="126"/>
    </row>
    <row r="1736" spans="1:1">
      <c r="A1736" s="126"/>
    </row>
    <row r="1737" spans="1:1">
      <c r="A1737" s="126"/>
    </row>
    <row r="1738" spans="1:1">
      <c r="A1738" s="126"/>
    </row>
    <row r="1739" spans="1:1">
      <c r="A1739" s="126"/>
    </row>
    <row r="1740" spans="1:1">
      <c r="A1740" s="126"/>
    </row>
    <row r="1741" spans="1:1">
      <c r="A1741" s="126"/>
    </row>
    <row r="1742" spans="1:1">
      <c r="A1742" s="126"/>
    </row>
    <row r="1743" spans="1:1">
      <c r="A1743" s="126"/>
    </row>
    <row r="1744" spans="1:1">
      <c r="A1744" s="126"/>
    </row>
    <row r="1745" spans="1:1">
      <c r="A1745" s="126"/>
    </row>
    <row r="1746" spans="1:1">
      <c r="A1746" s="126"/>
    </row>
    <row r="1747" spans="1:1">
      <c r="A1747" s="126"/>
    </row>
    <row r="1748" spans="1:1">
      <c r="A1748" s="126"/>
    </row>
    <row r="1749" spans="1:1">
      <c r="A1749" s="126"/>
    </row>
    <row r="1750" spans="1:1">
      <c r="A1750" s="126"/>
    </row>
    <row r="1751" spans="1:1">
      <c r="A1751" s="126"/>
    </row>
    <row r="1752" spans="1:1">
      <c r="A1752" s="126"/>
    </row>
    <row r="1753" spans="1:1">
      <c r="A1753" s="126"/>
    </row>
    <row r="1754" spans="1:1">
      <c r="A1754" s="126"/>
    </row>
    <row r="1755" spans="1:1">
      <c r="A1755" s="126"/>
    </row>
    <row r="1756" spans="1:1">
      <c r="A1756" s="126"/>
    </row>
    <row r="1757" spans="1:1">
      <c r="A1757" s="126"/>
    </row>
    <row r="1758" spans="1:1">
      <c r="A1758" s="126"/>
    </row>
    <row r="1759" spans="1:1">
      <c r="A1759" s="126"/>
    </row>
    <row r="1760" spans="1:1">
      <c r="A1760" s="126"/>
    </row>
    <row r="1761" spans="1:1">
      <c r="A1761" s="126"/>
    </row>
    <row r="1762" spans="1:1">
      <c r="A1762" s="126"/>
    </row>
    <row r="1763" spans="1:1">
      <c r="A1763" s="126"/>
    </row>
    <row r="1764" spans="1:1">
      <c r="A1764" s="126"/>
    </row>
    <row r="1765" spans="1:1">
      <c r="A1765" s="126"/>
    </row>
    <row r="1766" spans="1:1">
      <c r="A1766" s="126"/>
    </row>
    <row r="1767" spans="1:1">
      <c r="A1767" s="126"/>
    </row>
    <row r="1768" spans="1:1">
      <c r="A1768" s="126"/>
    </row>
    <row r="1769" spans="1:1">
      <c r="A1769" s="126"/>
    </row>
    <row r="1770" spans="1:1">
      <c r="A1770" s="126"/>
    </row>
    <row r="1771" spans="1:1">
      <c r="A1771" s="126"/>
    </row>
    <row r="1772" spans="1:1">
      <c r="A1772" s="126"/>
    </row>
    <row r="1773" spans="1:1">
      <c r="A1773" s="126"/>
    </row>
    <row r="1774" spans="1:1">
      <c r="A1774" s="126"/>
    </row>
    <row r="1775" spans="1:1">
      <c r="A1775" s="126"/>
    </row>
    <row r="1776" spans="1:1">
      <c r="A1776" s="126"/>
    </row>
    <row r="1777" spans="1:1">
      <c r="A1777" s="126"/>
    </row>
    <row r="1778" spans="1:1">
      <c r="A1778" s="126"/>
    </row>
    <row r="1779" spans="1:1">
      <c r="A1779" s="126"/>
    </row>
    <row r="1780" spans="1:1">
      <c r="A1780" s="126"/>
    </row>
    <row r="1781" spans="1:1">
      <c r="A1781" s="126"/>
    </row>
    <row r="1782" spans="1:1">
      <c r="A1782" s="126"/>
    </row>
    <row r="1783" spans="1:1">
      <c r="A1783" s="126"/>
    </row>
    <row r="1784" spans="1:1">
      <c r="A1784" s="126"/>
    </row>
    <row r="1785" spans="1:1">
      <c r="A1785" s="126"/>
    </row>
    <row r="1786" spans="1:1">
      <c r="A1786" s="126"/>
    </row>
    <row r="1787" spans="1:1">
      <c r="A1787" s="126"/>
    </row>
    <row r="1788" spans="1:1">
      <c r="A1788" s="126"/>
    </row>
    <row r="1789" spans="1:1">
      <c r="A1789" s="126"/>
    </row>
    <row r="1790" spans="1:1">
      <c r="A1790" s="126"/>
    </row>
    <row r="1791" spans="1:1">
      <c r="A1791" s="126"/>
    </row>
    <row r="1792" spans="1:1">
      <c r="A1792" s="126"/>
    </row>
    <row r="1793" spans="1:1">
      <c r="A1793" s="126"/>
    </row>
    <row r="1794" spans="1:1">
      <c r="A1794" s="126"/>
    </row>
    <row r="1795" spans="1:1">
      <c r="A1795" s="126"/>
    </row>
    <row r="1796" spans="1:1">
      <c r="A1796" s="126"/>
    </row>
    <row r="1797" spans="1:1">
      <c r="A1797" s="126"/>
    </row>
    <row r="1798" spans="1:1">
      <c r="A1798" s="126"/>
    </row>
    <row r="1799" spans="1:1">
      <c r="A1799" s="126"/>
    </row>
    <row r="1800" spans="1:1">
      <c r="A1800" s="126"/>
    </row>
    <row r="1801" spans="1:1">
      <c r="A1801" s="126"/>
    </row>
    <row r="1802" spans="1:1">
      <c r="A1802" s="126"/>
    </row>
    <row r="1803" spans="1:1">
      <c r="A1803" s="126"/>
    </row>
    <row r="1804" spans="1:1">
      <c r="A1804" s="126"/>
    </row>
    <row r="1805" spans="1:1">
      <c r="A1805" s="126"/>
    </row>
    <row r="1806" spans="1:1">
      <c r="A1806" s="126"/>
    </row>
    <row r="1807" spans="1:1">
      <c r="A1807" s="126"/>
    </row>
    <row r="1808" spans="1:1">
      <c r="A1808" s="126"/>
    </row>
    <row r="1809" spans="1:1">
      <c r="A1809" s="126"/>
    </row>
    <row r="1810" spans="1:1">
      <c r="A1810" s="126"/>
    </row>
    <row r="1811" spans="1:1">
      <c r="A1811" s="126"/>
    </row>
    <row r="1812" spans="1:1">
      <c r="A1812" s="126"/>
    </row>
    <row r="1813" spans="1:1">
      <c r="A1813" s="126"/>
    </row>
    <row r="1814" spans="1:1">
      <c r="A1814" s="126"/>
    </row>
    <row r="1815" spans="1:1">
      <c r="A1815" s="126"/>
    </row>
    <row r="1816" spans="1:1">
      <c r="A1816" s="126"/>
    </row>
    <row r="1817" spans="1:1">
      <c r="A1817" s="126"/>
    </row>
    <row r="1818" spans="1:1">
      <c r="A1818" s="126"/>
    </row>
    <row r="1819" spans="1:1">
      <c r="A1819" s="126"/>
    </row>
    <row r="1820" spans="1:1">
      <c r="A1820" s="126"/>
    </row>
    <row r="1821" spans="1:1">
      <c r="A1821" s="126"/>
    </row>
    <row r="1822" spans="1:1">
      <c r="A1822" s="126"/>
    </row>
    <row r="1823" spans="1:1">
      <c r="A1823" s="126"/>
    </row>
    <row r="1824" spans="1:1">
      <c r="A1824" s="126"/>
    </row>
    <row r="1825" spans="1:1">
      <c r="A1825" s="126"/>
    </row>
    <row r="1826" spans="1:1">
      <c r="A1826" s="126"/>
    </row>
    <row r="1827" spans="1:1">
      <c r="A1827" s="126"/>
    </row>
    <row r="1828" spans="1:1">
      <c r="A1828" s="126"/>
    </row>
    <row r="1829" spans="1:1">
      <c r="A1829" s="126"/>
    </row>
    <row r="1830" spans="1:1">
      <c r="A1830" s="126"/>
    </row>
    <row r="1831" spans="1:1">
      <c r="A1831" s="126"/>
    </row>
    <row r="1832" spans="1:1">
      <c r="A1832" s="126"/>
    </row>
    <row r="1833" spans="1:1">
      <c r="A1833" s="126"/>
    </row>
    <row r="1834" spans="1:1">
      <c r="A1834" s="126"/>
    </row>
    <row r="1835" spans="1:1">
      <c r="A1835" s="126"/>
    </row>
    <row r="1836" spans="1:1">
      <c r="A1836" s="126"/>
    </row>
    <row r="1837" spans="1:1">
      <c r="A1837" s="126"/>
    </row>
    <row r="1838" spans="1:1">
      <c r="A1838" s="126"/>
    </row>
    <row r="1839" spans="1:1">
      <c r="A1839" s="126"/>
    </row>
    <row r="1840" spans="1:1">
      <c r="A1840" s="126"/>
    </row>
    <row r="1841" spans="1:1">
      <c r="A1841" s="126"/>
    </row>
    <row r="1842" spans="1:1">
      <c r="A1842" s="126"/>
    </row>
    <row r="1843" spans="1:1">
      <c r="A1843" s="126"/>
    </row>
    <row r="1844" spans="1:1">
      <c r="A1844" s="126"/>
    </row>
    <row r="1845" spans="1:1">
      <c r="A1845" s="126"/>
    </row>
    <row r="1846" spans="1:1">
      <c r="A1846" s="126"/>
    </row>
    <row r="1847" spans="1:1">
      <c r="A1847" s="126"/>
    </row>
    <row r="1848" spans="1:1">
      <c r="A1848" s="126"/>
    </row>
    <row r="1849" spans="1:1">
      <c r="A1849" s="126"/>
    </row>
    <row r="1850" spans="1:1">
      <c r="A1850" s="126"/>
    </row>
    <row r="1851" spans="1:1">
      <c r="A1851" s="126"/>
    </row>
    <row r="1852" spans="1:1">
      <c r="A1852" s="126"/>
    </row>
    <row r="1853" spans="1:1">
      <c r="A1853" s="126"/>
    </row>
    <row r="1854" spans="1:1">
      <c r="A1854" s="126"/>
    </row>
    <row r="1855" spans="1:1">
      <c r="A1855" s="126"/>
    </row>
    <row r="1856" spans="1:1">
      <c r="A1856" s="126"/>
    </row>
    <row r="1857" spans="1:1">
      <c r="A1857" s="126"/>
    </row>
    <row r="1858" spans="1:1">
      <c r="A1858" s="126"/>
    </row>
    <row r="1859" spans="1:1">
      <c r="A1859" s="126"/>
    </row>
    <row r="1860" spans="1:1">
      <c r="A1860" s="126"/>
    </row>
    <row r="1861" spans="1:1">
      <c r="A1861" s="126"/>
    </row>
    <row r="1862" spans="1:1">
      <c r="A1862" s="126"/>
    </row>
    <row r="1863" spans="1:1">
      <c r="A1863" s="126"/>
    </row>
    <row r="1864" spans="1:1">
      <c r="A1864" s="126"/>
    </row>
    <row r="1865" spans="1:1">
      <c r="A1865" s="126"/>
    </row>
    <row r="1866" spans="1:1">
      <c r="A1866" s="126"/>
    </row>
    <row r="1867" spans="1:1">
      <c r="A1867" s="126"/>
    </row>
    <row r="1868" spans="1:1">
      <c r="A1868" s="126"/>
    </row>
    <row r="1869" spans="1:1">
      <c r="A1869" s="126"/>
    </row>
    <row r="1870" spans="1:1">
      <c r="A1870" s="126"/>
    </row>
    <row r="1871" spans="1:1">
      <c r="A1871" s="126"/>
    </row>
    <row r="1872" spans="1:1">
      <c r="A1872" s="126"/>
    </row>
    <row r="1873" spans="1:1">
      <c r="A1873" s="126"/>
    </row>
    <row r="1874" spans="1:1">
      <c r="A1874" s="126"/>
    </row>
    <row r="1875" spans="1:1">
      <c r="A1875" s="126"/>
    </row>
    <row r="1876" spans="1:1">
      <c r="A1876" s="126"/>
    </row>
    <row r="1877" spans="1:1">
      <c r="A1877" s="126"/>
    </row>
    <row r="1878" spans="1:1">
      <c r="A1878" s="126"/>
    </row>
    <row r="1879" spans="1:1">
      <c r="A1879" s="126"/>
    </row>
    <row r="1880" spans="1:1">
      <c r="A1880" s="126"/>
    </row>
    <row r="1881" spans="1:1">
      <c r="A1881" s="126"/>
    </row>
    <row r="1882" spans="1:1">
      <c r="A1882" s="126"/>
    </row>
    <row r="1883" spans="1:1">
      <c r="A1883" s="126"/>
    </row>
    <row r="1884" spans="1:1">
      <c r="A1884" s="126"/>
    </row>
    <row r="1885" spans="1:1">
      <c r="A1885" s="126"/>
    </row>
    <row r="1886" spans="1:1">
      <c r="A1886" s="126"/>
    </row>
    <row r="1887" spans="1:1">
      <c r="A1887" s="126"/>
    </row>
    <row r="1888" spans="1:1">
      <c r="A1888" s="126"/>
    </row>
    <row r="1889" spans="1:1">
      <c r="A1889" s="126"/>
    </row>
    <row r="1890" spans="1:1">
      <c r="A1890" s="126"/>
    </row>
    <row r="1891" spans="1:1">
      <c r="A1891" s="126"/>
    </row>
    <row r="1892" spans="1:1">
      <c r="A1892" s="126"/>
    </row>
    <row r="1893" spans="1:1">
      <c r="A1893" s="126"/>
    </row>
    <row r="1894" spans="1:1">
      <c r="A1894" s="126"/>
    </row>
    <row r="1895" spans="1:1">
      <c r="A1895" s="126"/>
    </row>
    <row r="1896" spans="1:1">
      <c r="A1896" s="126"/>
    </row>
    <row r="1897" spans="1:1">
      <c r="A1897" s="126"/>
    </row>
    <row r="1898" spans="1:1">
      <c r="A1898" s="126"/>
    </row>
    <row r="1899" spans="1:1">
      <c r="A1899" s="126"/>
    </row>
    <row r="1900" spans="1:1">
      <c r="A1900" s="126"/>
    </row>
    <row r="1901" spans="1:1">
      <c r="A1901" s="126"/>
    </row>
    <row r="1902" spans="1:1">
      <c r="A1902" s="126"/>
    </row>
    <row r="1903" spans="1:1">
      <c r="A1903" s="126"/>
    </row>
    <row r="1904" spans="1:1">
      <c r="A1904" s="126"/>
    </row>
    <row r="1905" spans="1:1">
      <c r="A1905" s="126"/>
    </row>
    <row r="1906" spans="1:1">
      <c r="A1906" s="126"/>
    </row>
    <row r="1907" spans="1:1">
      <c r="A1907" s="126"/>
    </row>
    <row r="1908" spans="1:1">
      <c r="A1908" s="126"/>
    </row>
    <row r="1909" spans="1:1">
      <c r="A1909" s="126"/>
    </row>
    <row r="1910" spans="1:1">
      <c r="A1910" s="126"/>
    </row>
    <row r="1911" spans="1:1">
      <c r="A1911" s="126"/>
    </row>
    <row r="1912" spans="1:1">
      <c r="A1912" s="126"/>
    </row>
    <row r="1913" spans="1:1">
      <c r="A1913" s="126"/>
    </row>
    <row r="1914" spans="1:1">
      <c r="A1914" s="126"/>
    </row>
    <row r="1915" spans="1:1">
      <c r="A1915" s="126"/>
    </row>
    <row r="1916" spans="1:1">
      <c r="A1916" s="126"/>
    </row>
    <row r="1917" spans="1:1">
      <c r="A1917" s="126"/>
    </row>
    <row r="1918" spans="1:1">
      <c r="A1918" s="126"/>
    </row>
    <row r="1919" spans="1:1">
      <c r="A1919" s="126"/>
    </row>
    <row r="1920" spans="1:1">
      <c r="A1920" s="126"/>
    </row>
    <row r="1921" spans="1:1">
      <c r="A1921" s="126"/>
    </row>
    <row r="1922" spans="1:1">
      <c r="A1922" s="126"/>
    </row>
    <row r="1923" spans="1:1">
      <c r="A1923" s="126"/>
    </row>
    <row r="1924" spans="1:1">
      <c r="A1924" s="126"/>
    </row>
    <row r="1925" spans="1:1">
      <c r="A1925" s="126"/>
    </row>
    <row r="1926" spans="1:1">
      <c r="A1926" s="126"/>
    </row>
    <row r="1927" spans="1:1">
      <c r="A1927" s="126"/>
    </row>
    <row r="1928" spans="1:1">
      <c r="A1928" s="126"/>
    </row>
    <row r="1929" spans="1:1">
      <c r="A1929" s="126"/>
    </row>
    <row r="1930" spans="1:1">
      <c r="A1930" s="126"/>
    </row>
    <row r="1931" spans="1:1">
      <c r="A1931" s="126"/>
    </row>
    <row r="1932" spans="1:1">
      <c r="A1932" s="126"/>
    </row>
    <row r="1933" spans="1:1">
      <c r="A1933" s="126"/>
    </row>
    <row r="1934" spans="1:1">
      <c r="A1934" s="126"/>
    </row>
    <row r="1935" spans="1:1">
      <c r="A1935" s="126"/>
    </row>
    <row r="1936" spans="1:1">
      <c r="A1936" s="126"/>
    </row>
    <row r="1937" spans="1:1">
      <c r="A1937" s="126"/>
    </row>
    <row r="1938" spans="1:1">
      <c r="A1938" s="126"/>
    </row>
    <row r="1939" spans="1:1">
      <c r="A1939" s="126"/>
    </row>
    <row r="1940" spans="1:1">
      <c r="A1940" s="126"/>
    </row>
    <row r="1941" spans="1:1">
      <c r="A1941" s="126"/>
    </row>
    <row r="1942" spans="1:1">
      <c r="A1942" s="126"/>
    </row>
    <row r="1943" spans="1:1">
      <c r="A1943" s="126"/>
    </row>
    <row r="1944" spans="1:1">
      <c r="A1944" s="126"/>
    </row>
    <row r="1945" spans="1:1">
      <c r="A1945" s="126"/>
    </row>
    <row r="1946" spans="1:1">
      <c r="A1946" s="126"/>
    </row>
    <row r="1947" spans="1:1">
      <c r="A1947" s="126"/>
    </row>
    <row r="1948" spans="1:1">
      <c r="A1948" s="126"/>
    </row>
    <row r="1949" spans="1:1">
      <c r="A1949" s="126"/>
    </row>
    <row r="1950" spans="1:1">
      <c r="A1950" s="126"/>
    </row>
    <row r="1951" spans="1:1">
      <c r="A1951" s="126"/>
    </row>
    <row r="1952" spans="1:1">
      <c r="A1952" s="126"/>
    </row>
    <row r="1953" spans="1:1">
      <c r="A1953" s="126"/>
    </row>
    <row r="1954" spans="1:1">
      <c r="A1954" s="126"/>
    </row>
    <row r="1955" spans="1:1">
      <c r="A1955" s="126"/>
    </row>
    <row r="1956" spans="1:1">
      <c r="A1956" s="126"/>
    </row>
    <row r="1957" spans="1:1">
      <c r="A1957" s="126"/>
    </row>
    <row r="1958" spans="1:1">
      <c r="A1958" s="126"/>
    </row>
    <row r="1959" spans="1:1">
      <c r="A1959" s="126"/>
    </row>
    <row r="1960" spans="1:1">
      <c r="A1960" s="126"/>
    </row>
    <row r="1961" spans="1:1">
      <c r="A1961" s="126"/>
    </row>
    <row r="1962" spans="1:1">
      <c r="A1962" s="126"/>
    </row>
    <row r="1963" spans="1:1">
      <c r="A1963" s="126"/>
    </row>
    <row r="1964" spans="1:1">
      <c r="A1964" s="126"/>
    </row>
    <row r="1965" spans="1:1">
      <c r="A1965" s="126"/>
    </row>
    <row r="1966" spans="1:1">
      <c r="A1966" s="126"/>
    </row>
    <row r="1967" spans="1:1">
      <c r="A1967" s="126"/>
    </row>
    <row r="1968" spans="1:1">
      <c r="A1968" s="126"/>
    </row>
    <row r="1969" spans="1:1">
      <c r="A1969" s="126"/>
    </row>
    <row r="1970" spans="1:1">
      <c r="A1970" s="126"/>
    </row>
    <row r="1971" spans="1:1">
      <c r="A1971" s="126"/>
    </row>
    <row r="1972" spans="1:1">
      <c r="A1972" s="126"/>
    </row>
    <row r="1973" spans="1:1">
      <c r="A1973" s="126"/>
    </row>
    <row r="1974" spans="1:1">
      <c r="A1974" s="126"/>
    </row>
    <row r="1975" spans="1:1">
      <c r="A1975" s="126"/>
    </row>
    <row r="1976" spans="1:1">
      <c r="A1976" s="126"/>
    </row>
    <row r="1977" spans="1:1">
      <c r="A1977" s="126"/>
    </row>
    <row r="1978" spans="1:1">
      <c r="A1978" s="126"/>
    </row>
    <row r="1979" spans="1:1">
      <c r="A1979" s="126"/>
    </row>
    <row r="1980" spans="1:1">
      <c r="A1980" s="126"/>
    </row>
    <row r="1981" spans="1:1">
      <c r="A1981" s="126"/>
    </row>
    <row r="1982" spans="1:1">
      <c r="A1982" s="126"/>
    </row>
    <row r="1983" spans="1:1">
      <c r="A1983" s="126"/>
    </row>
    <row r="1984" spans="1:1">
      <c r="A1984" s="126"/>
    </row>
    <row r="1985" spans="1:1">
      <c r="A1985" s="126"/>
    </row>
    <row r="1986" spans="1:1">
      <c r="A1986" s="126"/>
    </row>
    <row r="1987" spans="1:1">
      <c r="A1987" s="126"/>
    </row>
    <row r="1988" spans="1:1">
      <c r="A1988" s="126"/>
    </row>
    <row r="1989" spans="1:1">
      <c r="A1989" s="126"/>
    </row>
    <row r="1990" spans="1:1">
      <c r="A1990" s="126"/>
    </row>
    <row r="1991" spans="1:1">
      <c r="A1991" s="126"/>
    </row>
    <row r="1992" spans="1:1">
      <c r="A1992" s="126"/>
    </row>
    <row r="1993" spans="1:1">
      <c r="A1993" s="126"/>
    </row>
    <row r="1994" spans="1:1">
      <c r="A1994" s="126"/>
    </row>
    <row r="1995" spans="1:1">
      <c r="A1995" s="126"/>
    </row>
    <row r="1996" spans="1:1">
      <c r="A1996" s="126"/>
    </row>
    <row r="1997" spans="1:1">
      <c r="A1997" s="126"/>
    </row>
    <row r="1998" spans="1:1">
      <c r="A1998" s="126"/>
    </row>
    <row r="1999" spans="1:1">
      <c r="A1999" s="126"/>
    </row>
    <row r="2000" spans="1:1">
      <c r="A2000" s="126"/>
    </row>
    <row r="2001" spans="1:1">
      <c r="A2001" s="126"/>
    </row>
    <row r="2002" spans="1:1">
      <c r="A2002" s="126"/>
    </row>
    <row r="2003" spans="1:1">
      <c r="A2003" s="126"/>
    </row>
    <row r="2004" spans="1:1">
      <c r="A2004" s="126"/>
    </row>
    <row r="2005" spans="1:1">
      <c r="A2005" s="126"/>
    </row>
    <row r="2006" spans="1:1">
      <c r="A2006" s="126"/>
    </row>
    <row r="2007" spans="1:1">
      <c r="A2007" s="126"/>
    </row>
    <row r="2008" spans="1:1">
      <c r="A2008" s="126"/>
    </row>
    <row r="2009" spans="1:1">
      <c r="A2009" s="126"/>
    </row>
    <row r="2010" spans="1:1">
      <c r="A2010" s="126"/>
    </row>
    <row r="2011" spans="1:1">
      <c r="A2011" s="126"/>
    </row>
    <row r="2012" spans="1:1">
      <c r="A2012" s="126"/>
    </row>
    <row r="2013" spans="1:1">
      <c r="A2013" s="126"/>
    </row>
    <row r="2014" spans="1:1">
      <c r="A2014" s="126"/>
    </row>
    <row r="2015" spans="1:1">
      <c r="A2015" s="126"/>
    </row>
    <row r="2016" spans="1:1">
      <c r="A2016" s="126"/>
    </row>
    <row r="2017" spans="1:1">
      <c r="A2017" s="126"/>
    </row>
    <row r="2018" spans="1:1">
      <c r="A2018" s="126"/>
    </row>
    <row r="2019" spans="1:1">
      <c r="A2019" s="126"/>
    </row>
    <row r="2020" spans="1:1">
      <c r="A2020" s="126"/>
    </row>
    <row r="2021" spans="1:1">
      <c r="A2021" s="126"/>
    </row>
    <row r="2022" spans="1:1">
      <c r="A2022" s="126"/>
    </row>
    <row r="2023" spans="1:1">
      <c r="A2023" s="126"/>
    </row>
    <row r="2024" spans="1:1">
      <c r="A2024" s="126"/>
    </row>
    <row r="2025" spans="1:1">
      <c r="A2025" s="126"/>
    </row>
    <row r="2026" spans="1:1">
      <c r="A2026" s="126"/>
    </row>
    <row r="2027" spans="1:1">
      <c r="A2027" s="126"/>
    </row>
    <row r="2028" spans="1:1">
      <c r="A2028" s="126"/>
    </row>
    <row r="2029" spans="1:1">
      <c r="A2029" s="126"/>
    </row>
    <row r="2030" spans="1:1">
      <c r="A2030" s="126"/>
    </row>
    <row r="2031" spans="1:1">
      <c r="A2031" s="126"/>
    </row>
    <row r="2032" spans="1:1">
      <c r="A2032" s="126"/>
    </row>
    <row r="2033" spans="1:1">
      <c r="A2033" s="126"/>
    </row>
    <row r="2034" spans="1:1">
      <c r="A2034" s="126"/>
    </row>
    <row r="2035" spans="1:1">
      <c r="A2035" s="126"/>
    </row>
    <row r="2036" spans="1:1">
      <c r="A2036" s="126"/>
    </row>
    <row r="2037" spans="1:1">
      <c r="A2037" s="126"/>
    </row>
    <row r="2038" spans="1:1">
      <c r="A2038" s="126"/>
    </row>
    <row r="2039" spans="1:1">
      <c r="A2039" s="126"/>
    </row>
    <row r="2040" spans="1:1">
      <c r="A2040" s="126"/>
    </row>
    <row r="2041" spans="1:1">
      <c r="A2041" s="126"/>
    </row>
    <row r="2042" spans="1:1">
      <c r="A2042" s="126"/>
    </row>
    <row r="2043" spans="1:1">
      <c r="A2043" s="126"/>
    </row>
    <row r="2044" spans="1:1">
      <c r="A2044" s="126"/>
    </row>
    <row r="2045" spans="1:1">
      <c r="A2045" s="126"/>
    </row>
    <row r="2046" spans="1:1">
      <c r="A2046" s="126"/>
    </row>
    <row r="2047" spans="1:1">
      <c r="A2047" s="126"/>
    </row>
    <row r="2048" spans="1:1">
      <c r="A2048" s="126"/>
    </row>
    <row r="2049" spans="1:1">
      <c r="A2049" s="126"/>
    </row>
    <row r="2050" spans="1:1">
      <c r="A2050" s="126"/>
    </row>
    <row r="2051" spans="1:1">
      <c r="A2051" s="126"/>
    </row>
    <row r="2052" spans="1:1">
      <c r="A2052" s="126"/>
    </row>
    <row r="2053" spans="1:1">
      <c r="A2053" s="126"/>
    </row>
    <row r="2054" spans="1:1">
      <c r="A2054" s="126"/>
    </row>
    <row r="2055" spans="1:1">
      <c r="A2055" s="126"/>
    </row>
    <row r="2056" spans="1:1">
      <c r="A2056" s="126"/>
    </row>
    <row r="2057" spans="1:1">
      <c r="A2057" s="126"/>
    </row>
    <row r="2058" spans="1:1">
      <c r="A2058" s="126"/>
    </row>
    <row r="2059" spans="1:1">
      <c r="A2059" s="126"/>
    </row>
    <row r="2060" spans="1:1">
      <c r="A2060" s="126"/>
    </row>
    <row r="2061" spans="1:1">
      <c r="A2061" s="126"/>
    </row>
    <row r="2062" spans="1:1">
      <c r="A2062" s="126"/>
    </row>
    <row r="2063" spans="1:1">
      <c r="A2063" s="126"/>
    </row>
    <row r="2064" spans="1:1">
      <c r="A2064" s="126"/>
    </row>
    <row r="2065" spans="1:1">
      <c r="A2065" s="126"/>
    </row>
    <row r="2066" spans="1:1">
      <c r="A2066" s="126"/>
    </row>
    <row r="2067" spans="1:1">
      <c r="A2067" s="126"/>
    </row>
    <row r="2068" spans="1:1">
      <c r="A2068" s="126"/>
    </row>
    <row r="2069" spans="1:1">
      <c r="A2069" s="126"/>
    </row>
    <row r="2070" spans="1:1">
      <c r="A2070" s="126"/>
    </row>
    <row r="2071" spans="1:1">
      <c r="A2071" s="126"/>
    </row>
    <row r="2072" spans="1:1">
      <c r="A2072" s="126"/>
    </row>
    <row r="2073" spans="1:1">
      <c r="A2073" s="126"/>
    </row>
    <row r="2074" spans="1:1">
      <c r="A2074" s="126"/>
    </row>
    <row r="2075" spans="1:1">
      <c r="A2075" s="126"/>
    </row>
    <row r="2076" spans="1:1">
      <c r="A2076" s="126"/>
    </row>
    <row r="2077" spans="1:1">
      <c r="A2077" s="126"/>
    </row>
    <row r="2078" spans="1:1">
      <c r="A2078" s="126"/>
    </row>
    <row r="2079" spans="1:1">
      <c r="A2079" s="126"/>
    </row>
    <row r="2080" spans="1:1">
      <c r="A2080" s="126"/>
    </row>
    <row r="2081" spans="1:1">
      <c r="A2081" s="126"/>
    </row>
    <row r="2082" spans="1:1">
      <c r="A2082" s="126"/>
    </row>
    <row r="2083" spans="1:1">
      <c r="A2083" s="126"/>
    </row>
    <row r="2084" spans="1:1">
      <c r="A2084" s="126"/>
    </row>
    <row r="2085" spans="1:1">
      <c r="A2085" s="126"/>
    </row>
    <row r="2086" spans="1:1">
      <c r="A2086" s="126"/>
    </row>
    <row r="2087" spans="1:1">
      <c r="A2087" s="126"/>
    </row>
    <row r="2088" spans="1:1">
      <c r="A2088" s="126"/>
    </row>
    <row r="2089" spans="1:1">
      <c r="A2089" s="126"/>
    </row>
    <row r="2090" spans="1:1">
      <c r="A2090" s="126"/>
    </row>
    <row r="2091" spans="1:1">
      <c r="A2091" s="126"/>
    </row>
    <row r="2092" spans="1:1">
      <c r="A2092" s="126"/>
    </row>
    <row r="2093" spans="1:1">
      <c r="A2093" s="126"/>
    </row>
    <row r="2094" spans="1:1">
      <c r="A2094" s="126"/>
    </row>
    <row r="2095" spans="1:1">
      <c r="A2095" s="126"/>
    </row>
    <row r="2096" spans="1:1">
      <c r="A2096" s="126"/>
    </row>
    <row r="2097" spans="1:1">
      <c r="A2097" s="126"/>
    </row>
    <row r="2098" spans="1:1">
      <c r="A2098" s="126"/>
    </row>
    <row r="2099" spans="1:1">
      <c r="A2099" s="126"/>
    </row>
    <row r="2100" spans="1:1">
      <c r="A2100" s="126"/>
    </row>
    <row r="2101" spans="1:1">
      <c r="A2101" s="126"/>
    </row>
    <row r="2102" spans="1:1">
      <c r="A2102" s="126"/>
    </row>
    <row r="2103" spans="1:1">
      <c r="A2103" s="126"/>
    </row>
    <row r="2104" spans="1:1">
      <c r="A2104" s="126"/>
    </row>
    <row r="2105" spans="1:1">
      <c r="A2105" s="126"/>
    </row>
    <row r="2106" spans="1:1">
      <c r="A2106" s="126"/>
    </row>
    <row r="2107" spans="1:1">
      <c r="A2107" s="126"/>
    </row>
    <row r="2108" spans="1:1">
      <c r="A2108" s="126"/>
    </row>
    <row r="2109" spans="1:1">
      <c r="A2109" s="126"/>
    </row>
    <row r="2110" spans="1:1">
      <c r="A2110" s="126"/>
    </row>
    <row r="2111" spans="1:1">
      <c r="A2111" s="126"/>
    </row>
    <row r="2112" spans="1:1">
      <c r="A2112" s="126"/>
    </row>
    <row r="2113" spans="1:1">
      <c r="A2113" s="126"/>
    </row>
    <row r="2114" spans="1:1">
      <c r="A2114" s="126"/>
    </row>
    <row r="2115" spans="1:1">
      <c r="A2115" s="126"/>
    </row>
    <row r="2116" spans="1:1">
      <c r="A2116" s="126"/>
    </row>
    <row r="2117" spans="1:1">
      <c r="A2117" s="126"/>
    </row>
    <row r="2118" spans="1:1">
      <c r="A2118" s="126"/>
    </row>
    <row r="2119" spans="1:1">
      <c r="A2119" s="126"/>
    </row>
    <row r="2120" spans="1:1">
      <c r="A2120" s="126"/>
    </row>
    <row r="2121" spans="1:1">
      <c r="A2121" s="126"/>
    </row>
    <row r="2122" spans="1:1">
      <c r="A2122" s="126"/>
    </row>
    <row r="2123" spans="1:1">
      <c r="A2123" s="126"/>
    </row>
    <row r="2124" spans="1:1">
      <c r="A2124" s="126"/>
    </row>
    <row r="2125" spans="1:1">
      <c r="A2125" s="126"/>
    </row>
    <row r="2126" spans="1:1">
      <c r="A2126" s="126"/>
    </row>
    <row r="2127" spans="1:1">
      <c r="A2127" s="126"/>
    </row>
    <row r="2128" spans="1:1">
      <c r="A2128" s="126"/>
    </row>
    <row r="2129" spans="1:1">
      <c r="A2129" s="126"/>
    </row>
    <row r="2130" spans="1:1">
      <c r="A2130" s="126"/>
    </row>
    <row r="2131" spans="1:1">
      <c r="A2131" s="126"/>
    </row>
    <row r="2132" spans="1:1">
      <c r="A2132" s="126"/>
    </row>
    <row r="2133" spans="1:1">
      <c r="A2133" s="126"/>
    </row>
    <row r="2134" spans="1:1">
      <c r="A2134" s="126"/>
    </row>
    <row r="2135" spans="1:1">
      <c r="A2135" s="126"/>
    </row>
    <row r="2136" spans="1:1">
      <c r="A2136" s="126"/>
    </row>
    <row r="2137" spans="1:1">
      <c r="A2137" s="126"/>
    </row>
    <row r="2138" spans="1:1">
      <c r="A2138" s="126"/>
    </row>
    <row r="2139" spans="1:1">
      <c r="A2139" s="126"/>
    </row>
    <row r="2140" spans="1:1">
      <c r="A2140" s="126"/>
    </row>
    <row r="2141" spans="1:1">
      <c r="A2141" s="126"/>
    </row>
    <row r="2142" spans="1:1">
      <c r="A2142" s="126"/>
    </row>
    <row r="2143" spans="1:1">
      <c r="A2143" s="126"/>
    </row>
    <row r="2144" spans="1:1">
      <c r="A2144" s="126"/>
    </row>
    <row r="2145" spans="1:1">
      <c r="A2145" s="126"/>
    </row>
    <row r="2146" spans="1:1">
      <c r="A2146" s="126"/>
    </row>
    <row r="2147" spans="1:1">
      <c r="A2147" s="126"/>
    </row>
    <row r="2148" spans="1:1">
      <c r="A2148" s="126"/>
    </row>
    <row r="2149" spans="1:1">
      <c r="A2149" s="126"/>
    </row>
    <row r="2150" spans="1:1">
      <c r="A2150" s="126"/>
    </row>
    <row r="2151" spans="1:1">
      <c r="A2151" s="126"/>
    </row>
    <row r="2152" spans="1:1">
      <c r="A2152" s="126"/>
    </row>
    <row r="2153" spans="1:1">
      <c r="A2153" s="126"/>
    </row>
    <row r="2154" spans="1:1">
      <c r="A2154" s="126"/>
    </row>
    <row r="2155" spans="1:1">
      <c r="A2155" s="126"/>
    </row>
    <row r="2156" spans="1:1">
      <c r="A2156" s="126"/>
    </row>
    <row r="2157" spans="1:1">
      <c r="A2157" s="126"/>
    </row>
    <row r="2158" spans="1:1">
      <c r="A2158" s="126"/>
    </row>
    <row r="2159" spans="1:1">
      <c r="A2159" s="126"/>
    </row>
    <row r="2160" spans="1:1">
      <c r="A2160" s="126"/>
    </row>
    <row r="2161" spans="1:1">
      <c r="A2161" s="126"/>
    </row>
    <row r="2162" spans="1:1">
      <c r="A2162" s="126"/>
    </row>
    <row r="2163" spans="1:1">
      <c r="A2163" s="126"/>
    </row>
    <row r="2164" spans="1:1">
      <c r="A2164" s="126"/>
    </row>
    <row r="2165" spans="1:1">
      <c r="A2165" s="126"/>
    </row>
    <row r="2166" spans="1:1">
      <c r="A2166" s="126"/>
    </row>
    <row r="2167" spans="1:1">
      <c r="A2167" s="126"/>
    </row>
    <row r="2168" spans="1:1">
      <c r="A2168" s="126"/>
    </row>
    <row r="2169" spans="1:1">
      <c r="A2169" s="126"/>
    </row>
    <row r="2170" spans="1:1">
      <c r="A2170" s="126"/>
    </row>
    <row r="2171" spans="1:1">
      <c r="A2171" s="126"/>
    </row>
    <row r="2172" spans="1:1">
      <c r="A2172" s="126"/>
    </row>
    <row r="2173" spans="1:1">
      <c r="A2173" s="126"/>
    </row>
    <row r="2174" spans="1:1">
      <c r="A2174" s="126"/>
    </row>
    <row r="2175" spans="1:1">
      <c r="A2175" s="126"/>
    </row>
    <row r="2176" spans="1:1">
      <c r="A2176" s="126"/>
    </row>
    <row r="2177" spans="1:1">
      <c r="A2177" s="126"/>
    </row>
    <row r="2178" spans="1:1">
      <c r="A2178" s="126"/>
    </row>
    <row r="2179" spans="1:1">
      <c r="A2179" s="126"/>
    </row>
    <row r="2180" spans="1:1">
      <c r="A2180" s="126"/>
    </row>
    <row r="2181" spans="1:1">
      <c r="A2181" s="126"/>
    </row>
    <row r="2182" spans="1:1">
      <c r="A2182" s="126"/>
    </row>
    <row r="2183" spans="1:1">
      <c r="A2183" s="126"/>
    </row>
    <row r="2184" spans="1:1">
      <c r="A2184" s="126"/>
    </row>
    <row r="2185" spans="1:1">
      <c r="A2185" s="126"/>
    </row>
    <row r="2186" spans="1:1">
      <c r="A2186" s="126"/>
    </row>
    <row r="2187" spans="1:1">
      <c r="A2187" s="126"/>
    </row>
    <row r="2188" spans="1:1">
      <c r="A2188" s="126"/>
    </row>
    <row r="2189" spans="1:1">
      <c r="A2189" s="126"/>
    </row>
    <row r="2190" spans="1:1">
      <c r="A2190" s="126"/>
    </row>
    <row r="2191" spans="1:1">
      <c r="A2191" s="126"/>
    </row>
    <row r="2192" spans="1:1">
      <c r="A2192" s="126"/>
    </row>
    <row r="2193" spans="1:1">
      <c r="A2193" s="126"/>
    </row>
    <row r="2194" spans="1:1">
      <c r="A2194" s="126"/>
    </row>
    <row r="2195" spans="1:1">
      <c r="A2195" s="126"/>
    </row>
    <row r="2196" spans="1:1">
      <c r="A2196" s="126"/>
    </row>
    <row r="2197" spans="1:1">
      <c r="A2197" s="126"/>
    </row>
    <row r="2198" spans="1:1">
      <c r="A2198" s="126"/>
    </row>
    <row r="2199" spans="1:1">
      <c r="A2199" s="126"/>
    </row>
    <row r="2200" spans="1:1">
      <c r="A2200" s="126"/>
    </row>
    <row r="2201" spans="1:1">
      <c r="A2201" s="126"/>
    </row>
    <row r="2202" spans="1:1">
      <c r="A2202" s="126"/>
    </row>
    <row r="2203" spans="1:1">
      <c r="A2203" s="126"/>
    </row>
  </sheetData>
  <mergeCells count="39">
    <mergeCell ref="B39:F40"/>
    <mergeCell ref="B44:F45"/>
    <mergeCell ref="B49:F50"/>
    <mergeCell ref="C18:E18"/>
    <mergeCell ref="C19:E19"/>
    <mergeCell ref="C20:E20"/>
    <mergeCell ref="C21:E21"/>
    <mergeCell ref="C22:E22"/>
    <mergeCell ref="C23:E23"/>
    <mergeCell ref="X5:Y5"/>
    <mergeCell ref="T5:U5"/>
    <mergeCell ref="V5:W5"/>
    <mergeCell ref="Z5:AB5"/>
    <mergeCell ref="C14:E14"/>
    <mergeCell ref="C9:E9"/>
    <mergeCell ref="C10:E10"/>
    <mergeCell ref="C11:E11"/>
    <mergeCell ref="C12:E12"/>
    <mergeCell ref="C13:E13"/>
    <mergeCell ref="T43:U43"/>
    <mergeCell ref="V43:W43"/>
    <mergeCell ref="X43:Y43"/>
    <mergeCell ref="Z43:AB43"/>
    <mergeCell ref="AE43:AF43"/>
    <mergeCell ref="AW43:AY43"/>
    <mergeCell ref="BD5:BE5"/>
    <mergeCell ref="BF5:BG5"/>
    <mergeCell ref="AD5:AE5"/>
    <mergeCell ref="AF5:AG5"/>
    <mergeCell ref="AH5:AI5"/>
    <mergeCell ref="AQ5:AR5"/>
    <mergeCell ref="AS5:AT5"/>
    <mergeCell ref="AU5:AV5"/>
    <mergeCell ref="AW5:AY5"/>
    <mergeCell ref="BB5:BC5"/>
    <mergeCell ref="BB43:BC43"/>
    <mergeCell ref="AQ43:AR43"/>
    <mergeCell ref="AS43:AT43"/>
    <mergeCell ref="AU43:AV4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60172-A3DC-49AC-AA51-8648CEE7D655}">
  <dimension ref="A1:H91"/>
  <sheetViews>
    <sheetView topLeftCell="A91" zoomScale="93" zoomScaleNormal="93" workbookViewId="0">
      <selection activeCell="B24" sqref="B24"/>
    </sheetView>
  </sheetViews>
  <sheetFormatPr defaultColWidth="8.85546875" defaultRowHeight="15.75"/>
  <cols>
    <col min="1" max="1" width="2.5703125" style="291" customWidth="1"/>
    <col min="2" max="2" width="17.85546875" style="291" customWidth="1"/>
    <col min="3" max="3" width="16.5703125" style="291" customWidth="1"/>
    <col min="4" max="4" width="29.42578125" style="291" customWidth="1"/>
    <col min="5" max="5" width="29.140625" style="291" customWidth="1"/>
    <col min="6" max="6" width="22.5703125" style="291" customWidth="1"/>
    <col min="7" max="7" width="28.85546875" style="291" customWidth="1"/>
    <col min="8" max="8" width="20.5703125" style="291" customWidth="1"/>
    <col min="9" max="16384" width="8.85546875" style="21"/>
  </cols>
  <sheetData>
    <row r="1" spans="1:7">
      <c r="A1" s="292" t="s">
        <v>388</v>
      </c>
      <c r="C1" s="292"/>
    </row>
    <row r="2" spans="1:7" ht="18.600000000000001" customHeight="1">
      <c r="A2" s="292"/>
    </row>
    <row r="3" spans="1:7">
      <c r="A3" s="292"/>
      <c r="B3" s="291" t="s">
        <v>387</v>
      </c>
      <c r="C3" s="291" t="s">
        <v>386</v>
      </c>
    </row>
    <row r="5" spans="1:7" ht="17.45" customHeight="1">
      <c r="C5" s="291" t="s">
        <v>385</v>
      </c>
    </row>
    <row r="7" spans="1:7">
      <c r="C7" s="298" t="s">
        <v>384</v>
      </c>
    </row>
    <row r="8" spans="1:7" ht="43.7" customHeight="1">
      <c r="C8" s="492" t="s">
        <v>383</v>
      </c>
      <c r="D8" s="493"/>
      <c r="E8" s="475" t="s">
        <v>382</v>
      </c>
      <c r="F8" s="475"/>
      <c r="G8" s="475"/>
    </row>
    <row r="9" spans="1:7" ht="18.600000000000001" customHeight="1">
      <c r="C9" s="304" t="s">
        <v>381</v>
      </c>
      <c r="D9" s="303"/>
      <c r="E9" s="482" t="s">
        <v>334</v>
      </c>
      <c r="F9" s="483"/>
      <c r="G9" s="484"/>
    </row>
    <row r="10" spans="1:7">
      <c r="C10" s="492" t="s">
        <v>380</v>
      </c>
      <c r="D10" s="493"/>
      <c r="E10" s="304">
        <v>65</v>
      </c>
      <c r="F10" s="310"/>
      <c r="G10" s="309"/>
    </row>
    <row r="11" spans="1:7">
      <c r="C11" s="492" t="s">
        <v>379</v>
      </c>
      <c r="D11" s="493"/>
      <c r="E11" s="304">
        <v>55</v>
      </c>
      <c r="F11" s="310"/>
      <c r="G11" s="309"/>
    </row>
    <row r="12" spans="1:7">
      <c r="C12" s="492" t="s">
        <v>378</v>
      </c>
      <c r="D12" s="493"/>
      <c r="E12" s="311" t="s">
        <v>377</v>
      </c>
      <c r="F12" s="310"/>
      <c r="G12" s="309"/>
    </row>
    <row r="13" spans="1:7">
      <c r="C13" s="500" t="s">
        <v>376</v>
      </c>
      <c r="D13" s="501"/>
      <c r="E13" s="476" t="s">
        <v>375</v>
      </c>
      <c r="F13" s="477"/>
      <c r="G13" s="478"/>
    </row>
    <row r="14" spans="1:7" ht="23.1" customHeight="1">
      <c r="C14" s="502"/>
      <c r="D14" s="503"/>
      <c r="E14" s="479" t="s">
        <v>374</v>
      </c>
      <c r="F14" s="480"/>
      <c r="G14" s="481"/>
    </row>
    <row r="15" spans="1:7">
      <c r="C15" s="492" t="s">
        <v>373</v>
      </c>
      <c r="D15" s="493"/>
      <c r="E15" s="311" t="s">
        <v>2</v>
      </c>
      <c r="F15" s="310"/>
      <c r="G15" s="309"/>
    </row>
    <row r="17" spans="3:6">
      <c r="C17" s="298" t="s">
        <v>372</v>
      </c>
      <c r="E17" s="308"/>
      <c r="F17" s="307"/>
    </row>
    <row r="18" spans="3:6">
      <c r="C18" s="486"/>
      <c r="D18" s="486"/>
      <c r="E18" s="487"/>
      <c r="F18" s="487"/>
    </row>
    <row r="19" spans="3:6">
      <c r="C19" s="485" t="s">
        <v>371</v>
      </c>
      <c r="D19" s="485"/>
      <c r="E19" s="485"/>
      <c r="F19" s="485"/>
    </row>
    <row r="20" spans="3:6">
      <c r="C20" s="488" t="s">
        <v>370</v>
      </c>
      <c r="D20" s="488"/>
      <c r="E20" s="491" t="s">
        <v>369</v>
      </c>
      <c r="F20" s="490"/>
    </row>
    <row r="21" spans="3:6">
      <c r="C21" s="488" t="s">
        <v>368</v>
      </c>
      <c r="D21" s="488"/>
      <c r="E21" s="489" t="s">
        <v>367</v>
      </c>
      <c r="F21" s="490"/>
    </row>
    <row r="22" spans="3:6">
      <c r="C22" s="485" t="s">
        <v>144</v>
      </c>
      <c r="D22" s="485"/>
      <c r="E22" s="485"/>
      <c r="F22" s="485"/>
    </row>
    <row r="23" spans="3:6">
      <c r="C23" s="488" t="s">
        <v>366</v>
      </c>
      <c r="D23" s="488"/>
      <c r="E23" s="487" t="s">
        <v>365</v>
      </c>
      <c r="F23" s="487"/>
    </row>
    <row r="24" spans="3:6">
      <c r="C24" s="488"/>
      <c r="D24" s="488"/>
      <c r="E24" s="487"/>
      <c r="F24" s="487"/>
    </row>
    <row r="25" spans="3:6">
      <c r="C25" s="485" t="s">
        <v>148</v>
      </c>
      <c r="D25" s="485"/>
      <c r="E25" s="485"/>
      <c r="F25" s="485"/>
    </row>
    <row r="26" spans="3:6">
      <c r="C26" s="488" t="s">
        <v>364</v>
      </c>
      <c r="D26" s="488"/>
      <c r="E26" s="487">
        <v>0.05</v>
      </c>
      <c r="F26" s="487"/>
    </row>
    <row r="27" spans="3:6">
      <c r="C27" s="488"/>
      <c r="D27" s="488"/>
      <c r="E27" s="487"/>
      <c r="F27" s="487"/>
    </row>
    <row r="28" spans="3:6">
      <c r="C28" s="488" t="s">
        <v>363</v>
      </c>
      <c r="D28" s="488"/>
      <c r="E28" s="504">
        <v>50000</v>
      </c>
      <c r="F28" s="504"/>
    </row>
    <row r="31" spans="3:6">
      <c r="C31" s="298" t="s">
        <v>362</v>
      </c>
    </row>
    <row r="32" spans="3:6">
      <c r="C32" s="304"/>
      <c r="D32" s="303"/>
      <c r="E32" s="306" t="s">
        <v>304</v>
      </c>
      <c r="F32" s="306" t="s">
        <v>303</v>
      </c>
    </row>
    <row r="33" spans="3:6">
      <c r="C33" s="492" t="s">
        <v>361</v>
      </c>
      <c r="D33" s="493"/>
      <c r="E33" s="302">
        <v>50</v>
      </c>
      <c r="F33" s="302">
        <v>58</v>
      </c>
    </row>
    <row r="34" spans="3:6">
      <c r="C34" s="304" t="s">
        <v>360</v>
      </c>
      <c r="D34" s="303"/>
      <c r="E34" s="305">
        <v>56000</v>
      </c>
      <c r="F34" s="305">
        <v>94000</v>
      </c>
    </row>
    <row r="35" spans="3:6">
      <c r="C35" s="304" t="s">
        <v>359</v>
      </c>
      <c r="D35" s="303"/>
      <c r="E35" s="305">
        <v>58000</v>
      </c>
      <c r="F35" s="305">
        <v>97000</v>
      </c>
    </row>
    <row r="36" spans="3:6">
      <c r="C36" s="304" t="s">
        <v>358</v>
      </c>
      <c r="D36" s="303"/>
      <c r="E36" s="305">
        <v>60000</v>
      </c>
      <c r="F36" s="305">
        <v>100000</v>
      </c>
    </row>
    <row r="37" spans="3:6">
      <c r="C37" s="492" t="s">
        <v>357</v>
      </c>
      <c r="D37" s="493"/>
      <c r="E37" s="302">
        <v>3</v>
      </c>
      <c r="F37" s="302">
        <v>11</v>
      </c>
    </row>
    <row r="39" spans="3:6">
      <c r="C39" s="298" t="s">
        <v>356</v>
      </c>
      <c r="F39" s="301"/>
    </row>
    <row r="40" spans="3:6">
      <c r="C40" s="291" t="s">
        <v>355</v>
      </c>
      <c r="E40" s="300">
        <v>200000</v>
      </c>
    </row>
    <row r="41" spans="3:6">
      <c r="E41" s="299"/>
    </row>
    <row r="42" spans="3:6">
      <c r="C42" s="291" t="s">
        <v>354</v>
      </c>
      <c r="E42" s="300">
        <v>66667</v>
      </c>
    </row>
    <row r="43" spans="3:6">
      <c r="E43" s="299"/>
    </row>
    <row r="44" spans="3:6">
      <c r="E44" s="299"/>
    </row>
    <row r="45" spans="3:6">
      <c r="E45" s="299"/>
    </row>
    <row r="46" spans="3:6">
      <c r="C46" s="298" t="s">
        <v>353</v>
      </c>
    </row>
    <row r="47" spans="3:6">
      <c r="C47" s="297" t="s">
        <v>350</v>
      </c>
      <c r="D47" s="297" t="s">
        <v>351</v>
      </c>
      <c r="E47" s="297" t="s">
        <v>350</v>
      </c>
      <c r="F47" s="297" t="s">
        <v>349</v>
      </c>
    </row>
    <row r="48" spans="3:6">
      <c r="C48" s="296">
        <v>0</v>
      </c>
      <c r="D48" s="295" t="e">
        <f ca="1">_xll.fxAct_ax($E$33,$E$33+C48,$E$26,_xll.fxAct_MortalityAdvanced(0,"CPM-2014M",0,1,TRUE,"CPM-B2D(M)",1,FALSE,0,2014,2024,999),"1124",,,,_xll.fxAct_MortalityAdvanced(2,"ZERO",0,1,FALSE,"ZERO",1,TRUE,0,0,0))</f>
        <v>#NAME?</v>
      </c>
      <c r="E48" s="296">
        <v>0</v>
      </c>
      <c r="F48" s="295" t="e">
        <f ca="1">_xll.fxAct_ax($F$33,$F$33+E48,$E$26,_xll.fxAct_MortalityAdvanced(0,"CPM-2014M",0,1,TRUE,"CPM-B2D(M)",1,FALSE,0,2014,2024,999),"1124",,,,_xll.fxAct_MortalityAdvanced(2,"ZERO",0,1,FALSE,"ZERO",1,TRUE,0,0,0))</f>
        <v>#NAME?</v>
      </c>
    </row>
    <row r="49" spans="3:6">
      <c r="C49" s="296">
        <v>1</v>
      </c>
      <c r="D49" s="295" t="e">
        <f ca="1">_xll.fxAct_ax($E$33,$E$33+C49,$E$26,_xll.fxAct_MortalityAdvanced(0,"CPM-2014M",0,1,TRUE,"CPM-B2D(M)",1,FALSE,0,2014,2024,999),"1124",,,,_xll.fxAct_MortalityAdvanced(2,"ZERO",0,1,FALSE,"ZERO",1,TRUE,0,0,0))</f>
        <v>#NAME?</v>
      </c>
      <c r="E49" s="296">
        <v>1</v>
      </c>
      <c r="F49" s="295" t="e">
        <f ca="1">_xll.fxAct_ax($F$33,$F$33+E49,$E$26,_xll.fxAct_MortalityAdvanced(0,"CPM-2014M",0,1,TRUE,"CPM-B2D(M)",1,FALSE,0,2014,2024,999),"1124",,,,_xll.fxAct_MortalityAdvanced(2,"ZERO",0,1,FALSE,"ZERO",1,TRUE,0,0,0))</f>
        <v>#NAME?</v>
      </c>
    </row>
    <row r="50" spans="3:6">
      <c r="C50" s="296">
        <v>2</v>
      </c>
      <c r="D50" s="295" t="e">
        <f ca="1">_xll.fxAct_ax($E$33,$E$33+C50,$E$26,_xll.fxAct_MortalityAdvanced(0,"CPM-2014M",0,1,TRUE,"CPM-B2D(M)",1,FALSE,0,2014,2024,999),"1124",,,,_xll.fxAct_MortalityAdvanced(2,"ZERO",0,1,FALSE,"ZERO",1,TRUE,0,0,0))</f>
        <v>#NAME?</v>
      </c>
      <c r="E50" s="296">
        <v>2</v>
      </c>
      <c r="F50" s="295" t="e">
        <f ca="1">_xll.fxAct_ax($F$33,$F$33+E50,$E$26,_xll.fxAct_MortalityAdvanced(0,"CPM-2014M",0,1,TRUE,"CPM-B2D(M)",1,FALSE,0,2014,2024,999),"1124",,,,_xll.fxAct_MortalityAdvanced(2,"ZERO",0,1,FALSE,"ZERO",1,TRUE,0,0,0))</f>
        <v>#NAME?</v>
      </c>
    </row>
    <row r="51" spans="3:6">
      <c r="C51" s="296">
        <v>3</v>
      </c>
      <c r="D51" s="295" t="e">
        <f ca="1">_xll.fxAct_ax($E$33,$E$33+C51,$E$26,_xll.fxAct_MortalityAdvanced(0,"CPM-2014M",0,1,TRUE,"CPM-B2D(M)",1,FALSE,0,2014,2024,999),"1124",,,,_xll.fxAct_MortalityAdvanced(2,"ZERO",0,1,FALSE,"ZERO",1,TRUE,0,0,0))</f>
        <v>#NAME?</v>
      </c>
      <c r="E51" s="296">
        <v>3</v>
      </c>
      <c r="F51" s="295" t="e">
        <f ca="1">_xll.fxAct_ax($F$33,$F$33+E51,$E$26,_xll.fxAct_MortalityAdvanced(0,"CPM-2014M",0,1,TRUE,"CPM-B2D(M)",1,FALSE,0,2014,2024,999),"1124",,,,_xll.fxAct_MortalityAdvanced(2,"ZERO",0,1,FALSE,"ZERO",1,TRUE,0,0,0))</f>
        <v>#NAME?</v>
      </c>
    </row>
    <row r="52" spans="3:6">
      <c r="C52" s="296">
        <v>4</v>
      </c>
      <c r="D52" s="295" t="e">
        <f ca="1">_xll.fxAct_ax($E$33,$E$33+C52,$E$26,_xll.fxAct_MortalityAdvanced(0,"CPM-2014M",0,1,TRUE,"CPM-B2D(M)",1,FALSE,0,2014,2024,999),"1124",,,,_xll.fxAct_MortalityAdvanced(2,"ZERO",0,1,FALSE,"ZERO",1,TRUE,0,0,0))</f>
        <v>#NAME?</v>
      </c>
      <c r="E52" s="296">
        <v>4</v>
      </c>
      <c r="F52" s="295" t="e">
        <f ca="1">_xll.fxAct_ax($F$33,$F$33+E52,$E$26,_xll.fxAct_MortalityAdvanced(0,"CPM-2014M",0,1,TRUE,"CPM-B2D(M)",1,FALSE,0,2014,2024,999),"1124",,,,_xll.fxAct_MortalityAdvanced(2,"ZERO",0,1,FALSE,"ZERO",1,TRUE,0,0,0))</f>
        <v>#NAME?</v>
      </c>
    </row>
    <row r="53" spans="3:6">
      <c r="C53" s="296">
        <f t="shared" ref="C53:C63" si="0">C52+1</f>
        <v>5</v>
      </c>
      <c r="D53" s="295" t="e">
        <f ca="1">_xll.fxAct_ax($E$33,$E$33+C53,$E$26,_xll.fxAct_MortalityAdvanced(0,"CPM-2014M",0,1,TRUE,"CPM-B2D(M)",1,FALSE,0,2014,2024,999),"1124",,,,_xll.fxAct_MortalityAdvanced(2,"ZERO",0,1,FALSE,"ZERO",1,TRUE,0,0,0))</f>
        <v>#NAME?</v>
      </c>
      <c r="E53" s="296">
        <f>E52+1</f>
        <v>5</v>
      </c>
      <c r="F53" s="295" t="e">
        <f ca="1">_xll.fxAct_ax($F$33,$F$33+E53,$E$26,_xll.fxAct_MortalityAdvanced(0,"CPM-2014M",0,1,TRUE,"CPM-B2D(M)",1,FALSE,0,2014,2024,999),"1124",,,,_xll.fxAct_MortalityAdvanced(2,"ZERO",0,1,FALSE,"ZERO",1,TRUE,0,0,0))</f>
        <v>#NAME?</v>
      </c>
    </row>
    <row r="54" spans="3:6">
      <c r="C54" s="296">
        <f t="shared" si="0"/>
        <v>6</v>
      </c>
      <c r="D54" s="295" t="e">
        <f ca="1">_xll.fxAct_ax($E$33,$E$33+C54,$E$26,_xll.fxAct_MortalityAdvanced(0,"CPM-2014M",0,1,TRUE,"CPM-B2D(M)",1,FALSE,0,2014,2024,999),"1124",,,,_xll.fxAct_MortalityAdvanced(2,"ZERO",0,1,FALSE,"ZERO",1,TRUE,0,0,0))</f>
        <v>#NAME?</v>
      </c>
      <c r="E54" s="296">
        <f>E53+1</f>
        <v>6</v>
      </c>
      <c r="F54" s="295" t="e">
        <f ca="1">_xll.fxAct_ax($F$33,$F$33+E54,$E$26,_xll.fxAct_MortalityAdvanced(0,"CPM-2014M",0,1,TRUE,"CPM-B2D(M)",1,FALSE,0,2014,2024,999),"1124",,,,_xll.fxAct_MortalityAdvanced(2,"ZERO",0,1,FALSE,"ZERO",1,TRUE,0,0,0))</f>
        <v>#NAME?</v>
      </c>
    </row>
    <row r="55" spans="3:6">
      <c r="C55" s="296">
        <f t="shared" si="0"/>
        <v>7</v>
      </c>
      <c r="D55" s="295" t="e">
        <f ca="1">_xll.fxAct_ax($E$33,$E$33+C55,$E$26,_xll.fxAct_MortalityAdvanced(0,"CPM-2014M",0,1,TRUE,"CPM-B2D(M)",1,FALSE,0,2014,2024,999),"1124",,,,_xll.fxAct_MortalityAdvanced(2,"ZERO",0,1,FALSE,"ZERO",1,TRUE,0,0,0))</f>
        <v>#NAME?</v>
      </c>
      <c r="E55" s="296">
        <f>E54+1</f>
        <v>7</v>
      </c>
      <c r="F55" s="295" t="e">
        <f ca="1">_xll.fxAct_ax($F$33,$F$33+E55,$E$26,_xll.fxAct_MortalityAdvanced(0,"CPM-2014M",0,1,TRUE,"CPM-B2D(M)",1,FALSE,0,2014,2024,999),"1124",,,,_xll.fxAct_MortalityAdvanced(2,"ZERO",0,1,FALSE,"ZERO",1,TRUE,0,0,0))</f>
        <v>#NAME?</v>
      </c>
    </row>
    <row r="56" spans="3:6">
      <c r="C56" s="296">
        <f t="shared" si="0"/>
        <v>8</v>
      </c>
      <c r="D56" s="295" t="e">
        <f ca="1">_xll.fxAct_ax($E$33,$E$33+C56,$E$26,_xll.fxAct_MortalityAdvanced(0,"CPM-2014M",0,1,TRUE,"CPM-B2D(M)",1,FALSE,0,2014,2024,999),"1124",,,,_xll.fxAct_MortalityAdvanced(2,"ZERO",0,1,FALSE,"ZERO",1,TRUE,0,0,0))</f>
        <v>#NAME?</v>
      </c>
    </row>
    <row r="57" spans="3:6">
      <c r="C57" s="296">
        <f t="shared" si="0"/>
        <v>9</v>
      </c>
      <c r="D57" s="295" t="e">
        <f ca="1">_xll.fxAct_ax($E$33,$E$33+C57,$E$26,_xll.fxAct_MortalityAdvanced(0,"CPM-2014M",0,1,TRUE,"CPM-B2D(M)",1,FALSE,0,2014,2024,999),"1124",,,,_xll.fxAct_MortalityAdvanced(2,"ZERO",0,1,FALSE,"ZERO",1,TRUE,0,0,0))</f>
        <v>#NAME?</v>
      </c>
    </row>
    <row r="58" spans="3:6">
      <c r="C58" s="296">
        <f t="shared" si="0"/>
        <v>10</v>
      </c>
      <c r="D58" s="295" t="e">
        <f ca="1">_xll.fxAct_ax($E$33,$E$33+C58,$E$26,_xll.fxAct_MortalityAdvanced(0,"CPM-2014M",0,1,TRUE,"CPM-B2D(M)",1,FALSE,0,2014,2024,999),"1124",,,,_xll.fxAct_MortalityAdvanced(2,"ZERO",0,1,FALSE,"ZERO",1,TRUE,0,0,0))</f>
        <v>#NAME?</v>
      </c>
    </row>
    <row r="59" spans="3:6">
      <c r="C59" s="296">
        <f t="shared" si="0"/>
        <v>11</v>
      </c>
      <c r="D59" s="295" t="e">
        <f ca="1">_xll.fxAct_ax($E$33,$E$33+C59,$E$26,_xll.fxAct_MortalityAdvanced(0,"CPM-2014M",0,1,TRUE,"CPM-B2D(M)",1,FALSE,0,2014,2024,999),"1124",,,,_xll.fxAct_MortalityAdvanced(2,"ZERO",0,1,FALSE,"ZERO",1,TRUE,0,0,0))</f>
        <v>#NAME?</v>
      </c>
    </row>
    <row r="60" spans="3:6">
      <c r="C60" s="296">
        <f t="shared" si="0"/>
        <v>12</v>
      </c>
      <c r="D60" s="295" t="e">
        <f ca="1">_xll.fxAct_ax($E$33,$E$33+C60,$E$26,_xll.fxAct_MortalityAdvanced(0,"CPM-2014M",0,1,TRUE,"CPM-B2D(M)",1,FALSE,0,2014,2024,999),"1124",,,,_xll.fxAct_MortalityAdvanced(2,"ZERO",0,1,FALSE,"ZERO",1,TRUE,0,0,0))</f>
        <v>#NAME?</v>
      </c>
    </row>
    <row r="61" spans="3:6">
      <c r="C61" s="296">
        <f t="shared" si="0"/>
        <v>13</v>
      </c>
      <c r="D61" s="295" t="e">
        <f ca="1">_xll.fxAct_ax($E$33,$E$33+C61,$E$26,_xll.fxAct_MortalityAdvanced(0,"CPM-2014M",0,1,TRUE,"CPM-B2D(M)",1,FALSE,0,2014,2024,999),"1124",,,,_xll.fxAct_MortalityAdvanced(2,"ZERO",0,1,FALSE,"ZERO",1,TRUE,0,0,0))</f>
        <v>#NAME?</v>
      </c>
    </row>
    <row r="62" spans="3:6">
      <c r="C62" s="296">
        <f t="shared" si="0"/>
        <v>14</v>
      </c>
      <c r="D62" s="295" t="e">
        <f ca="1">_xll.fxAct_ax($E$33,$E$33+C62,$E$26,_xll.fxAct_MortalityAdvanced(0,"CPM-2014M",0,1,TRUE,"CPM-B2D(M)",1,FALSE,0,2014,2024,999),"1124",,,,_xll.fxAct_MortalityAdvanced(2,"ZERO",0,1,FALSE,"ZERO",1,TRUE,0,0,0))</f>
        <v>#NAME?</v>
      </c>
    </row>
    <row r="63" spans="3:6">
      <c r="C63" s="296">
        <f t="shared" si="0"/>
        <v>15</v>
      </c>
      <c r="D63" s="295" t="e">
        <f ca="1">_xll.fxAct_ax($E$33,$E$33+C63,$E$26,_xll.fxAct_MortalityAdvanced(0,"CPM-2014M",0,1,TRUE,"CPM-B2D(M)",1,FALSE,0,2014,2024,999),"1124",,,,_xll.fxAct_MortalityAdvanced(2,"ZERO",0,1,FALSE,"ZERO",1,TRUE,0,0,0))</f>
        <v>#NAME?</v>
      </c>
    </row>
    <row r="65" spans="3:6">
      <c r="C65" s="298" t="s">
        <v>352</v>
      </c>
    </row>
    <row r="66" spans="3:6">
      <c r="C66" s="297" t="s">
        <v>350</v>
      </c>
      <c r="D66" s="297" t="s">
        <v>351</v>
      </c>
      <c r="E66" s="297" t="s">
        <v>350</v>
      </c>
      <c r="F66" s="297" t="s">
        <v>349</v>
      </c>
    </row>
    <row r="67" spans="3:6">
      <c r="C67" s="296">
        <v>0</v>
      </c>
      <c r="D67" s="295" t="e">
        <f ca="1">_xll.fxAct_ax($E$33,$E$33+C67,_xll.fxAct_InterestSelectCurrent(4.5%,1,10,4%),_xll.fxAct_MortalityAdvanced(0,"CPM-2014M",0,1,TRUE,"CPM-B2D(M)",1,FALSE,0,2014,2024,999),"1124",,,,_xll.fxAct_MortalityAdvanced(2,"ZERO",0,1,FALSE,"ZERO",1,TRUE,0,0,0))</f>
        <v>#NAME?</v>
      </c>
      <c r="E67" s="296">
        <v>0</v>
      </c>
      <c r="F67" s="295" t="e">
        <f ca="1">_xll.fxAct_ax($F$33,$F$33+E67,_xll.fxAct_InterestSelectCurrent(4.5%,1,10,4%),_xll.fxAct_MortalityAdvanced(0,"CPM-2014M",0,1,TRUE,"CPM-B2D(M)",1,FALSE,0,2014,2024,999),"1124",,,,_xll.fxAct_MortalityAdvanced(2,"ZERO",0,1,FALSE,"ZERO",1,TRUE,0,0,0))</f>
        <v>#NAME?</v>
      </c>
    </row>
    <row r="68" spans="3:6">
      <c r="C68" s="296">
        <v>1</v>
      </c>
      <c r="D68" s="295" t="e">
        <f ca="1">_xll.fxAct_ax($E$33,$E$33+C68,_xll.fxAct_InterestSelectCurrent(4.5%,1,10,4%),_xll.fxAct_MortalityAdvanced(0,"CPM-2014M",0,1,TRUE,"CPM-B2D(M)",1,FALSE,0,2014,2024,999),"1124",,,,_xll.fxAct_MortalityAdvanced(2,"ZERO",0,1,FALSE,"ZERO",1,TRUE,0,0,0))</f>
        <v>#NAME?</v>
      </c>
      <c r="E68" s="296">
        <v>1</v>
      </c>
      <c r="F68" s="295" t="e">
        <f ca="1">_xll.fxAct_ax($F$33,$F$33+E68,_xll.fxAct_InterestSelectCurrent(4.5%,1,10,4%),_xll.fxAct_MortalityAdvanced(0,"CPM-2014M",0,1,TRUE,"CPM-B2D(M)",1,FALSE,0,2014,2024,999),"1124",,,,_xll.fxAct_MortalityAdvanced(2,"ZERO",0,1,FALSE,"ZERO",1,TRUE,0,0,0))</f>
        <v>#NAME?</v>
      </c>
    </row>
    <row r="69" spans="3:6">
      <c r="C69" s="296">
        <v>2</v>
      </c>
      <c r="D69" s="295" t="e">
        <f ca="1">_xll.fxAct_ax($E$33,$E$33+C69,_xll.fxAct_InterestSelectCurrent(4.5%,1,10,4%),_xll.fxAct_MortalityAdvanced(0,"CPM-2014M",0,1,TRUE,"CPM-B2D(M)",1,FALSE,0,2014,2024,999),"1124",,,,_xll.fxAct_MortalityAdvanced(2,"ZERO",0,1,FALSE,"ZERO",1,TRUE,0,0,0))</f>
        <v>#NAME?</v>
      </c>
      <c r="E69" s="296">
        <v>2</v>
      </c>
      <c r="F69" s="295" t="e">
        <f ca="1">_xll.fxAct_ax($F$33,$F$33+E69,_xll.fxAct_InterestSelectCurrent(4.5%,1,10,4%),_xll.fxAct_MortalityAdvanced(0,"CPM-2014M",0,1,TRUE,"CPM-B2D(M)",1,FALSE,0,2014,2024,999),"1124",,,,_xll.fxAct_MortalityAdvanced(2,"ZERO",0,1,FALSE,"ZERO",1,TRUE,0,0,0))</f>
        <v>#NAME?</v>
      </c>
    </row>
    <row r="70" spans="3:6">
      <c r="C70" s="296">
        <v>3</v>
      </c>
      <c r="D70" s="295" t="e">
        <f ca="1">_xll.fxAct_ax($E$33,$E$33+C70,_xll.fxAct_InterestSelectCurrent(4.5%,1,10,4%),_xll.fxAct_MortalityAdvanced(0,"CPM-2014M",0,1,TRUE,"CPM-B2D(M)",1,FALSE,0,2014,2024,999),"1124",,,,_xll.fxAct_MortalityAdvanced(2,"ZERO",0,1,FALSE,"ZERO",1,TRUE,0,0,0))</f>
        <v>#NAME?</v>
      </c>
      <c r="E70" s="296">
        <v>3</v>
      </c>
      <c r="F70" s="295" t="e">
        <f ca="1">_xll.fxAct_ax($F$33,$F$33+E70,_xll.fxAct_InterestSelectCurrent(4.5%,1,10,4%),_xll.fxAct_MortalityAdvanced(0,"CPM-2014M",0,1,TRUE,"CPM-B2D(M)",1,FALSE,0,2014,2024,999),"1124",,,,_xll.fxAct_MortalityAdvanced(2,"ZERO",0,1,FALSE,"ZERO",1,TRUE,0,0,0))</f>
        <v>#NAME?</v>
      </c>
    </row>
    <row r="71" spans="3:6">
      <c r="C71" s="296">
        <v>4</v>
      </c>
      <c r="D71" s="295" t="e">
        <f ca="1">_xll.fxAct_ax($E$33,$E$33+C71,_xll.fxAct_InterestSelectCurrent(4.5%,1,10,4%),_xll.fxAct_MortalityAdvanced(0,"CPM-2014M",0,1,TRUE,"CPM-B2D(M)",1,FALSE,0,2014,2024,999),"1124",,,,_xll.fxAct_MortalityAdvanced(2,"ZERO",0,1,FALSE,"ZERO",1,TRUE,0,0,0))</f>
        <v>#NAME?</v>
      </c>
      <c r="E71" s="296">
        <v>4</v>
      </c>
      <c r="F71" s="295" t="e">
        <f ca="1">_xll.fxAct_ax($F$33,$F$33+E71,_xll.fxAct_InterestSelectCurrent(4.5%,1,10,4%),_xll.fxAct_MortalityAdvanced(0,"CPM-2014M",0,1,TRUE,"CPM-B2D(M)",1,FALSE,0,2014,2024,999),"1124",,,,_xll.fxAct_MortalityAdvanced(2,"ZERO",0,1,FALSE,"ZERO",1,TRUE,0,0,0))</f>
        <v>#NAME?</v>
      </c>
    </row>
    <row r="72" spans="3:6">
      <c r="C72" s="296">
        <f t="shared" ref="C72:C82" si="1">C71+1</f>
        <v>5</v>
      </c>
      <c r="D72" s="295" t="e">
        <f ca="1">_xll.fxAct_ax($E$33,$E$33+C72,_xll.fxAct_InterestSelectCurrent(4.5%,1,10,4%),_xll.fxAct_MortalityAdvanced(0,"CPM-2014M",0,1,TRUE,"CPM-B2D(M)",1,FALSE,0,2014,2024,999),"1124",,,,_xll.fxAct_MortalityAdvanced(2,"ZERO",0,1,FALSE,"ZERO",1,TRUE,0,0,0))</f>
        <v>#NAME?</v>
      </c>
      <c r="E72" s="296">
        <f>E71+1</f>
        <v>5</v>
      </c>
      <c r="F72" s="295" t="e">
        <f ca="1">_xll.fxAct_ax($F$33,$F$33+E72,_xll.fxAct_InterestSelectCurrent(4.5%,1,10,4%),_xll.fxAct_MortalityAdvanced(0,"CPM-2014M",0,1,TRUE,"CPM-B2D(M)",1,FALSE,0,2014,2024,999),"1124",,,,_xll.fxAct_MortalityAdvanced(2,"ZERO",0,1,FALSE,"ZERO",1,TRUE,0,0,0))</f>
        <v>#NAME?</v>
      </c>
    </row>
    <row r="73" spans="3:6">
      <c r="C73" s="296">
        <f t="shared" si="1"/>
        <v>6</v>
      </c>
      <c r="D73" s="295" t="e">
        <f ca="1">_xll.fxAct_ax($E$33,$E$33+C73,_xll.fxAct_InterestSelectCurrent(4.5%,1,10,4%),_xll.fxAct_MortalityAdvanced(0,"CPM-2014M",0,1,TRUE,"CPM-B2D(M)",1,FALSE,0,2014,2024,999),"1124",,,,_xll.fxAct_MortalityAdvanced(2,"ZERO",0,1,FALSE,"ZERO",1,TRUE,0,0,0))</f>
        <v>#NAME?</v>
      </c>
      <c r="E73" s="296">
        <f>E72+1</f>
        <v>6</v>
      </c>
      <c r="F73" s="295" t="e">
        <f ca="1">_xll.fxAct_ax($F$33,$F$33+E73,_xll.fxAct_InterestSelectCurrent(4.5%,1,10,4%),_xll.fxAct_MortalityAdvanced(0,"CPM-2014M",0,1,TRUE,"CPM-B2D(M)",1,FALSE,0,2014,2024,999),"1124",,,,_xll.fxAct_MortalityAdvanced(2,"ZERO",0,1,FALSE,"ZERO",1,TRUE,0,0,0))</f>
        <v>#NAME?</v>
      </c>
    </row>
    <row r="74" spans="3:6">
      <c r="C74" s="296">
        <f t="shared" si="1"/>
        <v>7</v>
      </c>
      <c r="D74" s="295" t="e">
        <f ca="1">_xll.fxAct_ax($E$33,$E$33+C74,_xll.fxAct_InterestSelectCurrent(4.5%,1,10,4%),_xll.fxAct_MortalityAdvanced(0,"CPM-2014M",0,1,TRUE,"CPM-B2D(M)",1,FALSE,0,2014,2024,999),"1124",,,,_xll.fxAct_MortalityAdvanced(2,"ZERO",0,1,FALSE,"ZERO",1,TRUE,0,0,0))</f>
        <v>#NAME?</v>
      </c>
      <c r="E74" s="296">
        <f>E73+1</f>
        <v>7</v>
      </c>
      <c r="F74" s="295" t="e">
        <f ca="1">_xll.fxAct_ax($F$33,$F$33+E74,_xll.fxAct_InterestSelectCurrent(4.5%,1,10,4%),_xll.fxAct_MortalityAdvanced(0,"CPM-2014M",0,1,TRUE,"CPM-B2D(M)",1,FALSE,0,2014,2024,999),"1124",,,,_xll.fxAct_MortalityAdvanced(2,"ZERO",0,1,FALSE,"ZERO",1,TRUE,0,0,0))</f>
        <v>#NAME?</v>
      </c>
    </row>
    <row r="75" spans="3:6">
      <c r="C75" s="296">
        <f t="shared" si="1"/>
        <v>8</v>
      </c>
      <c r="D75" s="295" t="e">
        <f ca="1">_xll.fxAct_ax($E$33,$E$33+C75,_xll.fxAct_InterestSelectCurrent(4.5%,1,10,4%),_xll.fxAct_MortalityAdvanced(0,"CPM-2014M",0,1,TRUE,"CPM-B2D(M)",1,FALSE,0,2014,2024,999),"1124",,,,_xll.fxAct_MortalityAdvanced(2,"ZERO",0,1,FALSE,"ZERO",1,TRUE,0,0,0))</f>
        <v>#NAME?</v>
      </c>
    </row>
    <row r="76" spans="3:6">
      <c r="C76" s="296">
        <f t="shared" si="1"/>
        <v>9</v>
      </c>
      <c r="D76" s="295" t="e">
        <f ca="1">_xll.fxAct_ax($E$33,$E$33+C76,_xll.fxAct_InterestSelectCurrent(4.5%,1,10,4%),_xll.fxAct_MortalityAdvanced(0,"CPM-2014M",0,1,TRUE,"CPM-B2D(M)",1,FALSE,0,2014,2024,999),"1124",,,,_xll.fxAct_MortalityAdvanced(2,"ZERO",0,1,FALSE,"ZERO",1,TRUE,0,0,0))</f>
        <v>#NAME?</v>
      </c>
    </row>
    <row r="77" spans="3:6">
      <c r="C77" s="296">
        <f t="shared" si="1"/>
        <v>10</v>
      </c>
      <c r="D77" s="295" t="e">
        <f ca="1">_xll.fxAct_ax($E$33,$E$33+C77,_xll.fxAct_InterestSelectCurrent(4.5%,1,10,4%),_xll.fxAct_MortalityAdvanced(0,"CPM-2014M",0,1,TRUE,"CPM-B2D(M)",1,FALSE,0,2014,2024,999),"1124",,,,_xll.fxAct_MortalityAdvanced(2,"ZERO",0,1,FALSE,"ZERO",1,TRUE,0,0,0))</f>
        <v>#NAME?</v>
      </c>
    </row>
    <row r="78" spans="3:6">
      <c r="C78" s="296">
        <f t="shared" si="1"/>
        <v>11</v>
      </c>
      <c r="D78" s="295" t="e">
        <f ca="1">_xll.fxAct_ax($E$33,$E$33+C78,_xll.fxAct_InterestSelectCurrent(4.5%,1,10,4%),_xll.fxAct_MortalityAdvanced(0,"CPM-2014M",0,1,TRUE,"CPM-B2D(M)",1,FALSE,0,2014,2024,999),"1124",,,,_xll.fxAct_MortalityAdvanced(2,"ZERO",0,1,FALSE,"ZERO",1,TRUE,0,0,0))</f>
        <v>#NAME?</v>
      </c>
    </row>
    <row r="79" spans="3:6">
      <c r="C79" s="296">
        <f t="shared" si="1"/>
        <v>12</v>
      </c>
      <c r="D79" s="295" t="e">
        <f ca="1">_xll.fxAct_ax($E$33,$E$33+C79,_xll.fxAct_InterestSelectCurrent(4.5%,1,10,4%),_xll.fxAct_MortalityAdvanced(0,"CPM-2014M",0,1,TRUE,"CPM-B2D(M)",1,FALSE,0,2014,2024,999),"1124",,,,_xll.fxAct_MortalityAdvanced(2,"ZERO",0,1,FALSE,"ZERO",1,TRUE,0,0,0))</f>
        <v>#NAME?</v>
      </c>
    </row>
    <row r="80" spans="3:6">
      <c r="C80" s="296">
        <f t="shared" si="1"/>
        <v>13</v>
      </c>
      <c r="D80" s="295" t="e">
        <f ca="1">_xll.fxAct_ax($E$33,$E$33+C80,_xll.fxAct_InterestSelectCurrent(4.5%,1,10,4%),_xll.fxAct_MortalityAdvanced(0,"CPM-2014M",0,1,TRUE,"CPM-B2D(M)",1,FALSE,0,2014,2024,999),"1124",,,,_xll.fxAct_MortalityAdvanced(2,"ZERO",0,1,FALSE,"ZERO",1,TRUE,0,0,0))</f>
        <v>#NAME?</v>
      </c>
    </row>
    <row r="81" spans="2:8">
      <c r="C81" s="296">
        <f t="shared" si="1"/>
        <v>14</v>
      </c>
      <c r="D81" s="295" t="e">
        <f ca="1">_xll.fxAct_ax($E$33,$E$33+C81,_xll.fxAct_InterestSelectCurrent(4.5%,1,10,4%),_xll.fxAct_MortalityAdvanced(0,"CPM-2014M",0,1,TRUE,"CPM-B2D(M)",1,FALSE,0,2014,2024,999),"1124",,,,_xll.fxAct_MortalityAdvanced(2,"ZERO",0,1,FALSE,"ZERO",1,TRUE,0,0,0))</f>
        <v>#NAME?</v>
      </c>
    </row>
    <row r="82" spans="2:8">
      <c r="C82" s="296">
        <f t="shared" si="1"/>
        <v>15</v>
      </c>
      <c r="D82" s="295" t="e">
        <f ca="1">_xll.fxAct_ax($E$33,$E$33+C82,_xll.fxAct_InterestSelectCurrent(4.5%,1,10,4%),_xll.fxAct_MortalityAdvanced(0,"CPM-2014M",0,1,TRUE,"CPM-B2D(M)",1,FALSE,0,2014,2024,999),"1124",,,,_xll.fxAct_MortalityAdvanced(2,"ZERO",0,1,FALSE,"ZERO",1,TRUE,0,0,0))</f>
        <v>#NAME?</v>
      </c>
      <c r="E82" s="294"/>
      <c r="F82" s="294"/>
      <c r="G82" s="294"/>
    </row>
    <row r="84" spans="2:8">
      <c r="B84" s="291" t="s">
        <v>28</v>
      </c>
      <c r="C84" s="291" t="s">
        <v>80</v>
      </c>
      <c r="D84" s="292" t="s">
        <v>348</v>
      </c>
    </row>
    <row r="85" spans="2:8">
      <c r="C85" s="293"/>
    </row>
    <row r="86" spans="2:8">
      <c r="C86" s="293"/>
      <c r="D86" s="291" t="s">
        <v>347</v>
      </c>
    </row>
    <row r="87" spans="2:8" ht="15.6" customHeight="1">
      <c r="C87" s="293"/>
      <c r="D87" s="494" t="s">
        <v>290</v>
      </c>
      <c r="E87" s="495"/>
      <c r="F87" s="495"/>
      <c r="G87" s="495"/>
      <c r="H87" s="496"/>
    </row>
    <row r="88" spans="2:8">
      <c r="C88" s="293"/>
      <c r="D88" s="497"/>
      <c r="E88" s="498"/>
      <c r="F88" s="498"/>
      <c r="G88" s="498"/>
      <c r="H88" s="499"/>
    </row>
    <row r="89" spans="2:8">
      <c r="C89" s="293"/>
    </row>
    <row r="90" spans="2:8">
      <c r="D90" s="292"/>
    </row>
    <row r="91" spans="2:8">
      <c r="B91" s="291" t="s">
        <v>30</v>
      </c>
      <c r="C91" s="291" t="s">
        <v>80</v>
      </c>
      <c r="D91" s="292" t="s">
        <v>346</v>
      </c>
    </row>
  </sheetData>
  <mergeCells count="32">
    <mergeCell ref="D87:H88"/>
    <mergeCell ref="C8:D8"/>
    <mergeCell ref="C10:D10"/>
    <mergeCell ref="C11:D11"/>
    <mergeCell ref="C12:D12"/>
    <mergeCell ref="C13:D14"/>
    <mergeCell ref="C27:D27"/>
    <mergeCell ref="E27:F27"/>
    <mergeCell ref="C25:F25"/>
    <mergeCell ref="C20:D20"/>
    <mergeCell ref="C24:D24"/>
    <mergeCell ref="E24:F24"/>
    <mergeCell ref="C26:D26"/>
    <mergeCell ref="E26:F26"/>
    <mergeCell ref="C28:D28"/>
    <mergeCell ref="E28:F28"/>
    <mergeCell ref="C23:D23"/>
    <mergeCell ref="C15:D15"/>
    <mergeCell ref="C33:D33"/>
    <mergeCell ref="C37:D37"/>
    <mergeCell ref="E23:F23"/>
    <mergeCell ref="E8:G8"/>
    <mergeCell ref="E13:G13"/>
    <mergeCell ref="E14:G14"/>
    <mergeCell ref="E9:G9"/>
    <mergeCell ref="C22:F22"/>
    <mergeCell ref="C18:D18"/>
    <mergeCell ref="E18:F18"/>
    <mergeCell ref="C19:F19"/>
    <mergeCell ref="C21:D21"/>
    <mergeCell ref="E21:F21"/>
    <mergeCell ref="E20:F20"/>
  </mergeCells>
  <pageMargins left="0.7" right="0.7" top="0.75" bottom="0.75" header="0.3" footer="0.3"/>
  <pageSetup orientation="portrait" r:id="rId1"/>
  <customProperties>
    <customPr name="watsonwyatt_sheetdata"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0847D-FE1C-4EA5-A9B7-2C9AC264F7E0}">
  <dimension ref="A1:Y139"/>
  <sheetViews>
    <sheetView zoomScale="86" zoomScaleNormal="86" workbookViewId="0">
      <selection activeCell="E125" sqref="E125:H125"/>
    </sheetView>
  </sheetViews>
  <sheetFormatPr defaultColWidth="8.85546875" defaultRowHeight="15.75"/>
  <cols>
    <col min="1" max="1" width="2.5703125" style="94" customWidth="1"/>
    <col min="2" max="2" width="15" style="94" customWidth="1"/>
    <col min="3" max="3" width="16.5703125" style="94" customWidth="1"/>
    <col min="4" max="4" width="29.42578125" style="94" customWidth="1"/>
    <col min="5" max="5" width="29.140625" style="94" customWidth="1"/>
    <col min="6" max="6" width="22.5703125" style="94" customWidth="1"/>
    <col min="7" max="7" width="28.85546875" style="94" customWidth="1"/>
    <col min="8" max="8" width="20.5703125" style="94" customWidth="1"/>
    <col min="9" max="9" width="6.85546875" style="21" customWidth="1"/>
    <col min="10" max="10" width="15.7109375" style="21" customWidth="1"/>
    <col min="11" max="11" width="14.140625" style="21" customWidth="1"/>
    <col min="12" max="12" width="15.42578125" style="21" customWidth="1"/>
    <col min="13" max="13" width="13.5703125" style="21" customWidth="1"/>
    <col min="14" max="14" width="11.5703125" style="21" customWidth="1"/>
    <col min="15" max="15" width="8.85546875" style="21" customWidth="1"/>
    <col min="16" max="16" width="10.5703125" style="21" customWidth="1"/>
    <col min="17" max="17" width="13.5703125" style="21" customWidth="1"/>
    <col min="18" max="18" width="9.7109375" style="21" bestFit="1" customWidth="1"/>
    <col min="19" max="19" width="12" style="21" bestFit="1" customWidth="1"/>
    <col min="20" max="20" width="9.85546875" style="21" customWidth="1"/>
    <col min="21" max="21" width="13.42578125" style="21" bestFit="1" customWidth="1"/>
    <col min="22" max="23" width="13.28515625" style="21" bestFit="1" customWidth="1"/>
    <col min="24" max="24" width="13.140625" style="21" customWidth="1"/>
    <col min="25" max="25" width="12.7109375" style="21" customWidth="1"/>
    <col min="26" max="16384" width="8.85546875" style="21"/>
  </cols>
  <sheetData>
    <row r="1" spans="1:7">
      <c r="A1" s="18" t="s">
        <v>465</v>
      </c>
      <c r="C1" s="18"/>
    </row>
    <row r="2" spans="1:7">
      <c r="A2" s="94" t="s">
        <v>464</v>
      </c>
      <c r="C2" s="18"/>
    </row>
    <row r="3" spans="1:7" ht="18.600000000000001" customHeight="1">
      <c r="A3" s="18"/>
    </row>
    <row r="4" spans="1:7" ht="18.600000000000001" customHeight="1">
      <c r="A4" s="18"/>
    </row>
    <row r="5" spans="1:7">
      <c r="A5" s="18"/>
      <c r="B5" s="94" t="s">
        <v>387</v>
      </c>
      <c r="C5" s="94" t="s">
        <v>386</v>
      </c>
    </row>
    <row r="7" spans="1:7" ht="17.45" customHeight="1">
      <c r="C7" s="94" t="s">
        <v>385</v>
      </c>
    </row>
    <row r="9" spans="1:7">
      <c r="C9" s="256" t="s">
        <v>384</v>
      </c>
    </row>
    <row r="10" spans="1:7" ht="43.7" customHeight="1">
      <c r="C10" s="505" t="s">
        <v>383</v>
      </c>
      <c r="D10" s="506"/>
      <c r="E10" s="507" t="s">
        <v>382</v>
      </c>
      <c r="F10" s="507"/>
      <c r="G10" s="507"/>
    </row>
    <row r="11" spans="1:7" ht="18.600000000000001" customHeight="1">
      <c r="C11" s="359" t="s">
        <v>381</v>
      </c>
      <c r="D11" s="358"/>
      <c r="E11" s="508" t="s">
        <v>334</v>
      </c>
      <c r="F11" s="509"/>
      <c r="G11" s="510"/>
    </row>
    <row r="12" spans="1:7">
      <c r="C12" s="505" t="s">
        <v>380</v>
      </c>
      <c r="D12" s="506"/>
      <c r="E12" s="359">
        <v>65</v>
      </c>
      <c r="F12" s="106"/>
      <c r="G12" s="107"/>
    </row>
    <row r="13" spans="1:7">
      <c r="C13" s="505" t="s">
        <v>379</v>
      </c>
      <c r="D13" s="506"/>
      <c r="E13" s="359">
        <v>55</v>
      </c>
      <c r="F13" s="106"/>
      <c r="G13" s="107"/>
    </row>
    <row r="14" spans="1:7">
      <c r="C14" s="505" t="s">
        <v>378</v>
      </c>
      <c r="D14" s="506"/>
      <c r="E14" s="364" t="s">
        <v>377</v>
      </c>
      <c r="F14" s="106"/>
      <c r="G14" s="107"/>
    </row>
    <row r="15" spans="1:7">
      <c r="C15" s="514" t="s">
        <v>376</v>
      </c>
      <c r="D15" s="515"/>
      <c r="E15" s="518" t="s">
        <v>375</v>
      </c>
      <c r="F15" s="519"/>
      <c r="G15" s="520"/>
    </row>
    <row r="16" spans="1:7" ht="23.1" customHeight="1">
      <c r="C16" s="516"/>
      <c r="D16" s="517"/>
      <c r="E16" s="521" t="s">
        <v>374</v>
      </c>
      <c r="F16" s="522"/>
      <c r="G16" s="523"/>
    </row>
    <row r="17" spans="3:7">
      <c r="C17" s="505" t="s">
        <v>373</v>
      </c>
      <c r="D17" s="506"/>
      <c r="E17" s="364" t="s">
        <v>2</v>
      </c>
      <c r="F17" s="106"/>
      <c r="G17" s="107"/>
    </row>
    <row r="19" spans="3:7">
      <c r="C19" s="256" t="s">
        <v>372</v>
      </c>
      <c r="E19" s="363"/>
      <c r="F19" s="362"/>
    </row>
    <row r="20" spans="3:7">
      <c r="C20" s="524"/>
      <c r="D20" s="524"/>
      <c r="E20" s="512"/>
      <c r="F20" s="512"/>
    </row>
    <row r="21" spans="3:7">
      <c r="C21" s="513" t="s">
        <v>371</v>
      </c>
      <c r="D21" s="513"/>
      <c r="E21" s="513"/>
      <c r="F21" s="513"/>
    </row>
    <row r="22" spans="3:7">
      <c r="C22" s="511" t="s">
        <v>370</v>
      </c>
      <c r="D22" s="511"/>
      <c r="E22" s="525" t="s">
        <v>369</v>
      </c>
      <c r="F22" s="526"/>
    </row>
    <row r="23" spans="3:7">
      <c r="C23" s="511" t="s">
        <v>368</v>
      </c>
      <c r="D23" s="511"/>
      <c r="E23" s="527" t="s">
        <v>367</v>
      </c>
      <c r="F23" s="526"/>
    </row>
    <row r="24" spans="3:7">
      <c r="C24" s="513" t="s">
        <v>144</v>
      </c>
      <c r="D24" s="513"/>
      <c r="E24" s="513"/>
      <c r="F24" s="513"/>
    </row>
    <row r="25" spans="3:7">
      <c r="C25" s="511" t="s">
        <v>366</v>
      </c>
      <c r="D25" s="511"/>
      <c r="E25" s="512" t="s">
        <v>365</v>
      </c>
      <c r="F25" s="512"/>
    </row>
    <row r="26" spans="3:7">
      <c r="C26" s="511"/>
      <c r="D26" s="511"/>
      <c r="E26" s="512"/>
      <c r="F26" s="512"/>
    </row>
    <row r="27" spans="3:7">
      <c r="C27" s="513" t="s">
        <v>148</v>
      </c>
      <c r="D27" s="513"/>
      <c r="E27" s="513"/>
      <c r="F27" s="513"/>
    </row>
    <row r="28" spans="3:7">
      <c r="C28" s="511" t="s">
        <v>364</v>
      </c>
      <c r="D28" s="511"/>
      <c r="E28" s="512">
        <v>0.05</v>
      </c>
      <c r="F28" s="512"/>
    </row>
    <row r="29" spans="3:7">
      <c r="C29" s="511"/>
      <c r="D29" s="511"/>
      <c r="E29" s="512"/>
      <c r="F29" s="512"/>
    </row>
    <row r="30" spans="3:7">
      <c r="C30" s="511" t="s">
        <v>363</v>
      </c>
      <c r="D30" s="511"/>
      <c r="E30" s="528">
        <v>50000</v>
      </c>
      <c r="F30" s="528"/>
    </row>
    <row r="33" spans="3:6">
      <c r="C33" s="256" t="s">
        <v>362</v>
      </c>
    </row>
    <row r="34" spans="3:6">
      <c r="C34" s="359"/>
      <c r="D34" s="358"/>
      <c r="E34" s="361" t="s">
        <v>304</v>
      </c>
      <c r="F34" s="361" t="s">
        <v>303</v>
      </c>
    </row>
    <row r="35" spans="3:6">
      <c r="C35" s="505" t="s">
        <v>361</v>
      </c>
      <c r="D35" s="506"/>
      <c r="E35" s="357">
        <v>50</v>
      </c>
      <c r="F35" s="357">
        <v>58</v>
      </c>
    </row>
    <row r="36" spans="3:6">
      <c r="C36" s="359" t="s">
        <v>360</v>
      </c>
      <c r="D36" s="358"/>
      <c r="E36" s="360">
        <v>56000</v>
      </c>
      <c r="F36" s="360">
        <v>94000</v>
      </c>
    </row>
    <row r="37" spans="3:6">
      <c r="C37" s="359" t="s">
        <v>359</v>
      </c>
      <c r="D37" s="358"/>
      <c r="E37" s="360">
        <v>58000</v>
      </c>
      <c r="F37" s="360">
        <v>97000</v>
      </c>
    </row>
    <row r="38" spans="3:6">
      <c r="C38" s="359" t="s">
        <v>358</v>
      </c>
      <c r="D38" s="358"/>
      <c r="E38" s="360">
        <v>60000</v>
      </c>
      <c r="F38" s="360">
        <v>100000</v>
      </c>
    </row>
    <row r="39" spans="3:6">
      <c r="C39" s="505" t="s">
        <v>357</v>
      </c>
      <c r="D39" s="506"/>
      <c r="E39" s="357">
        <v>3</v>
      </c>
      <c r="F39" s="357">
        <v>11</v>
      </c>
    </row>
    <row r="41" spans="3:6">
      <c r="C41" s="256" t="s">
        <v>356</v>
      </c>
      <c r="F41" s="253"/>
    </row>
    <row r="42" spans="3:6">
      <c r="C42" s="94" t="s">
        <v>355</v>
      </c>
      <c r="E42" s="356">
        <v>200000</v>
      </c>
    </row>
    <row r="43" spans="3:6">
      <c r="E43" s="355"/>
    </row>
    <row r="44" spans="3:6">
      <c r="C44" s="94" t="s">
        <v>354</v>
      </c>
      <c r="E44" s="356">
        <v>66667</v>
      </c>
    </row>
    <row r="45" spans="3:6">
      <c r="E45" s="355"/>
    </row>
    <row r="46" spans="3:6">
      <c r="E46" s="355"/>
    </row>
    <row r="47" spans="3:6">
      <c r="E47" s="355"/>
    </row>
    <row r="48" spans="3:6">
      <c r="C48" s="256" t="s">
        <v>353</v>
      </c>
    </row>
    <row r="49" spans="3:10">
      <c r="C49" s="354" t="s">
        <v>350</v>
      </c>
      <c r="D49" s="354" t="s">
        <v>351</v>
      </c>
      <c r="E49" s="354" t="s">
        <v>350</v>
      </c>
      <c r="F49" s="354" t="s">
        <v>349</v>
      </c>
    </row>
    <row r="50" spans="3:10">
      <c r="C50" s="337">
        <v>0</v>
      </c>
      <c r="D50" s="336" t="e">
        <f ca="1">_xll.fxAct_ax($E$35,$E$35+C50,$E$28,_xll.fxAct_MortalityAdvanced(0,"CPM-2014M",0,1,TRUE,"CPM-B2D(M)",1,FALSE,0,2014,2024,999),"1124",,,,_xll.fxAct_MortalityAdvanced(2,"ZERO",0,1,FALSE,"ZERO",1,TRUE,0,0,0))</f>
        <v>#NAME?</v>
      </c>
      <c r="E50" s="337">
        <v>0</v>
      </c>
      <c r="F50" s="336" t="e">
        <f ca="1">_xll.fxAct_ax($F$35,$F$35+E50,$E$28,_xll.fxAct_MortalityAdvanced(0,"CPM-2014M",0,1,TRUE,"CPM-B2D(M)",1,FALSE,0,2014,2024,999),"1124",,,,_xll.fxAct_MortalityAdvanced(2,"ZERO",0,1,FALSE,"ZERO",1,TRUE,0,0,0))</f>
        <v>#NAME?</v>
      </c>
    </row>
    <row r="51" spans="3:10">
      <c r="C51" s="337">
        <v>1</v>
      </c>
      <c r="D51" s="336" t="e">
        <f ca="1">_xll.fxAct_ax($E$35,$E$35+C51,$E$28,_xll.fxAct_MortalityAdvanced(0,"CPM-2014M",0,1,TRUE,"CPM-B2D(M)",1,FALSE,0,2014,2024,999),"1124",,,,_xll.fxAct_MortalityAdvanced(2,"ZERO",0,1,FALSE,"ZERO",1,TRUE,0,0,0))</f>
        <v>#NAME?</v>
      </c>
      <c r="E51" s="337">
        <v>1</v>
      </c>
      <c r="F51" s="336" t="e">
        <f ca="1">_xll.fxAct_ax($F$35,$F$35+E51,$E$28,_xll.fxAct_MortalityAdvanced(0,"CPM-2014M",0,1,TRUE,"CPM-B2D(M)",1,FALSE,0,2014,2024,999),"1124",,,,_xll.fxAct_MortalityAdvanced(2,"ZERO",0,1,FALSE,"ZERO",1,TRUE,0,0,0))</f>
        <v>#NAME?</v>
      </c>
    </row>
    <row r="52" spans="3:10">
      <c r="C52" s="337">
        <v>2</v>
      </c>
      <c r="D52" s="336" t="e">
        <f ca="1">_xll.fxAct_ax($E$35,$E$35+C52,$E$28,_xll.fxAct_MortalityAdvanced(0,"CPM-2014M",0,1,TRUE,"CPM-B2D(M)",1,FALSE,0,2014,2024,999),"1124",,,,_xll.fxAct_MortalityAdvanced(2,"ZERO",0,1,FALSE,"ZERO",1,TRUE,0,0,0))</f>
        <v>#NAME?</v>
      </c>
      <c r="E52" s="337">
        <v>2</v>
      </c>
      <c r="F52" s="336" t="e">
        <f ca="1">_xll.fxAct_ax($F$35,$F$35+E52,$E$28,_xll.fxAct_MortalityAdvanced(0,"CPM-2014M",0,1,TRUE,"CPM-B2D(M)",1,FALSE,0,2014,2024,999),"1124",,,,_xll.fxAct_MortalityAdvanced(2,"ZERO",0,1,FALSE,"ZERO",1,TRUE,0,0,0))</f>
        <v>#NAME?</v>
      </c>
    </row>
    <row r="53" spans="3:10">
      <c r="C53" s="337">
        <v>3</v>
      </c>
      <c r="D53" s="336" t="e">
        <f ca="1">_xll.fxAct_ax($E$35,$E$35+C53,$E$28,_xll.fxAct_MortalityAdvanced(0,"CPM-2014M",0,1,TRUE,"CPM-B2D(M)",1,FALSE,0,2014,2024,999),"1124",,,,_xll.fxAct_MortalityAdvanced(2,"ZERO",0,1,FALSE,"ZERO",1,TRUE,0,0,0))</f>
        <v>#NAME?</v>
      </c>
      <c r="E53" s="337">
        <v>3</v>
      </c>
      <c r="F53" s="336" t="e">
        <f ca="1">_xll.fxAct_ax($F$35,$F$35+E53,$E$28,_xll.fxAct_MortalityAdvanced(0,"CPM-2014M",0,1,TRUE,"CPM-B2D(M)",1,FALSE,0,2014,2024,999),"1124",,,,_xll.fxAct_MortalityAdvanced(2,"ZERO",0,1,FALSE,"ZERO",1,TRUE,0,0,0))</f>
        <v>#NAME?</v>
      </c>
      <c r="I53" s="353"/>
      <c r="J53" s="352"/>
    </row>
    <row r="54" spans="3:10">
      <c r="C54" s="337">
        <v>4</v>
      </c>
      <c r="D54" s="336" t="e">
        <f ca="1">_xll.fxAct_ax($E$35,$E$35+C54,$E$28,_xll.fxAct_MortalityAdvanced(0,"CPM-2014M",0,1,TRUE,"CPM-B2D(M)",1,FALSE,0,2014,2024,999),"1124",,,,_xll.fxAct_MortalityAdvanced(2,"ZERO",0,1,FALSE,"ZERO",1,TRUE,0,0,0))</f>
        <v>#NAME?</v>
      </c>
      <c r="E54" s="337">
        <v>4</v>
      </c>
      <c r="F54" s="336" t="e">
        <f ca="1">_xll.fxAct_ax($F$35,$F$35+E54,$E$28,_xll.fxAct_MortalityAdvanced(0,"CPM-2014M",0,1,TRUE,"CPM-B2D(M)",1,FALSE,0,2014,2024,999),"1124",,,,_xll.fxAct_MortalityAdvanced(2,"ZERO",0,1,FALSE,"ZERO",1,TRUE,0,0,0))</f>
        <v>#NAME?</v>
      </c>
      <c r="I54" s="353"/>
      <c r="J54" s="352"/>
    </row>
    <row r="55" spans="3:10">
      <c r="C55" s="337">
        <f t="shared" ref="C55:C65" si="0">C54+1</f>
        <v>5</v>
      </c>
      <c r="D55" s="336" t="e">
        <f ca="1">_xll.fxAct_ax($E$35,$E$35+C55,$E$28,_xll.fxAct_MortalityAdvanced(0,"CPM-2014M",0,1,TRUE,"CPM-B2D(M)",1,FALSE,0,2014,2024,999),"1124",,,,_xll.fxAct_MortalityAdvanced(2,"ZERO",0,1,FALSE,"ZERO",1,TRUE,0,0,0))</f>
        <v>#NAME?</v>
      </c>
      <c r="E55" s="337">
        <f>E54+1</f>
        <v>5</v>
      </c>
      <c r="F55" s="336" t="e">
        <f ca="1">_xll.fxAct_ax($F$35,$F$35+E55,$E$28,_xll.fxAct_MortalityAdvanced(0,"CPM-2014M",0,1,TRUE,"CPM-B2D(M)",1,FALSE,0,2014,2024,999),"1124",,,,_xll.fxAct_MortalityAdvanced(2,"ZERO",0,1,FALSE,"ZERO",1,TRUE,0,0,0))</f>
        <v>#NAME?</v>
      </c>
      <c r="I55" s="353"/>
      <c r="J55" s="352"/>
    </row>
    <row r="56" spans="3:10">
      <c r="C56" s="337">
        <f t="shared" si="0"/>
        <v>6</v>
      </c>
      <c r="D56" s="336" t="e">
        <f ca="1">_xll.fxAct_ax($E$35,$E$35+C56,$E$28,_xll.fxAct_MortalityAdvanced(0,"CPM-2014M",0,1,TRUE,"CPM-B2D(M)",1,FALSE,0,2014,2024,999),"1124",,,,_xll.fxAct_MortalityAdvanced(2,"ZERO",0,1,FALSE,"ZERO",1,TRUE,0,0,0))</f>
        <v>#NAME?</v>
      </c>
      <c r="E56" s="337">
        <f>E55+1</f>
        <v>6</v>
      </c>
      <c r="F56" s="336" t="e">
        <f ca="1">_xll.fxAct_ax($F$35,$F$35+E56,$E$28,_xll.fxAct_MortalityAdvanced(0,"CPM-2014M",0,1,TRUE,"CPM-B2D(M)",1,FALSE,0,2014,2024,999),"1124",,,,_xll.fxAct_MortalityAdvanced(2,"ZERO",0,1,FALSE,"ZERO",1,TRUE,0,0,0))</f>
        <v>#NAME?</v>
      </c>
      <c r="I56" s="353"/>
      <c r="J56" s="352"/>
    </row>
    <row r="57" spans="3:10">
      <c r="C57" s="337">
        <f t="shared" si="0"/>
        <v>7</v>
      </c>
      <c r="D57" s="336" t="e">
        <f ca="1">_xll.fxAct_ax($E$35,$E$35+C57,$E$28,_xll.fxAct_MortalityAdvanced(0,"CPM-2014M",0,1,TRUE,"CPM-B2D(M)",1,FALSE,0,2014,2024,999),"1124",,,,_xll.fxAct_MortalityAdvanced(2,"ZERO",0,1,FALSE,"ZERO",1,TRUE,0,0,0))</f>
        <v>#NAME?</v>
      </c>
      <c r="E57" s="337">
        <f>E56+1</f>
        <v>7</v>
      </c>
      <c r="F57" s="336" t="e">
        <f ca="1">_xll.fxAct_ax($F$35,$F$35+E57,$E$28,_xll.fxAct_MortalityAdvanced(0,"CPM-2014M",0,1,TRUE,"CPM-B2D(M)",1,FALSE,0,2014,2024,999),"1124",,,,_xll.fxAct_MortalityAdvanced(2,"ZERO",0,1,FALSE,"ZERO",1,TRUE,0,0,0))</f>
        <v>#NAME?</v>
      </c>
      <c r="I57" s="353"/>
      <c r="J57" s="352"/>
    </row>
    <row r="58" spans="3:10">
      <c r="C58" s="337">
        <f t="shared" si="0"/>
        <v>8</v>
      </c>
      <c r="D58" s="336" t="e">
        <f ca="1">_xll.fxAct_ax($E$35,$E$35+C58,$E$28,_xll.fxAct_MortalityAdvanced(0,"CPM-2014M",0,1,TRUE,"CPM-B2D(M)",1,FALSE,0,2014,2024,999),"1124",,,,_xll.fxAct_MortalityAdvanced(2,"ZERO",0,1,FALSE,"ZERO",1,TRUE,0,0,0))</f>
        <v>#NAME?</v>
      </c>
      <c r="I58" s="353"/>
      <c r="J58" s="352"/>
    </row>
    <row r="59" spans="3:10">
      <c r="C59" s="337">
        <f t="shared" si="0"/>
        <v>9</v>
      </c>
      <c r="D59" s="336" t="e">
        <f ca="1">_xll.fxAct_ax($E$35,$E$35+C59,$E$28,_xll.fxAct_MortalityAdvanced(0,"CPM-2014M",0,1,TRUE,"CPM-B2D(M)",1,FALSE,0,2014,2024,999),"1124",,,,_xll.fxAct_MortalityAdvanced(2,"ZERO",0,1,FALSE,"ZERO",1,TRUE,0,0,0))</f>
        <v>#NAME?</v>
      </c>
      <c r="I59" s="353"/>
      <c r="J59" s="352"/>
    </row>
    <row r="60" spans="3:10">
      <c r="C60" s="337">
        <f t="shared" si="0"/>
        <v>10</v>
      </c>
      <c r="D60" s="336" t="e">
        <f ca="1">_xll.fxAct_ax($E$35,$E$35+C60,$E$28,_xll.fxAct_MortalityAdvanced(0,"CPM-2014M",0,1,TRUE,"CPM-B2D(M)",1,FALSE,0,2014,2024,999),"1124",,,,_xll.fxAct_MortalityAdvanced(2,"ZERO",0,1,FALSE,"ZERO",1,TRUE,0,0,0))</f>
        <v>#NAME?</v>
      </c>
      <c r="I60" s="353"/>
      <c r="J60" s="352"/>
    </row>
    <row r="61" spans="3:10">
      <c r="C61" s="337">
        <f t="shared" si="0"/>
        <v>11</v>
      </c>
      <c r="D61" s="336" t="e">
        <f ca="1">_xll.fxAct_ax($E$35,$E$35+C61,$E$28,_xll.fxAct_MortalityAdvanced(0,"CPM-2014M",0,1,TRUE,"CPM-B2D(M)",1,FALSE,0,2014,2024,999),"1124",,,,_xll.fxAct_MortalityAdvanced(2,"ZERO",0,1,FALSE,"ZERO",1,TRUE,0,0,0))</f>
        <v>#NAME?</v>
      </c>
      <c r="I61" s="353"/>
      <c r="J61" s="352"/>
    </row>
    <row r="62" spans="3:10">
      <c r="C62" s="337">
        <f t="shared" si="0"/>
        <v>12</v>
      </c>
      <c r="D62" s="336" t="e">
        <f ca="1">_xll.fxAct_ax($E$35,$E$35+C62,$E$28,_xll.fxAct_MortalityAdvanced(0,"CPM-2014M",0,1,TRUE,"CPM-B2D(M)",1,FALSE,0,2014,2024,999),"1124",,,,_xll.fxAct_MortalityAdvanced(2,"ZERO",0,1,FALSE,"ZERO",1,TRUE,0,0,0))</f>
        <v>#NAME?</v>
      </c>
      <c r="I62" s="353"/>
      <c r="J62" s="352"/>
    </row>
    <row r="63" spans="3:10">
      <c r="C63" s="337">
        <f t="shared" si="0"/>
        <v>13</v>
      </c>
      <c r="D63" s="336" t="e">
        <f ca="1">_xll.fxAct_ax($E$35,$E$35+C63,$E$28,_xll.fxAct_MortalityAdvanced(0,"CPM-2014M",0,1,TRUE,"CPM-B2D(M)",1,FALSE,0,2014,2024,999),"1124",,,,_xll.fxAct_MortalityAdvanced(2,"ZERO",0,1,FALSE,"ZERO",1,TRUE,0,0,0))</f>
        <v>#NAME?</v>
      </c>
      <c r="I63" s="353"/>
      <c r="J63" s="352"/>
    </row>
    <row r="64" spans="3:10">
      <c r="C64" s="337">
        <f t="shared" si="0"/>
        <v>14</v>
      </c>
      <c r="D64" s="336" t="e">
        <f ca="1">_xll.fxAct_ax($E$35,$E$35+C64,$E$28,_xll.fxAct_MortalityAdvanced(0,"CPM-2014M",0,1,TRUE,"CPM-B2D(M)",1,FALSE,0,2014,2024,999),"1124",,,,_xll.fxAct_MortalityAdvanced(2,"ZERO",0,1,FALSE,"ZERO",1,TRUE,0,0,0))</f>
        <v>#NAME?</v>
      </c>
      <c r="I64" s="353"/>
      <c r="J64" s="352"/>
    </row>
    <row r="65" spans="3:25">
      <c r="C65" s="337">
        <f t="shared" si="0"/>
        <v>15</v>
      </c>
      <c r="D65" s="336" t="e">
        <f ca="1">_xll.fxAct_ax($E$35,$E$35+C65,$E$28,_xll.fxAct_MortalityAdvanced(0,"CPM-2014M",0,1,TRUE,"CPM-B2D(M)",1,FALSE,0,2014,2024,999),"1124",,,,_xll.fxAct_MortalityAdvanced(2,"ZERO",0,1,FALSE,"ZERO",1,TRUE,0,0,0))</f>
        <v>#NAME?</v>
      </c>
      <c r="I65" s="353"/>
      <c r="J65" s="352"/>
    </row>
    <row r="66" spans="3:25">
      <c r="I66" s="353"/>
      <c r="J66" s="352"/>
    </row>
    <row r="67" spans="3:25">
      <c r="C67" s="256" t="s">
        <v>352</v>
      </c>
      <c r="I67" s="353"/>
      <c r="J67" s="352"/>
    </row>
    <row r="68" spans="3:25">
      <c r="C68" s="354" t="s">
        <v>350</v>
      </c>
      <c r="D68" s="354" t="s">
        <v>351</v>
      </c>
      <c r="E68" s="354" t="s">
        <v>350</v>
      </c>
      <c r="F68" s="354" t="s">
        <v>349</v>
      </c>
      <c r="I68" s="353"/>
      <c r="J68" s="352"/>
    </row>
    <row r="69" spans="3:25">
      <c r="C69" s="337">
        <v>0</v>
      </c>
      <c r="D69" s="336" t="e">
        <f ca="1">_xll.fxAct_ax($E$35,$E$35+C69,_xll.fxAct_InterestSelectCurrent(4.5%,1,10,4%),_xll.fxAct_MortalityAdvanced(0,"CPM-2014M",0,1,TRUE,"CPM-B2D(M)",1,FALSE,0,2014,2024,999),"1124",,,,_xll.fxAct_MortalityAdvanced(2,"ZERO",0,1,FALSE,"ZERO",1,TRUE,0,0,0))</f>
        <v>#NAME?</v>
      </c>
      <c r="E69" s="337">
        <v>0</v>
      </c>
      <c r="F69" s="336" t="e">
        <f ca="1">_xll.fxAct_ax($F$35,$F$35+E69,_xll.fxAct_InterestSelectCurrent(4.5%,1,10,4%),_xll.fxAct_MortalityAdvanced(0,"CPM-2014M",0,1,TRUE,"CPM-B2D(M)",1,FALSE,0,2014,2024,999),"1124",,,,_xll.fxAct_MortalityAdvanced(2,"ZERO",0,1,FALSE,"ZERO",1,TRUE,0,0,0))</f>
        <v>#NAME?</v>
      </c>
      <c r="I69" s="353"/>
      <c r="J69" s="352"/>
    </row>
    <row r="70" spans="3:25">
      <c r="C70" s="337">
        <v>1</v>
      </c>
      <c r="D70" s="336" t="e">
        <f ca="1">_xll.fxAct_ax($E$35,$E$35+C70,_xll.fxAct_InterestSelectCurrent(4.5%,1,10,4%),_xll.fxAct_MortalityAdvanced(0,"CPM-2014M",0,1,TRUE,"CPM-B2D(M)",1,FALSE,0,2014,2024,999),"1124",,,,_xll.fxAct_MortalityAdvanced(2,"ZERO",0,1,FALSE,"ZERO",1,TRUE,0,0,0))</f>
        <v>#NAME?</v>
      </c>
      <c r="E70" s="337">
        <v>1</v>
      </c>
      <c r="F70" s="336" t="e">
        <f ca="1">_xll.fxAct_ax($F$35,$F$35+E70,_xll.fxAct_InterestSelectCurrent(4.5%,1,10,4%),_xll.fxAct_MortalityAdvanced(0,"CPM-2014M",0,1,TRUE,"CPM-B2D(M)",1,FALSE,0,2014,2024,999),"1124",,,,_xll.fxAct_MortalityAdvanced(2,"ZERO",0,1,FALSE,"ZERO",1,TRUE,0,0,0))</f>
        <v>#NAME?</v>
      </c>
      <c r="I70" s="353"/>
      <c r="J70" s="352"/>
    </row>
    <row r="71" spans="3:25">
      <c r="C71" s="337">
        <v>2</v>
      </c>
      <c r="D71" s="336" t="e">
        <f ca="1">_xll.fxAct_ax($E$35,$E$35+C71,_xll.fxAct_InterestSelectCurrent(4.5%,1,10,4%),_xll.fxAct_MortalityAdvanced(0,"CPM-2014M",0,1,TRUE,"CPM-B2D(M)",1,FALSE,0,2014,2024,999),"1124",,,,_xll.fxAct_MortalityAdvanced(2,"ZERO",0,1,FALSE,"ZERO",1,TRUE,0,0,0))</f>
        <v>#NAME?</v>
      </c>
      <c r="E71" s="337">
        <v>2</v>
      </c>
      <c r="F71" s="336" t="e">
        <f ca="1">_xll.fxAct_ax($F$35,$F$35+E71,_xll.fxAct_InterestSelectCurrent(4.5%,1,10,4%),_xll.fxAct_MortalityAdvanced(0,"CPM-2014M",0,1,TRUE,"CPM-B2D(M)",1,FALSE,0,2014,2024,999),"1124",,,,_xll.fxAct_MortalityAdvanced(2,"ZERO",0,1,FALSE,"ZERO",1,TRUE,0,0,0))</f>
        <v>#NAME?</v>
      </c>
      <c r="I71" s="353"/>
      <c r="J71" s="352"/>
    </row>
    <row r="72" spans="3:25">
      <c r="C72" s="337">
        <v>3</v>
      </c>
      <c r="D72" s="336" t="e">
        <f ca="1">_xll.fxAct_ax($E$35,$E$35+C72,_xll.fxAct_InterestSelectCurrent(4.5%,1,10,4%),_xll.fxAct_MortalityAdvanced(0,"CPM-2014M",0,1,TRUE,"CPM-B2D(M)",1,FALSE,0,2014,2024,999),"1124",,,,_xll.fxAct_MortalityAdvanced(2,"ZERO",0,1,FALSE,"ZERO",1,TRUE,0,0,0))</f>
        <v>#NAME?</v>
      </c>
      <c r="E72" s="337">
        <v>3</v>
      </c>
      <c r="F72" s="336" t="e">
        <f ca="1">_xll.fxAct_ax($F$35,$F$35+E72,_xll.fxAct_InterestSelectCurrent(4.5%,1,10,4%),_xll.fxAct_MortalityAdvanced(0,"CPM-2014M",0,1,TRUE,"CPM-B2D(M)",1,FALSE,0,2014,2024,999),"1124",,,,_xll.fxAct_MortalityAdvanced(2,"ZERO",0,1,FALSE,"ZERO",1,TRUE,0,0,0))</f>
        <v>#NAME?</v>
      </c>
    </row>
    <row r="73" spans="3:25">
      <c r="C73" s="337">
        <v>4</v>
      </c>
      <c r="D73" s="336" t="e">
        <f ca="1">_xll.fxAct_ax($E$35,$E$35+C73,_xll.fxAct_InterestSelectCurrent(4.5%,1,10,4%),_xll.fxAct_MortalityAdvanced(0,"CPM-2014M",0,1,TRUE,"CPM-B2D(M)",1,FALSE,0,2014,2024,999),"1124",,,,_xll.fxAct_MortalityAdvanced(2,"ZERO",0,1,FALSE,"ZERO",1,TRUE,0,0,0))</f>
        <v>#NAME?</v>
      </c>
      <c r="E73" s="337">
        <v>4</v>
      </c>
      <c r="F73" s="336" t="e">
        <f ca="1">_xll.fxAct_ax($F$35,$F$35+E73,_xll.fxAct_InterestSelectCurrent(4.5%,1,10,4%),_xll.fxAct_MortalityAdvanced(0,"CPM-2014M",0,1,TRUE,"CPM-B2D(M)",1,FALSE,0,2014,2024,999),"1124",,,,_xll.fxAct_MortalityAdvanced(2,"ZERO",0,1,FALSE,"ZERO",1,TRUE,0,0,0))</f>
        <v>#NAME?</v>
      </c>
    </row>
    <row r="74" spans="3:25">
      <c r="C74" s="337">
        <f t="shared" ref="C74:C84" si="1">C73+1</f>
        <v>5</v>
      </c>
      <c r="D74" s="336" t="e">
        <f ca="1">_xll.fxAct_ax($E$35,$E$35+C74,_xll.fxAct_InterestSelectCurrent(4.5%,1,10,4%),_xll.fxAct_MortalityAdvanced(0,"CPM-2014M",0,1,TRUE,"CPM-B2D(M)",1,FALSE,0,2014,2024,999),"1124",,,,_xll.fxAct_MortalityAdvanced(2,"ZERO",0,1,FALSE,"ZERO",1,TRUE,0,0,0))</f>
        <v>#NAME?</v>
      </c>
      <c r="E74" s="337">
        <f>E73+1</f>
        <v>5</v>
      </c>
      <c r="F74" s="336" t="e">
        <f ca="1">_xll.fxAct_ax($F$35,$F$35+E74,_xll.fxAct_InterestSelectCurrent(4.5%,1,10,4%),_xll.fxAct_MortalityAdvanced(0,"CPM-2014M",0,1,TRUE,"CPM-B2D(M)",1,FALSE,0,2014,2024,999),"1124",,,,_xll.fxAct_MortalityAdvanced(2,"ZERO",0,1,FALSE,"ZERO",1,TRUE,0,0,0))</f>
        <v>#NAME?</v>
      </c>
    </row>
    <row r="75" spans="3:25">
      <c r="C75" s="337">
        <f t="shared" si="1"/>
        <v>6</v>
      </c>
      <c r="D75" s="336" t="e">
        <f ca="1">_xll.fxAct_ax($E$35,$E$35+C75,_xll.fxAct_InterestSelectCurrent(4.5%,1,10,4%),_xll.fxAct_MortalityAdvanced(0,"CPM-2014M",0,1,TRUE,"CPM-B2D(M)",1,FALSE,0,2014,2024,999),"1124",,,,_xll.fxAct_MortalityAdvanced(2,"ZERO",0,1,FALSE,"ZERO",1,TRUE,0,0,0))</f>
        <v>#NAME?</v>
      </c>
      <c r="E75" s="337">
        <f>E74+1</f>
        <v>6</v>
      </c>
      <c r="F75" s="336" t="e">
        <f ca="1">_xll.fxAct_ax($F$35,$F$35+E75,_xll.fxAct_InterestSelectCurrent(4.5%,1,10,4%),_xll.fxAct_MortalityAdvanced(0,"CPM-2014M",0,1,TRUE,"CPM-B2D(M)",1,FALSE,0,2014,2024,999),"1124",,,,_xll.fxAct_MortalityAdvanced(2,"ZERO",0,1,FALSE,"ZERO",1,TRUE,0,0,0))</f>
        <v>#NAME?</v>
      </c>
      <c r="I75" s="210"/>
      <c r="K75" s="292" t="s">
        <v>463</v>
      </c>
    </row>
    <row r="76" spans="3:25" ht="16.5" thickBot="1">
      <c r="C76" s="337">
        <f t="shared" si="1"/>
        <v>7</v>
      </c>
      <c r="D76" s="336" t="e">
        <f ca="1">_xll.fxAct_ax($E$35,$E$35+C76,_xll.fxAct_InterestSelectCurrent(4.5%,1,10,4%),_xll.fxAct_MortalityAdvanced(0,"CPM-2014M",0,1,TRUE,"CPM-B2D(M)",1,FALSE,0,2014,2024,999),"1124",,,,_xll.fxAct_MortalityAdvanced(2,"ZERO",0,1,FALSE,"ZERO",1,TRUE,0,0,0))</f>
        <v>#NAME?</v>
      </c>
      <c r="E76" s="337">
        <f>E75+1</f>
        <v>7</v>
      </c>
      <c r="F76" s="336" t="e">
        <f ca="1">_xll.fxAct_ax($F$35,$F$35+E76,_xll.fxAct_InterestSelectCurrent(4.5%,1,10,4%),_xll.fxAct_MortalityAdvanced(0,"CPM-2014M",0,1,TRUE,"CPM-B2D(M)",1,FALSE,0,2014,2024,999),"1124",,,,_xll.fxAct_MortalityAdvanced(2,"ZERO",0,1,FALSE,"ZERO",1,TRUE,0,0,0))</f>
        <v>#NAME?</v>
      </c>
      <c r="I76" s="319"/>
    </row>
    <row r="77" spans="3:25">
      <c r="C77" s="337">
        <f t="shared" si="1"/>
        <v>8</v>
      </c>
      <c r="D77" s="336" t="e">
        <f ca="1">_xll.fxAct_ax($E$35,$E$35+C77,_xll.fxAct_InterestSelectCurrent(4.5%,1,10,4%),_xll.fxAct_MortalityAdvanced(0,"CPM-2014M",0,1,TRUE,"CPM-B2D(M)",1,FALSE,0,2014,2024,999),"1124",,,,_xll.fxAct_MortalityAdvanced(2,"ZERO",0,1,FALSE,"ZERO",1,TRUE,0,0,0))</f>
        <v>#NAME?</v>
      </c>
      <c r="I77" s="333"/>
      <c r="K77" s="351" t="s">
        <v>304</v>
      </c>
      <c r="L77" s="350"/>
      <c r="M77" s="349"/>
      <c r="N77" s="349" t="s">
        <v>462</v>
      </c>
      <c r="O77" s="348" t="e">
        <f ca="1">MAX(P85)</f>
        <v>#NAME?</v>
      </c>
      <c r="P77" s="347"/>
      <c r="Q77" s="346"/>
      <c r="S77" s="351" t="s">
        <v>303</v>
      </c>
      <c r="T77" s="350"/>
      <c r="U77" s="349"/>
      <c r="V77" s="349" t="s">
        <v>462</v>
      </c>
      <c r="W77" s="348" t="e">
        <f ca="1">MAX(X85:X92)</f>
        <v>#NAME?</v>
      </c>
      <c r="X77" s="347"/>
      <c r="Y77" s="346"/>
    </row>
    <row r="78" spans="3:25">
      <c r="C78" s="337">
        <f t="shared" si="1"/>
        <v>9</v>
      </c>
      <c r="D78" s="336" t="e">
        <f ca="1">_xll.fxAct_ax($E$35,$E$35+C78,_xll.fxAct_InterestSelectCurrent(4.5%,1,10,4%),_xll.fxAct_MortalityAdvanced(0,"CPM-2014M",0,1,TRUE,"CPM-B2D(M)",1,FALSE,0,2014,2024,999),"1124",,,,_xll.fxAct_MortalityAdvanced(2,"ZERO",0,1,FALSE,"ZERO",1,TRUE,0,0,0))</f>
        <v>#NAME?</v>
      </c>
      <c r="I78" s="333"/>
      <c r="K78" s="332"/>
      <c r="L78" s="317"/>
      <c r="M78" s="317"/>
      <c r="N78" s="317" t="s">
        <v>461</v>
      </c>
      <c r="O78" s="345" t="e">
        <f ca="1">MAX(Q85)</f>
        <v>#NAME?</v>
      </c>
      <c r="P78" s="339"/>
      <c r="Q78" s="338"/>
      <c r="S78" s="332"/>
      <c r="T78" s="317"/>
      <c r="U78" s="317"/>
      <c r="V78" s="317" t="s">
        <v>461</v>
      </c>
      <c r="W78" s="345" t="e">
        <f ca="1">MAX(Y85:Y92)</f>
        <v>#NAME?</v>
      </c>
      <c r="X78" s="339"/>
      <c r="Y78" s="338"/>
    </row>
    <row r="79" spans="3:25">
      <c r="C79" s="337">
        <f t="shared" si="1"/>
        <v>10</v>
      </c>
      <c r="D79" s="336" t="e">
        <f ca="1">_xll.fxAct_ax($E$35,$E$35+C79,_xll.fxAct_InterestSelectCurrent(4.5%,1,10,4%),_xll.fxAct_MortalityAdvanced(0,"CPM-2014M",0,1,TRUE,"CPM-B2D(M)",1,FALSE,0,2014,2024,999),"1124",,,,_xll.fxAct_MortalityAdvanced(2,"ZERO",0,1,FALSE,"ZERO",1,TRUE,0,0,0))</f>
        <v>#NAME?</v>
      </c>
      <c r="I79" s="333"/>
      <c r="K79" s="332" t="s">
        <v>197</v>
      </c>
      <c r="L79" s="322">
        <f>AVERAGE(E36:E38)</f>
        <v>58000</v>
      </c>
      <c r="M79" s="317"/>
      <c r="N79" s="317" t="s">
        <v>460</v>
      </c>
      <c r="O79" s="344" t="e">
        <f ca="1">Q85</f>
        <v>#NAME?</v>
      </c>
      <c r="P79" s="317"/>
      <c r="Q79" s="338"/>
      <c r="S79" s="332" t="s">
        <v>197</v>
      </c>
      <c r="T79" s="317">
        <f>AVERAGE(F36:F38)</f>
        <v>97000</v>
      </c>
      <c r="U79" s="317"/>
      <c r="V79" s="317" t="s">
        <v>460</v>
      </c>
      <c r="W79" s="344" t="e">
        <f ca="1">Y87</f>
        <v>#NAME?</v>
      </c>
      <c r="X79" s="317"/>
      <c r="Y79" s="338"/>
    </row>
    <row r="80" spans="3:25">
      <c r="C80" s="337">
        <f t="shared" si="1"/>
        <v>11</v>
      </c>
      <c r="D80" s="336" t="e">
        <f ca="1">_xll.fxAct_ax($E$35,$E$35+C80,_xll.fxAct_InterestSelectCurrent(4.5%,1,10,4%),_xll.fxAct_MortalityAdvanced(0,"CPM-2014M",0,1,TRUE,"CPM-B2D(M)",1,FALSE,0,2014,2024,999),"1124",,,,_xll.fxAct_MortalityAdvanced(2,"ZERO",0,1,FALSE,"ZERO",1,TRUE,0,0,0))</f>
        <v>#NAME?</v>
      </c>
      <c r="I80" s="333"/>
      <c r="K80" s="332" t="s">
        <v>459</v>
      </c>
      <c r="L80" s="322">
        <f>E44</f>
        <v>66667</v>
      </c>
      <c r="M80" s="317"/>
      <c r="N80" s="317" t="s">
        <v>458</v>
      </c>
      <c r="O80" s="343" t="e">
        <f ca="1">AVERAGE(O78:O79)</f>
        <v>#NAME?</v>
      </c>
      <c r="P80" s="339"/>
      <c r="Q80" s="338"/>
      <c r="S80" s="332" t="s">
        <v>459</v>
      </c>
      <c r="T80" s="322">
        <f>E44</f>
        <v>66667</v>
      </c>
      <c r="U80" s="317"/>
      <c r="V80" s="317" t="s">
        <v>458</v>
      </c>
      <c r="W80" s="343" t="e">
        <f ca="1">AVERAGE(W78:W79)</f>
        <v>#NAME?</v>
      </c>
      <c r="X80" s="339"/>
      <c r="Y80" s="338"/>
    </row>
    <row r="81" spans="2:25">
      <c r="C81" s="337">
        <f t="shared" si="1"/>
        <v>12</v>
      </c>
      <c r="D81" s="336" t="e">
        <f ca="1">_xll.fxAct_ax($E$35,$E$35+C81,_xll.fxAct_InterestSelectCurrent(4.5%,1,10,4%),_xll.fxAct_MortalityAdvanced(0,"CPM-2014M",0,1,TRUE,"CPM-B2D(M)",1,FALSE,0,2014,2024,999),"1124",,,,_xll.fxAct_MortalityAdvanced(2,"ZERO",0,1,FALSE,"ZERO",1,TRUE,0,0,0))</f>
        <v>#NAME?</v>
      </c>
      <c r="I81" s="210"/>
      <c r="K81" s="332" t="s">
        <v>457</v>
      </c>
      <c r="L81" s="342">
        <f>(MIN(L79,L80)*1%+MAX(0,L79-L80)*1.5%)*E39</f>
        <v>1740</v>
      </c>
      <c r="M81" s="317"/>
      <c r="N81" s="317" t="s">
        <v>456</v>
      </c>
      <c r="O81" s="341">
        <f>IF(E35&gt;=55,100%,0)</f>
        <v>0</v>
      </c>
      <c r="Q81" s="338"/>
      <c r="S81" s="332" t="s">
        <v>457</v>
      </c>
      <c r="T81" s="342">
        <f>(MIN(T79,T80)*1%+MAX(0,T79-T80)*1.5%)*F39</f>
        <v>12338.314999999999</v>
      </c>
      <c r="U81" s="317"/>
      <c r="V81" s="317" t="s">
        <v>456</v>
      </c>
      <c r="W81" s="341">
        <f>IF(F35&gt;=55,75%,0)</f>
        <v>0.75</v>
      </c>
      <c r="Y81" s="338"/>
    </row>
    <row r="82" spans="2:25">
      <c r="C82" s="337">
        <f t="shared" si="1"/>
        <v>13</v>
      </c>
      <c r="D82" s="336" t="e">
        <f ca="1">_xll.fxAct_ax($E$35,$E$35+C82,_xll.fxAct_InterestSelectCurrent(4.5%,1,10,4%),_xll.fxAct_MortalityAdvanced(0,"CPM-2014M",0,1,TRUE,"CPM-B2D(M)",1,FALSE,0,2014,2024,999),"1124",,,,_xll.fxAct_MortalityAdvanced(2,"ZERO",0,1,FALSE,"ZERO",1,TRUE,0,0,0))</f>
        <v>#NAME?</v>
      </c>
      <c r="I82" s="319"/>
      <c r="K82" s="332" t="s">
        <v>455</v>
      </c>
      <c r="L82" s="317" t="str">
        <f>IF(E35+E39&gt;55,"Y","N")</f>
        <v>N</v>
      </c>
      <c r="M82" s="317"/>
      <c r="N82" s="317" t="s">
        <v>446</v>
      </c>
      <c r="O82" s="340" t="e">
        <f ca="1">O81*O77+(1-O81)*O80</f>
        <v>#NAME?</v>
      </c>
      <c r="P82" s="339"/>
      <c r="Q82" s="338"/>
      <c r="S82" s="332" t="s">
        <v>455</v>
      </c>
      <c r="T82" s="317" t="str">
        <f>IF(F35+F39&gt;55,"Y","N")</f>
        <v>Y</v>
      </c>
      <c r="U82" s="317"/>
      <c r="V82" s="317" t="s">
        <v>446</v>
      </c>
      <c r="W82" s="340" t="e">
        <f ca="1">W81*W77+(1-W81)*W80</f>
        <v>#NAME?</v>
      </c>
      <c r="X82" s="339"/>
      <c r="Y82" s="338"/>
    </row>
    <row r="83" spans="2:25">
      <c r="C83" s="337">
        <f t="shared" si="1"/>
        <v>14</v>
      </c>
      <c r="D83" s="336" t="e">
        <f ca="1">_xll.fxAct_ax($E$35,$E$35+C83,_xll.fxAct_InterestSelectCurrent(4.5%,1,10,4%),_xll.fxAct_MortalityAdvanced(0,"CPM-2014M",0,1,TRUE,"CPM-B2D(M)",1,FALSE,0,2014,2024,999),"1124",,,,_xll.fxAct_MortalityAdvanced(2,"ZERO",0,1,FALSE,"ZERO",1,TRUE,0,0,0))</f>
        <v>#NAME?</v>
      </c>
      <c r="I83" s="333"/>
      <c r="K83" s="332"/>
      <c r="L83" s="317"/>
      <c r="M83" s="317"/>
      <c r="N83" s="317"/>
      <c r="O83" s="317"/>
      <c r="P83" s="317"/>
      <c r="Q83" s="334"/>
      <c r="S83" s="332"/>
      <c r="T83" s="317"/>
      <c r="U83" s="317"/>
      <c r="V83" s="317"/>
      <c r="W83" s="317"/>
      <c r="X83" s="317"/>
      <c r="Y83" s="334"/>
    </row>
    <row r="84" spans="2:25">
      <c r="C84" s="337">
        <f t="shared" si="1"/>
        <v>15</v>
      </c>
      <c r="D84" s="336" t="e">
        <f ca="1">_xll.fxAct_ax($E$35,$E$35+C84,_xll.fxAct_InterestSelectCurrent(4.5%,1,10,4%),_xll.fxAct_MortalityAdvanced(0,"CPM-2014M",0,1,TRUE,"CPM-B2D(M)",1,FALSE,0,2014,2024,999),"1124",,,,_xll.fxAct_MortalityAdvanced(2,"ZERO",0,1,FALSE,"ZERO",1,TRUE,0,0,0))</f>
        <v>#NAME?</v>
      </c>
      <c r="E84" s="335"/>
      <c r="F84" s="335"/>
      <c r="G84" s="335"/>
      <c r="I84" s="333"/>
      <c r="K84" s="332" t="s">
        <v>6</v>
      </c>
      <c r="L84" s="317" t="s">
        <v>259</v>
      </c>
      <c r="M84" s="317" t="s">
        <v>190</v>
      </c>
      <c r="N84" s="317" t="s">
        <v>454</v>
      </c>
      <c r="O84" s="317" t="s">
        <v>453</v>
      </c>
      <c r="P84" s="317" t="s">
        <v>452</v>
      </c>
      <c r="Q84" s="334" t="s">
        <v>451</v>
      </c>
      <c r="S84" s="332" t="s">
        <v>6</v>
      </c>
      <c r="T84" s="317" t="s">
        <v>259</v>
      </c>
      <c r="U84" s="317" t="s">
        <v>190</v>
      </c>
      <c r="V84" s="317" t="s">
        <v>454</v>
      </c>
      <c r="W84" s="317" t="s">
        <v>453</v>
      </c>
      <c r="X84" s="317" t="s">
        <v>452</v>
      </c>
      <c r="Y84" s="334" t="s">
        <v>451</v>
      </c>
    </row>
    <row r="85" spans="2:25" ht="16.5" thickBot="1">
      <c r="I85" s="333"/>
      <c r="K85" s="327">
        <v>65</v>
      </c>
      <c r="L85" s="326">
        <v>1</v>
      </c>
      <c r="M85" s="324">
        <f>L85*$L$81</f>
        <v>1740</v>
      </c>
      <c r="N85" s="325" t="e">
        <f ca="1">D65</f>
        <v>#NAME?</v>
      </c>
      <c r="O85" s="325" t="e">
        <f ca="1">D84</f>
        <v>#NAME?</v>
      </c>
      <c r="P85" s="324" t="e">
        <f ca="1">M85*N85</f>
        <v>#NAME?</v>
      </c>
      <c r="Q85" s="323" t="e">
        <f ca="1">M85*O85</f>
        <v>#NAME?</v>
      </c>
      <c r="S85" s="332">
        <f>F35</f>
        <v>58</v>
      </c>
      <c r="T85" s="331">
        <f>T86-6%</f>
        <v>0.87999999999999989</v>
      </c>
      <c r="U85" s="328">
        <f t="shared" ref="U85:U92" si="2">T85*$T$81</f>
        <v>10857.717199999997</v>
      </c>
      <c r="V85" s="329" t="e">
        <f t="shared" ref="V85:V92" ca="1" si="3">F50</f>
        <v>#NAME?</v>
      </c>
      <c r="W85" s="329" t="e">
        <f t="shared" ref="W85:W92" ca="1" si="4">F69</f>
        <v>#NAME?</v>
      </c>
      <c r="X85" s="328" t="e">
        <f t="shared" ref="X85:X92" ca="1" si="5">U85*V85</f>
        <v>#NAME?</v>
      </c>
      <c r="Y85" s="330" t="e">
        <f t="shared" ref="Y85:Y92" ca="1" si="6">U85*W85</f>
        <v>#NAME?</v>
      </c>
    </row>
    <row r="86" spans="2:25">
      <c r="B86" s="94" t="s">
        <v>28</v>
      </c>
      <c r="C86" s="94" t="s">
        <v>450</v>
      </c>
      <c r="D86" s="18" t="s">
        <v>348</v>
      </c>
      <c r="I86" s="333"/>
      <c r="K86" s="317"/>
      <c r="L86" s="316"/>
      <c r="M86" s="328"/>
      <c r="N86" s="329"/>
      <c r="O86" s="329"/>
      <c r="P86" s="328"/>
      <c r="Q86" s="328"/>
      <c r="S86" s="332">
        <f t="shared" ref="S86:S92" si="7">+S85+1</f>
        <v>59</v>
      </c>
      <c r="T86" s="331">
        <f>1-6%</f>
        <v>0.94</v>
      </c>
      <c r="U86" s="328">
        <f t="shared" si="2"/>
        <v>11598.016099999999</v>
      </c>
      <c r="V86" s="329" t="e">
        <f t="shared" ca="1" si="3"/>
        <v>#NAME?</v>
      </c>
      <c r="W86" s="329" t="e">
        <f t="shared" ca="1" si="4"/>
        <v>#NAME?</v>
      </c>
      <c r="X86" s="328" t="e">
        <f t="shared" ca="1" si="5"/>
        <v>#NAME?</v>
      </c>
      <c r="Y86" s="330" t="e">
        <f t="shared" ca="1" si="6"/>
        <v>#NAME?</v>
      </c>
    </row>
    <row r="87" spans="2:25">
      <c r="C87" s="126"/>
      <c r="I87" s="210"/>
      <c r="K87" s="317" t="s">
        <v>449</v>
      </c>
      <c r="L87" s="317"/>
      <c r="N87" s="322">
        <f>E42</f>
        <v>200000</v>
      </c>
      <c r="O87" s="329"/>
      <c r="P87" s="328"/>
      <c r="Q87" s="328"/>
      <c r="S87" s="332">
        <f t="shared" si="7"/>
        <v>60</v>
      </c>
      <c r="T87" s="331">
        <v>1</v>
      </c>
      <c r="U87" s="328">
        <f t="shared" si="2"/>
        <v>12338.314999999999</v>
      </c>
      <c r="V87" s="329" t="e">
        <f t="shared" ca="1" si="3"/>
        <v>#NAME?</v>
      </c>
      <c r="W87" s="329" t="e">
        <f t="shared" ca="1" si="4"/>
        <v>#NAME?</v>
      </c>
      <c r="X87" s="328" t="e">
        <f t="shared" ca="1" si="5"/>
        <v>#NAME?</v>
      </c>
      <c r="Y87" s="330" t="e">
        <f t="shared" ca="1" si="6"/>
        <v>#NAME?</v>
      </c>
    </row>
    <row r="88" spans="2:25">
      <c r="C88" s="126"/>
      <c r="D88" s="94" t="s">
        <v>347</v>
      </c>
      <c r="I88" s="210"/>
      <c r="K88" s="317" t="s">
        <v>448</v>
      </c>
      <c r="L88" s="317"/>
      <c r="N88" s="322">
        <f>-E30</f>
        <v>-50000</v>
      </c>
      <c r="O88" s="329"/>
      <c r="P88" s="328"/>
      <c r="Q88" s="328"/>
      <c r="S88" s="332">
        <f t="shared" si="7"/>
        <v>61</v>
      </c>
      <c r="T88" s="331">
        <v>1</v>
      </c>
      <c r="U88" s="328">
        <f t="shared" si="2"/>
        <v>12338.314999999999</v>
      </c>
      <c r="V88" s="329" t="e">
        <f t="shared" ca="1" si="3"/>
        <v>#NAME?</v>
      </c>
      <c r="W88" s="329" t="e">
        <f t="shared" ca="1" si="4"/>
        <v>#NAME?</v>
      </c>
      <c r="X88" s="328" t="e">
        <f t="shared" ca="1" si="5"/>
        <v>#NAME?</v>
      </c>
      <c r="Y88" s="330" t="e">
        <f t="shared" ca="1" si="6"/>
        <v>#NAME?</v>
      </c>
    </row>
    <row r="89" spans="2:25" ht="15.6" customHeight="1">
      <c r="C89" s="126"/>
      <c r="D89" s="469" t="s">
        <v>290</v>
      </c>
      <c r="E89" s="470"/>
      <c r="F89" s="470"/>
      <c r="G89" s="470"/>
      <c r="H89" s="471"/>
      <c r="I89" s="319"/>
      <c r="K89" s="317" t="s">
        <v>447</v>
      </c>
      <c r="L89" s="317"/>
      <c r="N89" s="320">
        <f>N87+N88</f>
        <v>150000</v>
      </c>
      <c r="O89" s="329"/>
      <c r="P89" s="328"/>
      <c r="Q89" s="328"/>
      <c r="S89" s="332">
        <f t="shared" si="7"/>
        <v>62</v>
      </c>
      <c r="T89" s="331">
        <v>1</v>
      </c>
      <c r="U89" s="328">
        <f t="shared" si="2"/>
        <v>12338.314999999999</v>
      </c>
      <c r="V89" s="329" t="e">
        <f t="shared" ca="1" si="3"/>
        <v>#NAME?</v>
      </c>
      <c r="W89" s="329" t="e">
        <f t="shared" ca="1" si="4"/>
        <v>#NAME?</v>
      </c>
      <c r="X89" s="328" t="e">
        <f t="shared" ca="1" si="5"/>
        <v>#NAME?</v>
      </c>
      <c r="Y89" s="330" t="e">
        <f t="shared" ca="1" si="6"/>
        <v>#NAME?</v>
      </c>
    </row>
    <row r="90" spans="2:25">
      <c r="C90" s="126"/>
      <c r="D90" s="472"/>
      <c r="E90" s="473"/>
      <c r="F90" s="473"/>
      <c r="G90" s="473"/>
      <c r="H90" s="474"/>
      <c r="I90" s="319"/>
      <c r="O90" s="329"/>
      <c r="P90" s="328"/>
      <c r="Q90" s="328"/>
      <c r="S90" s="332">
        <f t="shared" si="7"/>
        <v>63</v>
      </c>
      <c r="T90" s="331">
        <v>1</v>
      </c>
      <c r="U90" s="328">
        <f t="shared" si="2"/>
        <v>12338.314999999999</v>
      </c>
      <c r="V90" s="329" t="e">
        <f t="shared" ca="1" si="3"/>
        <v>#NAME?</v>
      </c>
      <c r="W90" s="329" t="e">
        <f t="shared" ca="1" si="4"/>
        <v>#NAME?</v>
      </c>
      <c r="X90" s="328" t="e">
        <f t="shared" ca="1" si="5"/>
        <v>#NAME?</v>
      </c>
      <c r="Y90" s="330" t="e">
        <f t="shared" ca="1" si="6"/>
        <v>#NAME?</v>
      </c>
    </row>
    <row r="91" spans="2:25">
      <c r="C91" s="126"/>
      <c r="I91" s="319"/>
      <c r="K91" s="317" t="s">
        <v>446</v>
      </c>
      <c r="L91" s="316"/>
      <c r="N91" s="322"/>
      <c r="O91" s="329"/>
      <c r="P91" s="328"/>
      <c r="Q91" s="328"/>
      <c r="S91" s="332">
        <f t="shared" si="7"/>
        <v>64</v>
      </c>
      <c r="T91" s="331">
        <v>1</v>
      </c>
      <c r="U91" s="328">
        <f t="shared" si="2"/>
        <v>12338.314999999999</v>
      </c>
      <c r="V91" s="329" t="e">
        <f t="shared" ca="1" si="3"/>
        <v>#NAME?</v>
      </c>
      <c r="W91" s="329" t="e">
        <f t="shared" ca="1" si="4"/>
        <v>#NAME?</v>
      </c>
      <c r="X91" s="328" t="e">
        <f t="shared" ca="1" si="5"/>
        <v>#NAME?</v>
      </c>
      <c r="Y91" s="330" t="e">
        <f t="shared" ca="1" si="6"/>
        <v>#NAME?</v>
      </c>
    </row>
    <row r="92" spans="2:25" ht="16.5" thickBot="1">
      <c r="D92" s="18"/>
      <c r="I92" s="319"/>
      <c r="K92" s="317" t="s">
        <v>304</v>
      </c>
      <c r="L92" s="316"/>
      <c r="N92" s="322" t="e">
        <f ca="1">O82</f>
        <v>#NAME?</v>
      </c>
      <c r="O92" s="329"/>
      <c r="P92" s="328"/>
      <c r="Q92" s="328"/>
      <c r="S92" s="327">
        <f t="shared" si="7"/>
        <v>65</v>
      </c>
      <c r="T92" s="326">
        <v>1</v>
      </c>
      <c r="U92" s="324">
        <f t="shared" si="2"/>
        <v>12338.314999999999</v>
      </c>
      <c r="V92" s="325" t="e">
        <f t="shared" ca="1" si="3"/>
        <v>#NAME?</v>
      </c>
      <c r="W92" s="325" t="e">
        <f t="shared" ca="1" si="4"/>
        <v>#NAME?</v>
      </c>
      <c r="X92" s="324" t="e">
        <f t="shared" ca="1" si="5"/>
        <v>#NAME?</v>
      </c>
      <c r="Y92" s="323" t="e">
        <f t="shared" ca="1" si="6"/>
        <v>#NAME?</v>
      </c>
    </row>
    <row r="93" spans="2:25">
      <c r="D93" s="18"/>
      <c r="I93" s="319"/>
      <c r="K93" s="317" t="s">
        <v>303</v>
      </c>
      <c r="L93" s="316"/>
      <c r="N93" s="322" t="e">
        <f ca="1">W82</f>
        <v>#NAME?</v>
      </c>
    </row>
    <row r="94" spans="2:25">
      <c r="D94" s="18"/>
      <c r="K94" s="317" t="s">
        <v>23</v>
      </c>
      <c r="L94" s="316"/>
      <c r="N94" s="320" t="e">
        <f ca="1">SUM(N92:N93)</f>
        <v>#NAME?</v>
      </c>
    </row>
    <row r="95" spans="2:25">
      <c r="D95" s="18"/>
      <c r="J95" s="321"/>
    </row>
    <row r="96" spans="2:25">
      <c r="D96" s="18"/>
      <c r="K96" s="317" t="s">
        <v>445</v>
      </c>
      <c r="N96" s="320" t="e">
        <f ca="1">N89-N94</f>
        <v>#NAME?</v>
      </c>
    </row>
    <row r="97" spans="2:12">
      <c r="D97" s="18"/>
    </row>
    <row r="98" spans="2:12">
      <c r="D98" s="18"/>
      <c r="I98" s="210"/>
      <c r="K98" s="292" t="s">
        <v>444</v>
      </c>
    </row>
    <row r="99" spans="2:12">
      <c r="I99" s="319"/>
      <c r="K99" s="317" t="s">
        <v>443</v>
      </c>
    </row>
    <row r="100" spans="2:12">
      <c r="I100" s="319"/>
      <c r="K100" s="317" t="s">
        <v>442</v>
      </c>
    </row>
    <row r="101" spans="2:12">
      <c r="B101" s="94" t="s">
        <v>30</v>
      </c>
      <c r="C101" s="94" t="s">
        <v>80</v>
      </c>
      <c r="D101" s="94" t="s">
        <v>346</v>
      </c>
      <c r="I101" s="319"/>
      <c r="K101" s="317" t="s">
        <v>441</v>
      </c>
    </row>
    <row r="102" spans="2:12" ht="17.25" customHeight="1">
      <c r="D102" s="94" t="s">
        <v>440</v>
      </c>
      <c r="I102" s="312"/>
    </row>
    <row r="103" spans="2:12" ht="17.25" customHeight="1" thickBot="1">
      <c r="I103" s="210"/>
    </row>
    <row r="104" spans="2:12" ht="16.5" thickBot="1">
      <c r="D104" s="318" t="s">
        <v>439</v>
      </c>
      <c r="E104" s="532" t="s">
        <v>438</v>
      </c>
      <c r="F104" s="533"/>
      <c r="G104" s="533"/>
      <c r="H104" s="534"/>
      <c r="I104" s="210"/>
    </row>
    <row r="105" spans="2:12" ht="24.6" customHeight="1" thickBot="1">
      <c r="D105" s="313" t="s">
        <v>437</v>
      </c>
      <c r="E105" s="535" t="s">
        <v>436</v>
      </c>
      <c r="F105" s="536"/>
      <c r="G105" s="536"/>
      <c r="H105" s="537"/>
      <c r="I105" s="314"/>
      <c r="K105" s="317"/>
      <c r="L105" s="316"/>
    </row>
    <row r="106" spans="2:12" ht="42.6" customHeight="1" thickBot="1">
      <c r="D106" s="313" t="s">
        <v>435</v>
      </c>
      <c r="E106" s="535" t="s">
        <v>434</v>
      </c>
      <c r="F106" s="536"/>
      <c r="G106" s="536"/>
      <c r="H106" s="537"/>
      <c r="I106" s="314"/>
      <c r="K106" s="317"/>
      <c r="L106" s="316"/>
    </row>
    <row r="107" spans="2:12" ht="51.95" customHeight="1" thickBot="1">
      <c r="D107" s="313" t="s">
        <v>433</v>
      </c>
      <c r="E107" s="538" t="s">
        <v>432</v>
      </c>
      <c r="F107" s="539"/>
      <c r="G107" s="539"/>
      <c r="H107" s="540"/>
      <c r="I107" s="314"/>
    </row>
    <row r="108" spans="2:12" ht="24.95" customHeight="1">
      <c r="D108" s="541" t="s">
        <v>431</v>
      </c>
      <c r="E108" s="543" t="s">
        <v>430</v>
      </c>
      <c r="F108" s="544"/>
      <c r="G108" s="544"/>
      <c r="H108" s="545"/>
      <c r="I108" s="314"/>
    </row>
    <row r="109" spans="2:12" ht="29.1" customHeight="1" thickBot="1">
      <c r="D109" s="542"/>
      <c r="E109" s="538" t="s">
        <v>429</v>
      </c>
      <c r="F109" s="539"/>
      <c r="G109" s="539"/>
      <c r="H109" s="540"/>
      <c r="I109" s="314"/>
    </row>
    <row r="110" spans="2:12" ht="30.95" customHeight="1">
      <c r="D110" s="541" t="s">
        <v>428</v>
      </c>
      <c r="E110" s="543" t="s">
        <v>427</v>
      </c>
      <c r="F110" s="544"/>
      <c r="G110" s="544"/>
      <c r="H110" s="545"/>
      <c r="I110" s="314"/>
    </row>
    <row r="111" spans="2:12" ht="30.95" customHeight="1">
      <c r="D111" s="546"/>
      <c r="E111" s="529" t="s">
        <v>426</v>
      </c>
      <c r="F111" s="530"/>
      <c r="G111" s="530"/>
      <c r="H111" s="531"/>
      <c r="I111" s="315"/>
    </row>
    <row r="112" spans="2:12" ht="29.45" customHeight="1">
      <c r="D112" s="546"/>
      <c r="E112" s="529" t="s">
        <v>425</v>
      </c>
      <c r="F112" s="530"/>
      <c r="G112" s="530"/>
      <c r="H112" s="531"/>
      <c r="I112" s="314"/>
    </row>
    <row r="113" spans="4:9" ht="20.100000000000001" customHeight="1">
      <c r="D113" s="546"/>
      <c r="E113" s="529" t="s">
        <v>424</v>
      </c>
      <c r="F113" s="530"/>
      <c r="G113" s="530"/>
      <c r="H113" s="531"/>
      <c r="I113" s="314"/>
    </row>
    <row r="114" spans="4:9" ht="20.100000000000001" customHeight="1">
      <c r="D114" s="546"/>
      <c r="E114" s="529" t="s">
        <v>423</v>
      </c>
      <c r="F114" s="530"/>
      <c r="G114" s="530"/>
      <c r="H114" s="531"/>
      <c r="I114" s="210"/>
    </row>
    <row r="115" spans="4:9" ht="20.100000000000001" customHeight="1">
      <c r="D115" s="546"/>
      <c r="E115" s="529" t="s">
        <v>422</v>
      </c>
      <c r="F115" s="530"/>
      <c r="G115" s="530"/>
      <c r="H115" s="531"/>
      <c r="I115" s="210"/>
    </row>
    <row r="116" spans="4:9" ht="20.100000000000001" customHeight="1">
      <c r="D116" s="546"/>
      <c r="E116" s="529" t="s">
        <v>421</v>
      </c>
      <c r="F116" s="530"/>
      <c r="G116" s="530"/>
      <c r="H116" s="531"/>
      <c r="I116" s="210"/>
    </row>
    <row r="117" spans="4:9" ht="20.100000000000001" customHeight="1" thickBot="1">
      <c r="D117" s="542"/>
      <c r="E117" s="529" t="s">
        <v>420</v>
      </c>
      <c r="F117" s="530"/>
      <c r="G117" s="530"/>
      <c r="H117" s="531"/>
      <c r="I117" s="210"/>
    </row>
    <row r="118" spans="4:9" ht="33.950000000000003" customHeight="1">
      <c r="D118" s="543" t="s">
        <v>419</v>
      </c>
      <c r="E118" s="543" t="s">
        <v>418</v>
      </c>
      <c r="F118" s="544"/>
      <c r="G118" s="544"/>
      <c r="H118" s="545"/>
      <c r="I118" s="210"/>
    </row>
    <row r="119" spans="4:9" ht="20.100000000000001" customHeight="1">
      <c r="D119" s="529"/>
      <c r="E119" s="529" t="s">
        <v>417</v>
      </c>
      <c r="F119" s="530"/>
      <c r="G119" s="530"/>
      <c r="H119" s="531"/>
      <c r="I119" s="210"/>
    </row>
    <row r="120" spans="4:9" ht="20.100000000000001" customHeight="1">
      <c r="D120" s="529"/>
      <c r="E120" s="529" t="s">
        <v>416</v>
      </c>
      <c r="F120" s="530"/>
      <c r="G120" s="530"/>
      <c r="H120" s="531"/>
      <c r="I120" s="210"/>
    </row>
    <row r="121" spans="4:9" ht="20.100000000000001" customHeight="1">
      <c r="D121" s="529"/>
      <c r="E121" s="529" t="s">
        <v>415</v>
      </c>
      <c r="F121" s="530"/>
      <c r="G121" s="530"/>
      <c r="H121" s="531"/>
      <c r="I121" s="210"/>
    </row>
    <row r="122" spans="4:9" ht="20.100000000000001" customHeight="1">
      <c r="D122" s="529"/>
      <c r="E122" s="529" t="s">
        <v>414</v>
      </c>
      <c r="F122" s="530"/>
      <c r="G122" s="530"/>
      <c r="H122" s="531"/>
      <c r="I122" s="210"/>
    </row>
    <row r="123" spans="4:9" ht="20.100000000000001" customHeight="1">
      <c r="D123" s="529"/>
      <c r="E123" s="529" t="s">
        <v>413</v>
      </c>
      <c r="F123" s="530"/>
      <c r="G123" s="530"/>
      <c r="H123" s="531"/>
      <c r="I123" s="210"/>
    </row>
    <row r="124" spans="4:9" ht="20.100000000000001" customHeight="1">
      <c r="D124" s="529"/>
      <c r="E124" s="529" t="s">
        <v>412</v>
      </c>
      <c r="F124" s="530"/>
      <c r="G124" s="530"/>
      <c r="H124" s="531"/>
      <c r="I124" s="210"/>
    </row>
    <row r="125" spans="4:9" ht="20.100000000000001" customHeight="1" thickBot="1">
      <c r="D125" s="538"/>
      <c r="E125" s="538" t="s">
        <v>411</v>
      </c>
      <c r="F125" s="539"/>
      <c r="G125" s="539"/>
      <c r="H125" s="540"/>
      <c r="I125" s="210"/>
    </row>
    <row r="126" spans="4:9" ht="38.450000000000003" customHeight="1">
      <c r="D126" s="541" t="s">
        <v>410</v>
      </c>
      <c r="E126" s="529" t="s">
        <v>409</v>
      </c>
      <c r="F126" s="530"/>
      <c r="G126" s="530"/>
      <c r="H126" s="531"/>
      <c r="I126" s="210"/>
    </row>
    <row r="127" spans="4:9" ht="29.1" customHeight="1" thickBot="1">
      <c r="D127" s="542"/>
      <c r="E127" s="538" t="s">
        <v>408</v>
      </c>
      <c r="F127" s="539"/>
      <c r="G127" s="539"/>
      <c r="H127" s="540"/>
      <c r="I127" s="210"/>
    </row>
    <row r="128" spans="4:9" ht="43.5" customHeight="1">
      <c r="D128" s="541" t="s">
        <v>407</v>
      </c>
      <c r="E128" s="543" t="s">
        <v>406</v>
      </c>
      <c r="F128" s="544"/>
      <c r="G128" s="544"/>
      <c r="H128" s="545"/>
      <c r="I128" s="210"/>
    </row>
    <row r="129" spans="4:9" ht="34.5" customHeight="1">
      <c r="D129" s="546"/>
      <c r="E129" s="529" t="s">
        <v>405</v>
      </c>
      <c r="F129" s="530"/>
      <c r="G129" s="530"/>
      <c r="H129" s="531"/>
      <c r="I129" s="210"/>
    </row>
    <row r="130" spans="4:9" ht="23.1" customHeight="1" thickBot="1">
      <c r="D130" s="542"/>
      <c r="E130" s="538" t="s">
        <v>404</v>
      </c>
      <c r="F130" s="539"/>
      <c r="G130" s="539"/>
      <c r="H130" s="540"/>
      <c r="I130" s="210"/>
    </row>
    <row r="131" spans="4:9" ht="59.45" customHeight="1" thickBot="1">
      <c r="D131" s="313" t="s">
        <v>403</v>
      </c>
      <c r="E131" s="535" t="s">
        <v>402</v>
      </c>
      <c r="F131" s="536"/>
      <c r="G131" s="536"/>
      <c r="H131" s="537"/>
      <c r="I131" s="210"/>
    </row>
    <row r="132" spans="4:9" ht="68.099999999999994" customHeight="1" thickBot="1">
      <c r="D132" s="313" t="s">
        <v>401</v>
      </c>
      <c r="E132" s="535" t="s">
        <v>400</v>
      </c>
      <c r="F132" s="536"/>
      <c r="G132" s="536"/>
      <c r="H132" s="537"/>
      <c r="I132" s="210"/>
    </row>
    <row r="133" spans="4:9" ht="36.6" customHeight="1" thickBot="1">
      <c r="D133" s="313" t="s">
        <v>399</v>
      </c>
      <c r="E133" s="535" t="s">
        <v>398</v>
      </c>
      <c r="F133" s="536"/>
      <c r="G133" s="536"/>
      <c r="H133" s="537"/>
      <c r="I133" s="210"/>
    </row>
    <row r="134" spans="4:9" ht="50.1" customHeight="1" thickBot="1">
      <c r="D134" s="313" t="s">
        <v>397</v>
      </c>
      <c r="E134" s="543" t="s">
        <v>396</v>
      </c>
      <c r="F134" s="544"/>
      <c r="G134" s="544"/>
      <c r="H134" s="545"/>
      <c r="I134" s="210"/>
    </row>
    <row r="135" spans="4:9" ht="53.1" customHeight="1">
      <c r="D135" s="543" t="s">
        <v>395</v>
      </c>
      <c r="E135" s="543" t="s">
        <v>394</v>
      </c>
      <c r="F135" s="544"/>
      <c r="G135" s="544"/>
      <c r="H135" s="545"/>
      <c r="I135" s="210"/>
    </row>
    <row r="136" spans="4:9" ht="51.95" customHeight="1" thickBot="1">
      <c r="D136" s="538"/>
      <c r="E136" s="538" t="s">
        <v>393</v>
      </c>
      <c r="F136" s="539"/>
      <c r="G136" s="539"/>
      <c r="H136" s="540"/>
      <c r="I136" s="210"/>
    </row>
    <row r="137" spans="4:9" ht="29.45" customHeight="1" thickBot="1">
      <c r="D137" s="313" t="s">
        <v>392</v>
      </c>
      <c r="E137" s="535" t="s">
        <v>391</v>
      </c>
      <c r="F137" s="536"/>
      <c r="G137" s="536"/>
      <c r="H137" s="537"/>
      <c r="I137" s="210"/>
    </row>
    <row r="138" spans="4:9" ht="42" customHeight="1" thickBot="1">
      <c r="D138" s="313" t="s">
        <v>390</v>
      </c>
      <c r="E138" s="538" t="s">
        <v>389</v>
      </c>
      <c r="F138" s="539"/>
      <c r="G138" s="539"/>
      <c r="H138" s="540"/>
      <c r="I138" s="210"/>
    </row>
    <row r="139" spans="4:9">
      <c r="I139" s="312"/>
    </row>
  </sheetData>
  <mergeCells count="73">
    <mergeCell ref="E137:H137"/>
    <mergeCell ref="E138:H138"/>
    <mergeCell ref="E131:H131"/>
    <mergeCell ref="E132:H132"/>
    <mergeCell ref="E133:H133"/>
    <mergeCell ref="E134:H134"/>
    <mergeCell ref="D135:D136"/>
    <mergeCell ref="E135:H135"/>
    <mergeCell ref="E136:H136"/>
    <mergeCell ref="E124:H124"/>
    <mergeCell ref="E125:H125"/>
    <mergeCell ref="D126:D127"/>
    <mergeCell ref="E126:H126"/>
    <mergeCell ref="E127:H127"/>
    <mergeCell ref="D128:D130"/>
    <mergeCell ref="E128:H128"/>
    <mergeCell ref="E113:H113"/>
    <mergeCell ref="E114:H114"/>
    <mergeCell ref="E129:H129"/>
    <mergeCell ref="E130:H130"/>
    <mergeCell ref="D118:D125"/>
    <mergeCell ref="E118:H118"/>
    <mergeCell ref="E119:H119"/>
    <mergeCell ref="E120:H120"/>
    <mergeCell ref="E121:H121"/>
    <mergeCell ref="E122:H122"/>
    <mergeCell ref="E123:H123"/>
    <mergeCell ref="C39:D39"/>
    <mergeCell ref="E115:H115"/>
    <mergeCell ref="E116:H116"/>
    <mergeCell ref="E117:H117"/>
    <mergeCell ref="D89:H90"/>
    <mergeCell ref="E104:H104"/>
    <mergeCell ref="E105:H105"/>
    <mergeCell ref="E106:H106"/>
    <mergeCell ref="E107:H107"/>
    <mergeCell ref="D108:D109"/>
    <mergeCell ref="E108:H108"/>
    <mergeCell ref="E109:H109"/>
    <mergeCell ref="D110:D117"/>
    <mergeCell ref="E110:H110"/>
    <mergeCell ref="E111:H111"/>
    <mergeCell ref="E112:H112"/>
    <mergeCell ref="C29:D29"/>
    <mergeCell ref="E29:F29"/>
    <mergeCell ref="C30:D30"/>
    <mergeCell ref="E30:F30"/>
    <mergeCell ref="C35:D35"/>
    <mergeCell ref="C28:D28"/>
    <mergeCell ref="E28:F28"/>
    <mergeCell ref="C21:F21"/>
    <mergeCell ref="C22:D22"/>
    <mergeCell ref="E22:F22"/>
    <mergeCell ref="C23:D23"/>
    <mergeCell ref="E23:F23"/>
    <mergeCell ref="C24:F24"/>
    <mergeCell ref="C25:D25"/>
    <mergeCell ref="E25:F25"/>
    <mergeCell ref="C26:D26"/>
    <mergeCell ref="E26:F26"/>
    <mergeCell ref="C27:F27"/>
    <mergeCell ref="C15:D16"/>
    <mergeCell ref="E15:G15"/>
    <mergeCell ref="E16:G16"/>
    <mergeCell ref="C17:D17"/>
    <mergeCell ref="C20:D20"/>
    <mergeCell ref="E20:F20"/>
    <mergeCell ref="C14:D14"/>
    <mergeCell ref="C10:D10"/>
    <mergeCell ref="E10:G10"/>
    <mergeCell ref="E11:G11"/>
    <mergeCell ref="C12:D12"/>
    <mergeCell ref="C13:D13"/>
  </mergeCells>
  <pageMargins left="0.7" right="0.7" top="0.75" bottom="0.75" header="0.3" footer="0.3"/>
  <pageSetup orientation="portrait" r:id="rId1"/>
  <customProperties>
    <customPr name="watsonwyatt_sheetdata"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B51B0-0447-4681-A4CE-3CAFE1CD5C97}">
  <dimension ref="A1:AB93"/>
  <sheetViews>
    <sheetView tabSelected="1" zoomScale="87" zoomScaleNormal="90" workbookViewId="0">
      <selection activeCell="B6" sqref="B6"/>
    </sheetView>
  </sheetViews>
  <sheetFormatPr defaultColWidth="8.85546875" defaultRowHeight="15.75"/>
  <cols>
    <col min="1" max="1" width="3.5703125" style="94" customWidth="1"/>
    <col min="2" max="2" width="11.140625" style="94" customWidth="1"/>
    <col min="3" max="3" width="19.42578125" style="94" customWidth="1"/>
    <col min="4" max="4" width="20.140625" style="94" customWidth="1"/>
    <col min="5" max="5" width="16.140625" style="94" customWidth="1"/>
    <col min="6" max="6" width="12.85546875" style="94" customWidth="1"/>
    <col min="7" max="7" width="16.7109375" style="94" bestFit="1" customWidth="1"/>
    <col min="8" max="8" width="12.85546875" style="94" customWidth="1"/>
    <col min="9" max="9" width="26.42578125" style="94" customWidth="1"/>
    <col min="10" max="10" width="12.85546875" style="94" customWidth="1"/>
    <col min="11" max="11" width="12.5703125" style="94" bestFit="1" customWidth="1"/>
    <col min="12" max="12" width="2.5703125" style="94" customWidth="1"/>
    <col min="13" max="13" width="54.28515625" style="21" customWidth="1"/>
    <col min="14" max="14" width="53.140625" style="21" bestFit="1" customWidth="1"/>
    <col min="15" max="16" width="19.28515625" style="21" bestFit="1" customWidth="1"/>
    <col min="17" max="17" width="14.85546875" style="21" customWidth="1"/>
    <col min="18" max="18" width="19.42578125" style="21" bestFit="1" customWidth="1"/>
    <col min="19" max="19" width="22" style="21" bestFit="1" customWidth="1"/>
    <col min="20" max="20" width="19.7109375" style="21" customWidth="1"/>
    <col min="21" max="21" width="14.85546875" style="21" customWidth="1"/>
    <col min="22" max="22" width="8.85546875" style="21"/>
    <col min="23" max="23" width="22" style="21" bestFit="1" customWidth="1"/>
    <col min="24" max="24" width="15" style="21" bestFit="1" customWidth="1"/>
    <col min="25" max="26" width="14" style="21" bestFit="1" customWidth="1"/>
    <col min="27" max="27" width="17.85546875" style="21" customWidth="1"/>
    <col min="28" max="28" width="13.7109375" style="21" bestFit="1" customWidth="1"/>
    <col min="29" max="29" width="11.28515625" style="21" bestFit="1" customWidth="1"/>
    <col min="30" max="16384" width="8.85546875" style="21"/>
  </cols>
  <sheetData>
    <row r="1" spans="1:24">
      <c r="A1" s="18" t="s">
        <v>94</v>
      </c>
      <c r="B1" s="18"/>
      <c r="M1" s="21" t="s">
        <v>94</v>
      </c>
    </row>
    <row r="2" spans="1:24">
      <c r="A2" s="18" t="s">
        <v>564</v>
      </c>
      <c r="B2" s="18"/>
      <c r="M2" s="21" t="s">
        <v>564</v>
      </c>
    </row>
    <row r="3" spans="1:24" ht="18.399999999999999" customHeight="1">
      <c r="A3" s="410"/>
    </row>
    <row r="4" spans="1:24" ht="18.399999999999999" customHeight="1">
      <c r="A4" s="18"/>
      <c r="M4" s="21" t="s">
        <v>181</v>
      </c>
      <c r="N4" s="21" t="s">
        <v>563</v>
      </c>
      <c r="O4" s="384"/>
      <c r="U4"/>
      <c r="V4"/>
      <c r="W4"/>
      <c r="X4"/>
    </row>
    <row r="5" spans="1:24" ht="46.15" customHeight="1">
      <c r="A5" s="18"/>
      <c r="B5" s="126" t="s">
        <v>562</v>
      </c>
      <c r="C5" s="558" t="s">
        <v>561</v>
      </c>
      <c r="D5" s="558"/>
      <c r="E5" s="558"/>
      <c r="F5" s="558"/>
      <c r="G5" s="558"/>
      <c r="H5" s="558"/>
      <c r="I5" s="558"/>
      <c r="J5" s="558"/>
      <c r="K5" s="558"/>
      <c r="U5"/>
      <c r="V5"/>
      <c r="W5"/>
      <c r="X5"/>
    </row>
    <row r="6" spans="1:24">
      <c r="N6" s="127" t="s">
        <v>560</v>
      </c>
      <c r="U6"/>
      <c r="V6"/>
      <c r="W6"/>
      <c r="X6"/>
    </row>
    <row r="7" spans="1:24">
      <c r="C7" s="256" t="s">
        <v>559</v>
      </c>
      <c r="M7" s="21" t="s">
        <v>558</v>
      </c>
      <c r="N7" s="21" t="s">
        <v>557</v>
      </c>
      <c r="O7" s="385">
        <f>F58*(1+E17)+(F59)*(1+E17/2)-F53</f>
        <v>434548.14</v>
      </c>
      <c r="P7" s="384"/>
      <c r="R7" s="365"/>
      <c r="U7"/>
      <c r="V7"/>
      <c r="W7"/>
      <c r="X7"/>
    </row>
    <row r="8" spans="1:24" ht="15.6" customHeight="1">
      <c r="C8" s="551" t="s">
        <v>556</v>
      </c>
      <c r="D8" s="552"/>
      <c r="E8" s="562" t="s">
        <v>555</v>
      </c>
      <c r="F8" s="563"/>
      <c r="G8" s="563"/>
      <c r="H8" s="564"/>
      <c r="N8" s="21" t="s">
        <v>554</v>
      </c>
      <c r="O8" s="385">
        <f>F58*(1+F60)+F59*(1+F60/2)-F53</f>
        <v>477048.13999999996</v>
      </c>
      <c r="P8" s="384"/>
      <c r="U8"/>
      <c r="V8"/>
      <c r="W8"/>
      <c r="X8"/>
    </row>
    <row r="9" spans="1:24" ht="15.6" customHeight="1">
      <c r="C9" s="555"/>
      <c r="D9" s="556"/>
      <c r="E9" s="565"/>
      <c r="F9" s="566"/>
      <c r="G9" s="566"/>
      <c r="H9" s="567"/>
      <c r="N9" s="21" t="s">
        <v>553</v>
      </c>
      <c r="O9" s="385">
        <f>O8-O7</f>
        <v>42499.999999999942</v>
      </c>
      <c r="P9" s="384"/>
      <c r="U9"/>
      <c r="V9"/>
      <c r="W9"/>
      <c r="X9"/>
    </row>
    <row r="10" spans="1:24">
      <c r="C10" s="550" t="s">
        <v>335</v>
      </c>
      <c r="D10" s="550"/>
      <c r="E10" s="559" t="s">
        <v>334</v>
      </c>
      <c r="F10" s="560"/>
      <c r="G10" s="560"/>
      <c r="H10" s="561"/>
      <c r="O10" s="385"/>
      <c r="U10"/>
      <c r="V10"/>
      <c r="W10"/>
      <c r="X10"/>
    </row>
    <row r="11" spans="1:24">
      <c r="C11" s="550" t="s">
        <v>101</v>
      </c>
      <c r="D11" s="550"/>
      <c r="E11" s="559">
        <v>65</v>
      </c>
      <c r="F11" s="560"/>
      <c r="G11" s="560"/>
      <c r="H11" s="561"/>
      <c r="N11" s="21" t="s">
        <v>552</v>
      </c>
      <c r="O11" s="385">
        <f>-2/3*F57-1/3*F56</f>
        <v>19000</v>
      </c>
      <c r="U11"/>
      <c r="V11"/>
      <c r="W11"/>
      <c r="X11"/>
    </row>
    <row r="12" spans="1:24" ht="111.6" customHeight="1">
      <c r="C12" s="559" t="s">
        <v>551</v>
      </c>
      <c r="D12" s="561"/>
      <c r="E12" s="568" t="s">
        <v>550</v>
      </c>
      <c r="F12" s="569"/>
      <c r="G12" s="569"/>
      <c r="H12" s="570"/>
      <c r="N12" s="21" t="s">
        <v>549</v>
      </c>
      <c r="O12" s="385">
        <f>O11+F58</f>
        <v>429000</v>
      </c>
      <c r="U12"/>
      <c r="V12"/>
      <c r="W12"/>
      <c r="X12"/>
    </row>
    <row r="13" spans="1:24" ht="34.9" customHeight="1">
      <c r="C13" s="550" t="s">
        <v>548</v>
      </c>
      <c r="D13" s="550"/>
      <c r="E13" s="568" t="s">
        <v>547</v>
      </c>
      <c r="F13" s="569"/>
      <c r="G13" s="569"/>
      <c r="H13" s="570"/>
      <c r="N13" s="21" t="s">
        <v>546</v>
      </c>
      <c r="O13" s="385">
        <f>(O12)*(1+E17)+(F59)*(1+E17/2)-F53</f>
        <v>454498.14</v>
      </c>
      <c r="P13" s="384"/>
      <c r="T13" s="365"/>
      <c r="U13"/>
      <c r="V13"/>
      <c r="W13"/>
      <c r="X13"/>
    </row>
    <row r="14" spans="1:24" ht="31.5" customHeight="1">
      <c r="C14" s="550" t="s">
        <v>545</v>
      </c>
      <c r="D14" s="550"/>
      <c r="E14" s="568" t="s">
        <v>544</v>
      </c>
      <c r="F14" s="569"/>
      <c r="G14" s="569"/>
      <c r="H14" s="570"/>
      <c r="M14" s="21" t="s">
        <v>543</v>
      </c>
      <c r="N14" s="21" t="s">
        <v>542</v>
      </c>
      <c r="O14" s="385">
        <f>O11*(1+$E$17)</f>
        <v>19950</v>
      </c>
      <c r="U14"/>
      <c r="V14"/>
      <c r="W14"/>
      <c r="X14"/>
    </row>
    <row r="15" spans="1:24">
      <c r="M15" s="21" t="s">
        <v>541</v>
      </c>
      <c r="N15" s="21" t="s">
        <v>540</v>
      </c>
      <c r="O15" s="385">
        <f>-F57*1/3-O9*2/3</f>
        <v>-17333.333333333296</v>
      </c>
      <c r="U15"/>
      <c r="V15"/>
      <c r="W15"/>
      <c r="X15"/>
    </row>
    <row r="16" spans="1:24">
      <c r="C16" s="256" t="s">
        <v>539</v>
      </c>
      <c r="N16" s="21" t="s">
        <v>538</v>
      </c>
      <c r="O16" s="385">
        <f>O8+O15</f>
        <v>459714.80666666664</v>
      </c>
      <c r="P16" s="384"/>
      <c r="U16"/>
      <c r="V16"/>
      <c r="W16"/>
      <c r="X16"/>
    </row>
    <row r="17" spans="3:27">
      <c r="C17" s="547" t="s">
        <v>109</v>
      </c>
      <c r="D17" s="548"/>
      <c r="E17" s="409">
        <v>0.05</v>
      </c>
      <c r="F17" s="571" t="s">
        <v>536</v>
      </c>
      <c r="G17" s="571"/>
      <c r="H17" s="506"/>
      <c r="N17" s="21" t="s">
        <v>537</v>
      </c>
      <c r="O17" s="385">
        <f>O15-O14</f>
        <v>-37283.333333333299</v>
      </c>
      <c r="P17" s="384"/>
      <c r="U17"/>
      <c r="V17"/>
      <c r="W17"/>
      <c r="X17"/>
    </row>
    <row r="18" spans="3:27">
      <c r="C18" s="364" t="s">
        <v>326</v>
      </c>
      <c r="D18" s="107"/>
      <c r="E18" s="409">
        <v>0.03</v>
      </c>
      <c r="F18" s="408" t="s">
        <v>536</v>
      </c>
      <c r="G18" s="408"/>
      <c r="H18" s="358"/>
    </row>
    <row r="19" spans="3:27">
      <c r="C19" s="551" t="s">
        <v>322</v>
      </c>
      <c r="D19" s="552"/>
      <c r="E19" s="549" t="s">
        <v>6</v>
      </c>
      <c r="F19" s="549"/>
      <c r="G19" s="549" t="s">
        <v>533</v>
      </c>
      <c r="H19" s="549"/>
      <c r="I19" s="407"/>
      <c r="J19" s="407"/>
      <c r="N19" s="21" t="s">
        <v>535</v>
      </c>
      <c r="O19" s="385">
        <f>O17+O9</f>
        <v>5216.6666666666424</v>
      </c>
    </row>
    <row r="20" spans="3:27">
      <c r="C20" s="553"/>
      <c r="D20" s="554"/>
      <c r="E20" s="559">
        <v>62</v>
      </c>
      <c r="F20" s="561"/>
      <c r="G20" s="579">
        <v>0.5</v>
      </c>
      <c r="H20" s="561"/>
      <c r="I20" s="407"/>
      <c r="J20" s="407"/>
      <c r="N20" s="21" t="s">
        <v>534</v>
      </c>
      <c r="O20" s="385">
        <f>O16-O13</f>
        <v>5216.6666666666279</v>
      </c>
    </row>
    <row r="21" spans="3:27">
      <c r="C21" s="553"/>
      <c r="D21" s="554"/>
      <c r="E21" s="550">
        <v>63</v>
      </c>
      <c r="F21" s="550"/>
      <c r="G21" s="577">
        <v>0.5</v>
      </c>
      <c r="H21" s="577"/>
      <c r="I21" s="407"/>
      <c r="J21" s="407"/>
    </row>
    <row r="22" spans="3:27">
      <c r="C22" s="553"/>
      <c r="D22" s="554"/>
      <c r="E22" s="550">
        <v>64</v>
      </c>
      <c r="F22" s="550"/>
      <c r="G22" s="577">
        <v>0.5</v>
      </c>
      <c r="H22" s="577"/>
      <c r="I22" s="407"/>
      <c r="J22" s="407"/>
    </row>
    <row r="23" spans="3:27">
      <c r="C23" s="555"/>
      <c r="D23" s="556"/>
      <c r="E23" s="550">
        <v>65</v>
      </c>
      <c r="F23" s="550"/>
      <c r="G23" s="577">
        <v>1</v>
      </c>
      <c r="H23" s="550"/>
      <c r="I23" s="407"/>
      <c r="J23" s="407"/>
      <c r="N23" s="127" t="s">
        <v>478</v>
      </c>
      <c r="O23" s="385"/>
      <c r="Z23" s="365"/>
      <c r="AA23" s="365"/>
    </row>
    <row r="24" spans="3:27">
      <c r="C24" s="514" t="s">
        <v>114</v>
      </c>
      <c r="D24" s="515"/>
      <c r="E24" s="549" t="s">
        <v>6</v>
      </c>
      <c r="F24" s="549"/>
      <c r="G24" s="572" t="s">
        <v>533</v>
      </c>
      <c r="H24" s="573"/>
      <c r="I24" s="407"/>
      <c r="J24" s="407"/>
      <c r="N24" s="21" t="s">
        <v>532</v>
      </c>
      <c r="O24" s="385">
        <f>E50+F50</f>
        <v>25951.1</v>
      </c>
      <c r="R24" s="365"/>
      <c r="S24" s="365"/>
    </row>
    <row r="25" spans="3:27">
      <c r="C25" s="516"/>
      <c r="D25" s="517"/>
      <c r="E25" s="550">
        <v>45</v>
      </c>
      <c r="F25" s="550"/>
      <c r="G25" s="574">
        <v>0.02</v>
      </c>
      <c r="H25" s="575"/>
      <c r="I25" s="407"/>
      <c r="J25" s="407"/>
      <c r="N25" s="21" t="s">
        <v>531</v>
      </c>
      <c r="O25" s="385">
        <f>F59</f>
        <v>30000</v>
      </c>
    </row>
    <row r="26" spans="3:27">
      <c r="C26" s="516"/>
      <c r="D26" s="517"/>
      <c r="E26" s="559">
        <v>50</v>
      </c>
      <c r="F26" s="561"/>
      <c r="G26" s="576">
        <v>0.01</v>
      </c>
      <c r="H26" s="575"/>
      <c r="I26" s="407"/>
      <c r="J26" s="407"/>
      <c r="N26" s="21" t="s">
        <v>530</v>
      </c>
      <c r="O26" s="385">
        <f>O25-O24</f>
        <v>4048.9000000000015</v>
      </c>
      <c r="P26" s="384"/>
    </row>
    <row r="27" spans="3:27">
      <c r="C27" s="547" t="s">
        <v>319</v>
      </c>
      <c r="D27" s="548"/>
      <c r="E27" s="547" t="s">
        <v>2</v>
      </c>
      <c r="F27" s="557"/>
      <c r="G27" s="557"/>
      <c r="H27" s="548"/>
    </row>
    <row r="28" spans="3:27">
      <c r="C28" s="364" t="s">
        <v>529</v>
      </c>
      <c r="D28" s="107"/>
      <c r="E28" s="364" t="s">
        <v>323</v>
      </c>
      <c r="F28" s="106"/>
      <c r="G28" s="106"/>
      <c r="H28" s="107"/>
      <c r="N28" s="127" t="s">
        <v>528</v>
      </c>
      <c r="O28" s="365"/>
    </row>
    <row r="29" spans="3:27">
      <c r="C29" s="364" t="s">
        <v>527</v>
      </c>
      <c r="D29" s="107"/>
      <c r="E29" s="364" t="s">
        <v>526</v>
      </c>
      <c r="F29" s="106"/>
      <c r="G29" s="106"/>
      <c r="H29" s="107"/>
      <c r="O29" s="127" t="s">
        <v>304</v>
      </c>
      <c r="P29" s="406" t="s">
        <v>303</v>
      </c>
      <c r="R29" s="365"/>
      <c r="S29" s="168"/>
      <c r="T29" s="365"/>
      <c r="Z29" s="365"/>
    </row>
    <row r="30" spans="3:27">
      <c r="C30" s="547" t="s">
        <v>113</v>
      </c>
      <c r="D30" s="548"/>
      <c r="E30" s="547" t="s">
        <v>5</v>
      </c>
      <c r="F30" s="557"/>
      <c r="G30" s="557"/>
      <c r="H30" s="548"/>
      <c r="N30" s="21" t="s">
        <v>525</v>
      </c>
      <c r="O30" s="385">
        <f>E49</f>
        <v>443825.84</v>
      </c>
      <c r="P30" s="385">
        <f>F49</f>
        <v>41448.269999999997</v>
      </c>
      <c r="R30" s="365"/>
      <c r="S30" s="168"/>
      <c r="T30" s="365"/>
      <c r="X30" s="393"/>
      <c r="Z30" s="365"/>
      <c r="AA30" s="365"/>
    </row>
    <row r="31" spans="3:27">
      <c r="N31" s="21" t="s">
        <v>524</v>
      </c>
      <c r="O31" s="385">
        <f>E50</f>
        <v>17753.03</v>
      </c>
      <c r="P31" s="385">
        <f>F50</f>
        <v>8198.07</v>
      </c>
      <c r="R31" s="365"/>
      <c r="S31" s="168"/>
      <c r="T31" s="365"/>
      <c r="X31" s="393"/>
      <c r="Z31" s="365"/>
      <c r="AA31" s="365"/>
    </row>
    <row r="32" spans="3:27">
      <c r="C32" s="256" t="s">
        <v>523</v>
      </c>
      <c r="G32" s="256"/>
      <c r="M32" s="21" t="s">
        <v>522</v>
      </c>
      <c r="N32" s="21" t="s">
        <v>494</v>
      </c>
      <c r="O32" s="385">
        <f>(O30+O31)*(1+$E$17)</f>
        <v>484657.81349999999</v>
      </c>
      <c r="P32" s="385">
        <f>(P30+P31)*(1+$E$17)</f>
        <v>52128.656999999999</v>
      </c>
      <c r="Q32" s="384"/>
      <c r="R32" s="365"/>
      <c r="S32" s="168"/>
      <c r="T32" s="365"/>
      <c r="Z32" s="365"/>
      <c r="AA32" s="365"/>
    </row>
    <row r="33" spans="3:27">
      <c r="C33" s="284"/>
      <c r="D33" s="405" t="s">
        <v>304</v>
      </c>
      <c r="E33" s="405" t="s">
        <v>303</v>
      </c>
      <c r="F33" s="404"/>
      <c r="J33" s="403"/>
      <c r="Q33" s="384"/>
    </row>
    <row r="34" spans="3:27">
      <c r="C34" s="284" t="s">
        <v>6</v>
      </c>
      <c r="D34" s="281">
        <v>62</v>
      </c>
      <c r="E34" s="281">
        <v>45</v>
      </c>
      <c r="F34" s="402"/>
      <c r="J34" s="289"/>
      <c r="P34" s="387"/>
      <c r="R34" s="365"/>
      <c r="S34" s="168"/>
      <c r="T34" s="365"/>
      <c r="Z34" s="365"/>
      <c r="AA34" s="365"/>
    </row>
    <row r="35" spans="3:27">
      <c r="C35" s="284" t="s">
        <v>521</v>
      </c>
      <c r="D35" s="281">
        <v>25</v>
      </c>
      <c r="E35" s="281">
        <v>5</v>
      </c>
      <c r="F35" s="402"/>
      <c r="J35" s="289"/>
      <c r="P35" s="387"/>
      <c r="R35" s="365"/>
      <c r="S35" s="168"/>
      <c r="T35" s="365"/>
      <c r="Z35" s="365"/>
      <c r="AA35" s="365"/>
    </row>
    <row r="36" spans="3:27">
      <c r="C36" s="284" t="s">
        <v>520</v>
      </c>
      <c r="D36" s="382">
        <v>85000</v>
      </c>
      <c r="E36" s="382">
        <v>60000</v>
      </c>
      <c r="F36" s="399"/>
      <c r="G36" s="400"/>
      <c r="J36" s="289"/>
      <c r="K36" s="400"/>
      <c r="N36" s="127" t="s">
        <v>303</v>
      </c>
      <c r="O36" s="21" t="s">
        <v>254</v>
      </c>
      <c r="P36" s="387" t="s">
        <v>497</v>
      </c>
      <c r="Q36" s="21" t="s">
        <v>496</v>
      </c>
      <c r="R36" s="365"/>
      <c r="S36" s="168"/>
      <c r="T36" s="365"/>
      <c r="Z36" s="365"/>
      <c r="AA36" s="365"/>
    </row>
    <row r="37" spans="3:27">
      <c r="C37" s="284" t="s">
        <v>519</v>
      </c>
      <c r="D37" s="382">
        <v>90000</v>
      </c>
      <c r="E37" s="401" t="s">
        <v>500</v>
      </c>
      <c r="F37" s="399"/>
      <c r="G37" s="400"/>
      <c r="J37" s="289"/>
      <c r="K37" s="400"/>
      <c r="N37" s="21" t="s">
        <v>494</v>
      </c>
      <c r="O37" s="385">
        <f>P32</f>
        <v>52128.656999999999</v>
      </c>
    </row>
    <row r="38" spans="3:27">
      <c r="F38" s="399"/>
      <c r="G38" s="397"/>
      <c r="I38" s="398"/>
      <c r="J38" s="374"/>
      <c r="K38" s="397"/>
      <c r="N38" s="21" t="s">
        <v>489</v>
      </c>
      <c r="O38" s="385">
        <f>F53</f>
        <v>26701.86</v>
      </c>
      <c r="P38" s="385">
        <f>O37-O38</f>
        <v>25426.796999999999</v>
      </c>
      <c r="Q38" s="21" t="s">
        <v>472</v>
      </c>
      <c r="R38" s="384"/>
    </row>
    <row r="39" spans="3:27">
      <c r="G39" s="397"/>
      <c r="I39" s="396"/>
      <c r="J39" s="374"/>
      <c r="K39" s="396"/>
    </row>
    <row r="40" spans="3:27">
      <c r="C40" s="278" t="s">
        <v>518</v>
      </c>
      <c r="D40" s="395"/>
      <c r="E40" s="289"/>
      <c r="F40" s="289"/>
      <c r="G40" s="289"/>
      <c r="H40" s="289"/>
      <c r="I40" s="289"/>
      <c r="J40" s="289"/>
      <c r="N40" s="127" t="s">
        <v>517</v>
      </c>
      <c r="P40" s="387"/>
      <c r="R40" s="365"/>
      <c r="S40" s="168"/>
      <c r="T40" s="365"/>
    </row>
    <row r="41" spans="3:27" ht="20.25">
      <c r="C41" s="392" t="s">
        <v>516</v>
      </c>
      <c r="D41" s="379">
        <v>14.3</v>
      </c>
      <c r="E41" s="392" t="s">
        <v>515</v>
      </c>
      <c r="F41" s="379">
        <v>2.8</v>
      </c>
      <c r="G41" s="289"/>
      <c r="H41" s="395"/>
      <c r="I41" s="289"/>
      <c r="J41" s="289"/>
      <c r="N41" s="21" t="s">
        <v>6</v>
      </c>
      <c r="O41" s="365" t="s">
        <v>298</v>
      </c>
      <c r="P41" s="21" t="s">
        <v>186</v>
      </c>
      <c r="Q41" s="21" t="s">
        <v>189</v>
      </c>
      <c r="R41" s="21" t="s">
        <v>190</v>
      </c>
      <c r="S41" s="21" t="s">
        <v>297</v>
      </c>
      <c r="T41" s="21" t="s">
        <v>508</v>
      </c>
      <c r="U41" s="21" t="s">
        <v>507</v>
      </c>
      <c r="V41" s="21" t="s">
        <v>506</v>
      </c>
      <c r="W41" s="21" t="s">
        <v>195</v>
      </c>
      <c r="X41" s="21" t="s">
        <v>505</v>
      </c>
      <c r="Y41" s="21" t="s">
        <v>504</v>
      </c>
      <c r="Z41" s="21" t="s">
        <v>254</v>
      </c>
    </row>
    <row r="42" spans="3:27" ht="20.25">
      <c r="C42" s="392" t="s">
        <v>514</v>
      </c>
      <c r="D42" s="394">
        <v>14</v>
      </c>
      <c r="E42" s="392" t="s">
        <v>513</v>
      </c>
      <c r="F42" s="379">
        <v>1.9</v>
      </c>
      <c r="G42" s="289"/>
      <c r="H42" s="289"/>
      <c r="I42" s="289"/>
      <c r="J42" s="289"/>
      <c r="N42" s="21">
        <v>63</v>
      </c>
      <c r="O42" s="21">
        <v>0</v>
      </c>
      <c r="P42" s="387">
        <f>D36*(1+E18)</f>
        <v>87550</v>
      </c>
      <c r="Q42" s="21">
        <v>26</v>
      </c>
      <c r="R42" s="365">
        <f>0.015*P42*$Q$42</f>
        <v>34144.5</v>
      </c>
      <c r="S42" s="168">
        <f>(65-N42)*0.03</f>
        <v>0.06</v>
      </c>
      <c r="T42" s="365">
        <f>0.0075*P42*$Q$42</f>
        <v>17072.25</v>
      </c>
      <c r="U42" s="21">
        <v>1</v>
      </c>
      <c r="V42" s="391">
        <f>G21</f>
        <v>0.5</v>
      </c>
      <c r="W42" s="21">
        <f>(1+$E$17)^-O42</f>
        <v>1</v>
      </c>
      <c r="X42" s="393">
        <f>D42</f>
        <v>14</v>
      </c>
      <c r="Y42" s="21">
        <f>F42</f>
        <v>1.9</v>
      </c>
      <c r="Z42" s="365">
        <f>U42*V42*W42*(R42*(1-S42)*X42+T42*Y42)</f>
        <v>240889.44750000001</v>
      </c>
      <c r="AA42" s="365"/>
    </row>
    <row r="43" spans="3:27" ht="20.25">
      <c r="C43" s="392" t="s">
        <v>512</v>
      </c>
      <c r="D43" s="394">
        <v>13.8</v>
      </c>
      <c r="E43" s="392" t="s">
        <v>511</v>
      </c>
      <c r="F43" s="379">
        <v>0.9</v>
      </c>
      <c r="G43" s="289"/>
      <c r="H43" s="289"/>
      <c r="I43" s="289"/>
      <c r="J43" s="289"/>
      <c r="N43" s="21">
        <v>64</v>
      </c>
      <c r="O43" s="21">
        <v>1</v>
      </c>
      <c r="P43" s="387">
        <f>$P$42*(1+$E$18)^O43</f>
        <v>90176.5</v>
      </c>
      <c r="Q43" s="21">
        <f>Q42+1</f>
        <v>27</v>
      </c>
      <c r="R43" s="365">
        <f>0.015*P43*$Q$42</f>
        <v>35168.834999999999</v>
      </c>
      <c r="S43" s="168">
        <f>(65-N43)*0.03</f>
        <v>0.03</v>
      </c>
      <c r="T43" s="365">
        <f>0.0075*P43*$Q$42</f>
        <v>17584.4175</v>
      </c>
      <c r="U43" s="21">
        <f>U42*(1-V42)</f>
        <v>0.5</v>
      </c>
      <c r="V43" s="391">
        <f>G22</f>
        <v>0.5</v>
      </c>
      <c r="W43" s="21">
        <f>(1+$E$17)^-O43</f>
        <v>0.95238095238095233</v>
      </c>
      <c r="X43" s="393">
        <f>D43</f>
        <v>13.8</v>
      </c>
      <c r="Y43" s="21">
        <f>F43</f>
        <v>0.9</v>
      </c>
      <c r="Z43" s="365">
        <f>U43*V43*W43*(R43*(1-S43)*X43+T43*Y43)</f>
        <v>115856.19072857143</v>
      </c>
      <c r="AA43" s="365"/>
    </row>
    <row r="44" spans="3:27" ht="20.25">
      <c r="C44" s="392" t="s">
        <v>510</v>
      </c>
      <c r="D44" s="379">
        <v>13.5</v>
      </c>
      <c r="E44" s="289"/>
      <c r="F44" s="289"/>
      <c r="G44" s="289"/>
      <c r="H44" s="289"/>
      <c r="I44" s="289"/>
      <c r="J44" s="289"/>
      <c r="N44" s="21">
        <v>65</v>
      </c>
      <c r="O44" s="21">
        <v>2</v>
      </c>
      <c r="P44" s="387">
        <f>$P$42*(1+$E$18)^O44</f>
        <v>92881.794999999998</v>
      </c>
      <c r="Q44" s="21">
        <f>Q43+1</f>
        <v>28</v>
      </c>
      <c r="R44" s="365">
        <f>0.015*P44*$Q$42</f>
        <v>36223.900049999997</v>
      </c>
      <c r="S44" s="168">
        <f>(65-N44)*0.03</f>
        <v>0</v>
      </c>
      <c r="T44" s="365">
        <f>0.0075*P44*$Q$42</f>
        <v>18111.950024999998</v>
      </c>
      <c r="U44" s="21">
        <f>U43*(1-V43)</f>
        <v>0.25</v>
      </c>
      <c r="V44" s="391">
        <f>G23</f>
        <v>1</v>
      </c>
      <c r="W44" s="21">
        <f>(1+$E$17)^-O44</f>
        <v>0.90702947845804982</v>
      </c>
      <c r="X44" s="21">
        <f>D44</f>
        <v>13.5</v>
      </c>
      <c r="Y44" s="21">
        <f>Y32</f>
        <v>0</v>
      </c>
      <c r="Z44" s="389">
        <f>U44*V44*W44*(R44*(1-S44)*X44+T44*Y44)</f>
        <v>110889.48994897956</v>
      </c>
      <c r="AA44" s="365"/>
    </row>
    <row r="45" spans="3:27">
      <c r="G45" s="289"/>
      <c r="H45" s="289"/>
      <c r="I45" s="289"/>
      <c r="J45" s="289"/>
      <c r="Z45" s="365">
        <f>SUM(Z42:Z44)</f>
        <v>467635.12817755103</v>
      </c>
      <c r="AA45" s="384"/>
    </row>
    <row r="46" spans="3:27">
      <c r="C46" s="94" t="s">
        <v>385</v>
      </c>
      <c r="G46" s="289"/>
      <c r="H46" s="289"/>
      <c r="I46" s="289"/>
      <c r="J46" s="289"/>
    </row>
    <row r="47" spans="3:27">
      <c r="G47" s="289"/>
      <c r="H47" s="289"/>
      <c r="I47" s="289"/>
      <c r="J47" s="289"/>
      <c r="N47" s="127" t="s">
        <v>509</v>
      </c>
      <c r="P47" s="387"/>
      <c r="R47" s="365"/>
      <c r="S47" s="168"/>
      <c r="T47" s="365"/>
      <c r="AA47" s="365"/>
    </row>
    <row r="48" spans="3:27">
      <c r="C48" s="364"/>
      <c r="D48" s="107"/>
      <c r="E48" s="390" t="s">
        <v>304</v>
      </c>
      <c r="F48" s="390" t="s">
        <v>303</v>
      </c>
      <c r="G48" s="289"/>
      <c r="H48" s="289"/>
      <c r="I48" s="289"/>
      <c r="J48" s="289"/>
      <c r="N48" s="21" t="s">
        <v>6</v>
      </c>
      <c r="O48" s="365" t="s">
        <v>298</v>
      </c>
      <c r="P48" s="21" t="s">
        <v>186</v>
      </c>
      <c r="Q48" s="21" t="s">
        <v>189</v>
      </c>
      <c r="R48" s="21" t="s">
        <v>190</v>
      </c>
      <c r="S48" s="21" t="s">
        <v>297</v>
      </c>
      <c r="T48" s="21" t="s">
        <v>508</v>
      </c>
      <c r="U48" s="21" t="s">
        <v>507</v>
      </c>
      <c r="V48" s="21" t="s">
        <v>506</v>
      </c>
      <c r="W48" s="21" t="s">
        <v>195</v>
      </c>
      <c r="X48" s="21" t="s">
        <v>505</v>
      </c>
      <c r="Y48" s="21" t="s">
        <v>504</v>
      </c>
      <c r="Z48" s="21" t="s">
        <v>254</v>
      </c>
    </row>
    <row r="49" spans="3:27">
      <c r="C49" s="547" t="s">
        <v>503</v>
      </c>
      <c r="D49" s="548"/>
      <c r="E49" s="382">
        <v>443825.84</v>
      </c>
      <c r="F49" s="382">
        <v>41448.269999999997</v>
      </c>
      <c r="G49" s="289"/>
      <c r="H49" s="289"/>
      <c r="I49" s="289"/>
      <c r="J49" s="289"/>
      <c r="N49" s="21">
        <v>63</v>
      </c>
      <c r="O49" s="21">
        <v>0</v>
      </c>
      <c r="P49" s="385">
        <f>D37</f>
        <v>90000</v>
      </c>
      <c r="Q49" s="21">
        <v>26</v>
      </c>
      <c r="R49" s="365">
        <f>0.015*P49*$Q$42</f>
        <v>35100</v>
      </c>
      <c r="S49" s="168">
        <f>(65-N49)*0.03</f>
        <v>0.06</v>
      </c>
      <c r="T49" s="365">
        <f>0.0075*P49*$Q$42</f>
        <v>17550</v>
      </c>
      <c r="U49" s="21">
        <v>1</v>
      </c>
      <c r="V49" s="21">
        <f>V42</f>
        <v>0.5</v>
      </c>
      <c r="W49" s="21">
        <f>(1+$E$17)^-O49</f>
        <v>1</v>
      </c>
      <c r="X49" s="21">
        <f t="shared" ref="X49:Y51" si="0">X42</f>
        <v>14</v>
      </c>
      <c r="Y49" s="21">
        <f t="shared" si="0"/>
        <v>1.9</v>
      </c>
      <c r="Z49" s="365">
        <f>U49*V49*W49*(R49*(1-S49)*X49+T49*Y49)</f>
        <v>247630.5</v>
      </c>
      <c r="AA49" s="365"/>
    </row>
    <row r="50" spans="3:27">
      <c r="C50" s="364" t="s">
        <v>502</v>
      </c>
      <c r="D50" s="107"/>
      <c r="E50" s="382">
        <v>17753.03</v>
      </c>
      <c r="F50" s="382">
        <v>8198.07</v>
      </c>
      <c r="G50" s="289"/>
      <c r="H50" s="289"/>
      <c r="I50" s="289"/>
      <c r="J50" s="289"/>
      <c r="N50" s="21">
        <v>64</v>
      </c>
      <c r="O50" s="21">
        <v>1</v>
      </c>
      <c r="P50" s="387">
        <f>$P$49*(1+$E$18)^O50</f>
        <v>92700</v>
      </c>
      <c r="Q50" s="21">
        <f>Q49+1</f>
        <v>27</v>
      </c>
      <c r="R50" s="365">
        <f>0.015*P50*$Q$42</f>
        <v>36153</v>
      </c>
      <c r="S50" s="168">
        <f>(65-N50)*0.03</f>
        <v>0.03</v>
      </c>
      <c r="T50" s="365">
        <f>0.0075*P50*$Q$42</f>
        <v>18076.5</v>
      </c>
      <c r="U50" s="21">
        <f>U49*(1-V49)</f>
        <v>0.5</v>
      </c>
      <c r="V50" s="21">
        <f>V43</f>
        <v>0.5</v>
      </c>
      <c r="W50" s="21">
        <f>(1+$E$17)^-O50</f>
        <v>0.95238095238095233</v>
      </c>
      <c r="X50" s="21">
        <f t="shared" si="0"/>
        <v>13.8</v>
      </c>
      <c r="Y50" s="21">
        <f t="shared" si="0"/>
        <v>0.9</v>
      </c>
      <c r="Z50" s="365">
        <f>U50*V50*W50*(R50*(1-S50)*X50+T50*Y50)</f>
        <v>119098.31142857141</v>
      </c>
      <c r="AA50" s="365"/>
    </row>
    <row r="51" spans="3:27">
      <c r="C51" s="364" t="s">
        <v>501</v>
      </c>
      <c r="D51" s="107"/>
      <c r="E51" s="382">
        <v>484101.92</v>
      </c>
      <c r="F51" s="382" t="s">
        <v>500</v>
      </c>
      <c r="G51" s="289"/>
      <c r="H51" s="289"/>
      <c r="I51" s="289"/>
      <c r="J51" s="289"/>
      <c r="N51" s="21">
        <v>65</v>
      </c>
      <c r="O51" s="21">
        <v>2</v>
      </c>
      <c r="P51" s="387">
        <f>$P$49*(1+$E$18)^O51</f>
        <v>95481</v>
      </c>
      <c r="Q51" s="21">
        <f>Q50+1</f>
        <v>28</v>
      </c>
      <c r="R51" s="365">
        <f>0.015*P51*$Q$42</f>
        <v>37237.589999999997</v>
      </c>
      <c r="S51" s="168">
        <f>(65-N51)*0.03</f>
        <v>0</v>
      </c>
      <c r="T51" s="365">
        <f>0.0075*P51*$Q$42</f>
        <v>18618.794999999998</v>
      </c>
      <c r="U51" s="21">
        <f>U50*(1-V50)</f>
        <v>0.25</v>
      </c>
      <c r="V51" s="21">
        <f>V44</f>
        <v>1</v>
      </c>
      <c r="W51" s="21">
        <f>(1+$E$17)^-O51</f>
        <v>0.90702947845804982</v>
      </c>
      <c r="X51" s="21">
        <f t="shared" si="0"/>
        <v>13.5</v>
      </c>
      <c r="Y51" s="21">
        <f t="shared" si="0"/>
        <v>0</v>
      </c>
      <c r="Z51" s="389">
        <f>U51*V51*W51*(R51*(1-S51)*X51+T51*Y51)</f>
        <v>113992.62244897957</v>
      </c>
      <c r="AA51" s="365"/>
    </row>
    <row r="52" spans="3:27">
      <c r="G52" s="289"/>
      <c r="H52" s="289"/>
      <c r="I52" s="289"/>
      <c r="J52" s="289"/>
      <c r="P52" s="387"/>
      <c r="R52" s="365"/>
      <c r="S52" s="168"/>
      <c r="T52" s="365"/>
      <c r="Z52" s="365">
        <f>SUM(Z49:Z51)</f>
        <v>480721.433877551</v>
      </c>
      <c r="AA52" s="384"/>
    </row>
    <row r="53" spans="3:27">
      <c r="C53" s="94" t="s">
        <v>499</v>
      </c>
      <c r="D53" s="289"/>
      <c r="E53" s="289"/>
      <c r="F53" s="388">
        <v>26701.86</v>
      </c>
      <c r="G53" s="277" t="s">
        <v>498</v>
      </c>
      <c r="H53" s="289"/>
      <c r="I53" s="289"/>
      <c r="J53" s="289"/>
      <c r="N53" s="127"/>
      <c r="P53" s="387"/>
      <c r="R53" s="365"/>
      <c r="S53" s="168"/>
      <c r="T53" s="365"/>
      <c r="Z53" s="365"/>
      <c r="AA53" s="365"/>
    </row>
    <row r="54" spans="3:27">
      <c r="C54" s="289"/>
      <c r="D54" s="289"/>
      <c r="E54" s="289"/>
      <c r="F54" s="289"/>
      <c r="G54" s="289"/>
      <c r="H54" s="289"/>
      <c r="I54" s="289"/>
      <c r="J54" s="289"/>
      <c r="N54" s="127" t="s">
        <v>304</v>
      </c>
      <c r="O54" s="21" t="s">
        <v>254</v>
      </c>
      <c r="P54" s="21" t="s">
        <v>497</v>
      </c>
      <c r="Q54" s="21" t="s">
        <v>496</v>
      </c>
      <c r="Z54" s="365"/>
    </row>
    <row r="55" spans="3:27">
      <c r="C55" s="578" t="s">
        <v>495</v>
      </c>
      <c r="D55" s="578"/>
      <c r="E55" s="578"/>
      <c r="F55" s="578"/>
      <c r="G55" s="578"/>
      <c r="H55" s="578"/>
      <c r="I55" s="578"/>
      <c r="J55" s="578"/>
      <c r="K55" s="578"/>
      <c r="N55" s="21" t="s">
        <v>494</v>
      </c>
      <c r="O55" s="385">
        <f>O32</f>
        <v>484657.81349999999</v>
      </c>
      <c r="Z55" s="365"/>
      <c r="AA55" s="365"/>
    </row>
    <row r="56" spans="3:27">
      <c r="C56" s="381" t="s">
        <v>493</v>
      </c>
      <c r="D56" s="380"/>
      <c r="E56" s="379"/>
      <c r="F56" s="382">
        <v>9000</v>
      </c>
      <c r="G56" s="289"/>
      <c r="H56" s="289"/>
      <c r="I56" s="289"/>
      <c r="J56" s="289"/>
      <c r="N56" s="21" t="s">
        <v>492</v>
      </c>
      <c r="O56" s="385">
        <f>Z45</f>
        <v>467635.12817755103</v>
      </c>
      <c r="P56" s="385">
        <f>O55-O56</f>
        <v>17022.685322448961</v>
      </c>
      <c r="Q56" s="21" t="s">
        <v>293</v>
      </c>
      <c r="Z56" s="365"/>
      <c r="AA56" s="365"/>
    </row>
    <row r="57" spans="3:27">
      <c r="C57" s="381" t="s">
        <v>491</v>
      </c>
      <c r="D57" s="380"/>
      <c r="E57" s="379"/>
      <c r="F57" s="382">
        <v>-33000</v>
      </c>
      <c r="G57" s="289"/>
      <c r="H57" s="386"/>
      <c r="I57" s="289"/>
      <c r="J57" s="386"/>
      <c r="N57" s="21" t="s">
        <v>490</v>
      </c>
      <c r="O57" s="385">
        <f>Z52</f>
        <v>480721.433877551</v>
      </c>
      <c r="P57" s="385">
        <f>O56-O57</f>
        <v>-13086.305699999968</v>
      </c>
      <c r="Q57" s="21" t="s">
        <v>186</v>
      </c>
      <c r="Z57" s="365"/>
      <c r="AA57" s="365"/>
    </row>
    <row r="58" spans="3:27">
      <c r="C58" s="381" t="s">
        <v>169</v>
      </c>
      <c r="D58" s="380"/>
      <c r="E58" s="379"/>
      <c r="F58" s="382">
        <v>410000</v>
      </c>
      <c r="G58" s="289"/>
      <c r="H58" s="289"/>
      <c r="I58" s="289"/>
      <c r="J58" s="386"/>
      <c r="N58" s="21" t="s">
        <v>489</v>
      </c>
      <c r="O58" s="385">
        <f>E51</f>
        <v>484101.92</v>
      </c>
      <c r="P58" s="385">
        <f>O57-O58</f>
        <v>-3380.4861224489869</v>
      </c>
      <c r="Q58" s="21" t="s">
        <v>93</v>
      </c>
      <c r="R58" s="384"/>
    </row>
    <row r="59" spans="3:27">
      <c r="C59" s="381" t="s">
        <v>488</v>
      </c>
      <c r="D59" s="380"/>
      <c r="E59" s="379"/>
      <c r="F59" s="382">
        <v>30000</v>
      </c>
      <c r="G59" s="289"/>
      <c r="H59" s="289"/>
      <c r="I59" s="289"/>
      <c r="J59" s="289"/>
    </row>
    <row r="60" spans="3:27">
      <c r="C60" s="381" t="s">
        <v>487</v>
      </c>
      <c r="D60" s="380"/>
      <c r="E60" s="379"/>
      <c r="F60" s="383">
        <v>0.15</v>
      </c>
      <c r="G60" s="289"/>
      <c r="H60" s="374"/>
      <c r="I60" s="374"/>
      <c r="J60" s="289"/>
      <c r="N60" s="21" t="s">
        <v>486</v>
      </c>
    </row>
    <row r="61" spans="3:27">
      <c r="C61" s="381"/>
      <c r="D61" s="380"/>
      <c r="E61" s="379"/>
      <c r="F61" s="382"/>
      <c r="G61" s="289"/>
      <c r="H61" s="374"/>
      <c r="I61" s="374"/>
      <c r="J61" s="289"/>
      <c r="N61" s="367"/>
      <c r="O61" s="367" t="s">
        <v>485</v>
      </c>
      <c r="P61" s="367" t="s">
        <v>484</v>
      </c>
      <c r="Q61" s="367" t="s">
        <v>483</v>
      </c>
      <c r="AA61" s="365"/>
    </row>
    <row r="62" spans="3:27">
      <c r="C62" s="381" t="s">
        <v>482</v>
      </c>
      <c r="D62" s="380"/>
      <c r="E62" s="379"/>
      <c r="F62" s="377">
        <v>0.04</v>
      </c>
      <c r="G62" s="289"/>
      <c r="H62" s="374"/>
      <c r="I62" s="374"/>
      <c r="J62" s="289"/>
      <c r="N62" s="367" t="s">
        <v>481</v>
      </c>
      <c r="O62" s="366">
        <f>Q62-P62</f>
        <v>56274.110000000044</v>
      </c>
      <c r="P62" s="366">
        <f>F58+O11</f>
        <v>429000</v>
      </c>
      <c r="Q62" s="366">
        <f>E49+F49</f>
        <v>485274.11000000004</v>
      </c>
    </row>
    <row r="63" spans="3:27">
      <c r="C63" s="378" t="s">
        <v>480</v>
      </c>
      <c r="D63" s="284"/>
      <c r="E63" s="284"/>
      <c r="F63" s="377" t="s">
        <v>479</v>
      </c>
      <c r="G63" s="289"/>
      <c r="H63" s="374"/>
      <c r="I63" s="374"/>
      <c r="J63" s="289"/>
      <c r="N63" s="367" t="s">
        <v>185</v>
      </c>
      <c r="O63" s="366">
        <f>Q63-P63</f>
        <v>25951.1</v>
      </c>
      <c r="P63" s="367">
        <v>0</v>
      </c>
      <c r="Q63" s="376">
        <f>E50+F50</f>
        <v>25951.1</v>
      </c>
      <c r="V63" s="368"/>
      <c r="AA63" s="365"/>
    </row>
    <row r="64" spans="3:27">
      <c r="C64" s="277"/>
      <c r="D64" s="289"/>
      <c r="E64" s="289"/>
      <c r="F64" s="375"/>
      <c r="G64" s="289"/>
      <c r="H64" s="374"/>
      <c r="I64" s="374"/>
      <c r="J64" s="289"/>
      <c r="N64" s="367" t="s">
        <v>478</v>
      </c>
      <c r="O64" s="366">
        <f>Q64-P64</f>
        <v>-30749.999999999996</v>
      </c>
      <c r="P64" s="366">
        <f>F59*(1+$E$17/2)</f>
        <v>30749.999999999996</v>
      </c>
      <c r="Q64" s="366">
        <v>0</v>
      </c>
      <c r="V64" s="368"/>
      <c r="AA64" s="365"/>
    </row>
    <row r="65" spans="3:28">
      <c r="C65" s="277" t="s">
        <v>477</v>
      </c>
      <c r="D65" s="289"/>
      <c r="E65" s="289"/>
      <c r="F65" s="375"/>
      <c r="G65" s="289"/>
      <c r="H65" s="374"/>
      <c r="I65" s="374"/>
      <c r="J65" s="289"/>
      <c r="N65" s="367" t="s">
        <v>476</v>
      </c>
      <c r="O65" s="366">
        <v>0</v>
      </c>
      <c r="P65" s="366">
        <f>-F53</f>
        <v>-26701.86</v>
      </c>
      <c r="Q65" s="366">
        <f>P65</f>
        <v>-26701.86</v>
      </c>
      <c r="AA65" s="365"/>
    </row>
    <row r="66" spans="3:28">
      <c r="C66" s="277"/>
      <c r="D66" s="289"/>
      <c r="E66" s="289"/>
      <c r="F66" s="375"/>
      <c r="G66" s="289"/>
      <c r="H66" s="374"/>
      <c r="I66" s="374"/>
      <c r="J66" s="289"/>
      <c r="N66" s="367" t="s">
        <v>187</v>
      </c>
      <c r="O66" s="366">
        <f t="shared" ref="O66:O77" si="1">Q66-P66</f>
        <v>4111.260500000004</v>
      </c>
      <c r="P66" s="366">
        <f>(P62+P63)*$E$17</f>
        <v>21450</v>
      </c>
      <c r="Q66" s="366">
        <f>(Q62+Q63)*$E$17</f>
        <v>25561.260500000004</v>
      </c>
      <c r="AA66" s="365"/>
    </row>
    <row r="67" spans="3:28">
      <c r="N67" s="367" t="s">
        <v>475</v>
      </c>
      <c r="O67" s="366">
        <f t="shared" si="1"/>
        <v>55586.470500000054</v>
      </c>
      <c r="P67" s="366">
        <f>P62+P66+P63+P64+P65</f>
        <v>454498.14</v>
      </c>
      <c r="Q67" s="366">
        <f>Q62+Q66+Q63+Q64+Q65</f>
        <v>510084.61050000007</v>
      </c>
      <c r="AA67" s="365"/>
    </row>
    <row r="68" spans="3:28">
      <c r="C68" s="94" t="s">
        <v>474</v>
      </c>
      <c r="N68" s="367" t="s">
        <v>293</v>
      </c>
      <c r="O68" s="366">
        <f t="shared" si="1"/>
        <v>-17022.685322448961</v>
      </c>
      <c r="P68" s="366">
        <v>0</v>
      </c>
      <c r="Q68" s="366">
        <f>-P56</f>
        <v>-17022.685322448961</v>
      </c>
      <c r="AA68" s="365"/>
    </row>
    <row r="69" spans="3:28">
      <c r="C69" s="126"/>
      <c r="D69" s="373"/>
      <c r="N69" s="367" t="s">
        <v>473</v>
      </c>
      <c r="O69" s="366">
        <f t="shared" si="1"/>
        <v>0</v>
      </c>
      <c r="P69" s="366">
        <v>0</v>
      </c>
      <c r="Q69" s="366">
        <v>0</v>
      </c>
    </row>
    <row r="70" spans="3:28" ht="15.6" customHeight="1">
      <c r="C70" s="372"/>
      <c r="D70" s="261"/>
      <c r="E70" s="261"/>
      <c r="F70" s="261"/>
      <c r="G70" s="261"/>
      <c r="H70" s="261"/>
      <c r="I70" s="260"/>
      <c r="J70" s="370"/>
      <c r="K70" s="370"/>
      <c r="L70" s="370"/>
      <c r="N70" s="367" t="s">
        <v>472</v>
      </c>
      <c r="O70" s="366">
        <f t="shared" si="1"/>
        <v>-25426.796999999999</v>
      </c>
      <c r="P70" s="366">
        <v>0</v>
      </c>
      <c r="Q70" s="366">
        <f>-P38</f>
        <v>-25426.796999999999</v>
      </c>
      <c r="AA70" s="365"/>
    </row>
    <row r="71" spans="3:28">
      <c r="C71" s="371" t="s">
        <v>290</v>
      </c>
      <c r="D71" s="259"/>
      <c r="E71" s="259"/>
      <c r="F71" s="259"/>
      <c r="G71" s="259"/>
      <c r="H71" s="259"/>
      <c r="I71" s="258"/>
      <c r="J71" s="370"/>
      <c r="K71" s="370"/>
      <c r="L71" s="370"/>
      <c r="N71" s="367" t="s">
        <v>186</v>
      </c>
      <c r="O71" s="366">
        <f t="shared" si="1"/>
        <v>13086.305699999968</v>
      </c>
      <c r="P71" s="366">
        <v>0</v>
      </c>
      <c r="Q71" s="366">
        <f>-P57</f>
        <v>13086.305699999968</v>
      </c>
    </row>
    <row r="72" spans="3:28">
      <c r="N72" s="367" t="s">
        <v>471</v>
      </c>
      <c r="O72" s="366">
        <f t="shared" si="1"/>
        <v>3380.4861224489869</v>
      </c>
      <c r="P72" s="366">
        <v>0</v>
      </c>
      <c r="Q72" s="366">
        <f>-P58</f>
        <v>3380.4861224489869</v>
      </c>
      <c r="V72" s="368"/>
      <c r="AA72" s="365"/>
      <c r="AB72" s="365"/>
    </row>
    <row r="73" spans="3:28">
      <c r="N73" s="367" t="s">
        <v>470</v>
      </c>
      <c r="O73" s="366">
        <f t="shared" si="1"/>
        <v>0</v>
      </c>
      <c r="P73" s="369">
        <f>0</f>
        <v>0</v>
      </c>
      <c r="Q73" s="367">
        <v>0</v>
      </c>
      <c r="V73" s="368"/>
      <c r="AA73" s="365"/>
    </row>
    <row r="74" spans="3:28">
      <c r="N74" s="367" t="s">
        <v>469</v>
      </c>
      <c r="O74" s="366">
        <f t="shared" si="1"/>
        <v>-42499.999999999942</v>
      </c>
      <c r="P74" s="366">
        <f>O9</f>
        <v>42499.999999999942</v>
      </c>
      <c r="Q74" s="366">
        <v>0</v>
      </c>
      <c r="AA74" s="365"/>
      <c r="AB74" s="365"/>
    </row>
    <row r="75" spans="3:28">
      <c r="N75" s="367" t="s">
        <v>468</v>
      </c>
      <c r="O75" s="366">
        <f t="shared" si="1"/>
        <v>37283.333333333299</v>
      </c>
      <c r="P75" s="366">
        <f>O17</f>
        <v>-37283.333333333299</v>
      </c>
      <c r="Q75" s="366">
        <v>0</v>
      </c>
      <c r="AA75" s="365"/>
      <c r="AB75" s="365"/>
    </row>
    <row r="76" spans="3:28">
      <c r="N76" s="367" t="s">
        <v>467</v>
      </c>
      <c r="O76" s="366">
        <f t="shared" si="1"/>
        <v>0</v>
      </c>
      <c r="P76" s="366">
        <f>P77-SUM(P67:P75)</f>
        <v>0</v>
      </c>
      <c r="Q76" s="366">
        <f>Q77-SUM(Q67:Q75)</f>
        <v>0</v>
      </c>
      <c r="T76" s="365"/>
      <c r="AA76" s="365"/>
      <c r="AB76" s="365"/>
    </row>
    <row r="77" spans="3:28">
      <c r="N77" s="367" t="s">
        <v>466</v>
      </c>
      <c r="O77" s="366">
        <f t="shared" si="1"/>
        <v>24387.113333333342</v>
      </c>
      <c r="P77" s="366">
        <f>O16</f>
        <v>459714.80666666664</v>
      </c>
      <c r="Q77" s="366">
        <f>E51</f>
        <v>484101.92</v>
      </c>
      <c r="S77" s="365"/>
      <c r="T77" s="365"/>
      <c r="AA77" s="365"/>
      <c r="AB77" s="365"/>
    </row>
    <row r="78" spans="3:28">
      <c r="AB78" s="365"/>
    </row>
    <row r="79" spans="3:28">
      <c r="AB79" s="365"/>
    </row>
    <row r="81" spans="15:28">
      <c r="AB81" s="365"/>
    </row>
    <row r="83" spans="15:28">
      <c r="AB83" s="365"/>
    </row>
    <row r="84" spans="15:28">
      <c r="AB84" s="365"/>
    </row>
    <row r="85" spans="15:28">
      <c r="AB85" s="365"/>
    </row>
    <row r="86" spans="15:28">
      <c r="AB86" s="365"/>
    </row>
    <row r="87" spans="15:28">
      <c r="AB87" s="365"/>
    </row>
    <row r="88" spans="15:28">
      <c r="AB88" s="365"/>
    </row>
    <row r="92" spans="15:28">
      <c r="O92" s="365"/>
      <c r="P92" s="365"/>
    </row>
    <row r="93" spans="15:28">
      <c r="O93" s="365"/>
      <c r="P93" s="365"/>
    </row>
  </sheetData>
  <mergeCells count="39">
    <mergeCell ref="C55:K55"/>
    <mergeCell ref="C13:D13"/>
    <mergeCell ref="E13:H13"/>
    <mergeCell ref="E12:H12"/>
    <mergeCell ref="G21:H21"/>
    <mergeCell ref="C17:D17"/>
    <mergeCell ref="E20:F20"/>
    <mergeCell ref="G20:H20"/>
    <mergeCell ref="E19:F19"/>
    <mergeCell ref="G19:H19"/>
    <mergeCell ref="F17:H17"/>
    <mergeCell ref="G24:H24"/>
    <mergeCell ref="G25:H25"/>
    <mergeCell ref="E26:F26"/>
    <mergeCell ref="G26:H26"/>
    <mergeCell ref="G22:H22"/>
    <mergeCell ref="G23:H23"/>
    <mergeCell ref="E22:F22"/>
    <mergeCell ref="E23:F23"/>
    <mergeCell ref="C5:K5"/>
    <mergeCell ref="E11:H11"/>
    <mergeCell ref="E10:H10"/>
    <mergeCell ref="E8:H9"/>
    <mergeCell ref="C14:D14"/>
    <mergeCell ref="E14:H14"/>
    <mergeCell ref="C12:D12"/>
    <mergeCell ref="C8:D9"/>
    <mergeCell ref="C10:D10"/>
    <mergeCell ref="C11:D11"/>
    <mergeCell ref="C49:D49"/>
    <mergeCell ref="C24:D26"/>
    <mergeCell ref="E24:F24"/>
    <mergeCell ref="E25:F25"/>
    <mergeCell ref="C19:D23"/>
    <mergeCell ref="E30:H30"/>
    <mergeCell ref="C30:D30"/>
    <mergeCell ref="C27:D27"/>
    <mergeCell ref="E27:H27"/>
    <mergeCell ref="E21:F2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Question 3</vt:lpstr>
      <vt:lpstr>Question 4</vt:lpstr>
      <vt:lpstr>Question</vt:lpstr>
      <vt:lpstr>Rubric</vt:lpstr>
      <vt:lpstr>Question 6</vt:lpstr>
      <vt:lpstr>'Question 6'!_Hlk6488088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Chau</dc:creator>
  <cp:lastModifiedBy>Aleshia Zionce</cp:lastModifiedBy>
  <dcterms:created xsi:type="dcterms:W3CDTF">2024-04-04T02:29:46Z</dcterms:created>
  <dcterms:modified xsi:type="dcterms:W3CDTF">2025-01-27T16:56:43Z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043f10a-881e-4653-a55e-02ca2cc829dc_Enabled">
    <vt:lpwstr>true</vt:lpwstr>
  </property>
  <property fmtid="{D5CDD505-2E9C-101B-9397-08002B2CF9AE}" pid="3" name="MSIP_Label_9043f10a-881e-4653-a55e-02ca2cc829dc_SetDate">
    <vt:lpwstr>2024-04-04T02:51:17Z</vt:lpwstr>
  </property>
  <property fmtid="{D5CDD505-2E9C-101B-9397-08002B2CF9AE}" pid="4" name="MSIP_Label_9043f10a-881e-4653-a55e-02ca2cc829dc_Method">
    <vt:lpwstr>Standard</vt:lpwstr>
  </property>
  <property fmtid="{D5CDD505-2E9C-101B-9397-08002B2CF9AE}" pid="5" name="MSIP_Label_9043f10a-881e-4653-a55e-02ca2cc829dc_Name">
    <vt:lpwstr>ADC_class_200</vt:lpwstr>
  </property>
  <property fmtid="{D5CDD505-2E9C-101B-9397-08002B2CF9AE}" pid="6" name="MSIP_Label_9043f10a-881e-4653-a55e-02ca2cc829dc_SiteId">
    <vt:lpwstr>94cfddbc-0627-494a-ad7a-29aea3aea832</vt:lpwstr>
  </property>
  <property fmtid="{D5CDD505-2E9C-101B-9397-08002B2CF9AE}" pid="7" name="MSIP_Label_9043f10a-881e-4653-a55e-02ca2cc829dc_ActionId">
    <vt:lpwstr>6d1efc16-c1bd-4992-97fe-c7a32eaafd52</vt:lpwstr>
  </property>
  <property fmtid="{D5CDD505-2E9C-101B-9397-08002B2CF9AE}" pid="8" name="MSIP_Label_9043f10a-881e-4653-a55e-02ca2cc829dc_ContentBits">
    <vt:lpwstr>0</vt:lpwstr>
  </property>
</Properties>
</file>