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B26D0CC9-1F85-4B0A-BAFC-505D0B8B78B5}" xr6:coauthVersionLast="47" xr6:coauthVersionMax="47" xr10:uidLastSave="{00000000-0000-0000-0000-000000000000}"/>
  <bookViews>
    <workbookView xWindow="390" yWindow="390" windowWidth="20460" windowHeight="10335" xr2:uid="{5A0A60E5-6CF8-4FAC-841F-DCF853D4C74D}"/>
  </bookViews>
  <sheets>
    <sheet name="Q10c" sheetId="3" r:id="rId1"/>
    <sheet name="11(b)" sheetId="2" r:id="rId2"/>
  </sheets>
  <externalReferences>
    <externalReference r:id="rId3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CurrentStock">Q10c!$C$98</definedName>
    <definedName name="InterestRate">Q10c!$C$99</definedName>
    <definedName name="rate">'[1]Question (a)'!$C$3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rike">'[1]Question (a)'!$C$1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3" l="1"/>
  <c r="F103" i="3" s="1"/>
  <c r="D104" i="3"/>
  <c r="E104" i="3"/>
  <c r="D105" i="3"/>
  <c r="E105" i="3"/>
  <c r="C106" i="3"/>
  <c r="D106" i="3"/>
  <c r="E106" i="3"/>
  <c r="C107" i="3"/>
  <c r="D107" i="3" s="1"/>
  <c r="D108" i="3" l="1"/>
  <c r="F105" i="3"/>
  <c r="G103" i="3"/>
  <c r="F104" i="3"/>
  <c r="F106" i="3"/>
  <c r="G106" i="3"/>
  <c r="F107" i="3"/>
  <c r="E107" i="3"/>
  <c r="E108" i="3" s="1"/>
  <c r="C41" i="2"/>
  <c r="F38" i="2" s="1"/>
  <c r="C40" i="2"/>
  <c r="C39" i="2"/>
  <c r="F39" i="2" s="1"/>
  <c r="C38" i="2"/>
  <c r="C37" i="2"/>
  <c r="C29" i="2"/>
  <c r="C28" i="2"/>
  <c r="C27" i="2"/>
  <c r="F27" i="2" s="1"/>
  <c r="F26" i="2"/>
  <c r="C26" i="2"/>
  <c r="C25" i="2"/>
  <c r="C18" i="2"/>
  <c r="C17" i="2"/>
  <c r="C16" i="2"/>
  <c r="C15" i="2"/>
  <c r="C14" i="2"/>
  <c r="H10" i="2"/>
  <c r="H8" i="2"/>
  <c r="H2" i="2"/>
  <c r="F108" i="3" l="1"/>
  <c r="G107" i="3"/>
  <c r="G105" i="3"/>
  <c r="H103" i="3"/>
  <c r="G104" i="3"/>
  <c r="G108" i="3" s="1"/>
  <c r="F13" i="2"/>
  <c r="F36" i="2"/>
  <c r="F24" i="2"/>
  <c r="F25" i="2" s="1"/>
  <c r="H105" i="3" l="1"/>
  <c r="I103" i="3"/>
  <c r="H106" i="3"/>
  <c r="H104" i="3"/>
  <c r="H107" i="3"/>
  <c r="F37" i="2"/>
  <c r="F41" i="2" s="1"/>
  <c r="F43" i="2" s="1"/>
  <c r="H7" i="2" s="1"/>
  <c r="F15" i="2"/>
  <c r="F14" i="2"/>
  <c r="L13" i="2"/>
  <c r="I13" i="2"/>
  <c r="F29" i="2"/>
  <c r="H6" i="2" s="1"/>
  <c r="H108" i="3" l="1"/>
  <c r="I105" i="3"/>
  <c r="I104" i="3"/>
  <c r="J103" i="3"/>
  <c r="I107" i="3"/>
  <c r="I106" i="3"/>
  <c r="F18" i="2"/>
  <c r="H5" i="2" s="1"/>
  <c r="H3" i="2" s="1"/>
  <c r="H11" i="2" s="1"/>
  <c r="L14" i="2"/>
  <c r="I14" i="2"/>
  <c r="F16" i="2"/>
  <c r="L15" i="2"/>
  <c r="I15" i="2"/>
  <c r="J107" i="3" l="1"/>
  <c r="J105" i="3"/>
  <c r="K103" i="3"/>
  <c r="J106" i="3"/>
  <c r="J104" i="3"/>
  <c r="I108" i="3"/>
  <c r="L16" i="2"/>
  <c r="I16" i="2"/>
  <c r="I18" i="2" s="1"/>
  <c r="J108" i="3" l="1"/>
  <c r="K107" i="3"/>
  <c r="K105" i="3"/>
  <c r="L103" i="3"/>
  <c r="K104" i="3"/>
  <c r="K106" i="3"/>
  <c r="K108" i="3" l="1"/>
  <c r="L104" i="3"/>
  <c r="L107" i="3"/>
  <c r="L105" i="3"/>
  <c r="M103" i="3"/>
  <c r="L106" i="3"/>
  <c r="M104" i="3" l="1"/>
  <c r="M105" i="3"/>
  <c r="N103" i="3"/>
  <c r="M107" i="3"/>
  <c r="M106" i="3"/>
  <c r="L108" i="3"/>
  <c r="N104" i="3" l="1"/>
  <c r="N105" i="3"/>
  <c r="N107" i="3"/>
  <c r="O103" i="3"/>
  <c r="N106" i="3"/>
  <c r="M108" i="3"/>
  <c r="O104" i="3" l="1"/>
  <c r="O106" i="3"/>
  <c r="O105" i="3"/>
  <c r="P103" i="3"/>
  <c r="O107" i="3"/>
  <c r="N108" i="3"/>
  <c r="P104" i="3" l="1"/>
  <c r="P107" i="3"/>
  <c r="P105" i="3"/>
  <c r="Q103" i="3"/>
  <c r="P106" i="3"/>
  <c r="O108" i="3"/>
  <c r="Q107" i="3" l="1"/>
  <c r="Q104" i="3"/>
  <c r="Q106" i="3"/>
  <c r="Q105" i="3"/>
  <c r="R103" i="3"/>
  <c r="P108" i="3"/>
  <c r="S103" i="3" l="1"/>
  <c r="R105" i="3"/>
  <c r="R104" i="3"/>
  <c r="R106" i="3"/>
  <c r="R107" i="3"/>
  <c r="Q108" i="3"/>
  <c r="R108" i="3" l="1"/>
  <c r="S105" i="3"/>
  <c r="T103" i="3"/>
  <c r="S106" i="3"/>
  <c r="S104" i="3"/>
  <c r="S107" i="3"/>
  <c r="S108" i="3" l="1"/>
  <c r="T105" i="3"/>
  <c r="U103" i="3"/>
  <c r="T106" i="3"/>
  <c r="T104" i="3"/>
  <c r="T107" i="3"/>
  <c r="T108" i="3" l="1"/>
  <c r="U105" i="3"/>
  <c r="V103" i="3"/>
  <c r="U107" i="3"/>
  <c r="U104" i="3"/>
  <c r="U106" i="3"/>
  <c r="U108" i="3" l="1"/>
  <c r="V105" i="3"/>
  <c r="W103" i="3"/>
  <c r="V106" i="3"/>
  <c r="V104" i="3"/>
  <c r="V107" i="3"/>
  <c r="V108" i="3" l="1"/>
  <c r="W105" i="3"/>
  <c r="X103" i="3"/>
  <c r="W107" i="3"/>
  <c r="W104" i="3"/>
  <c r="W106" i="3"/>
  <c r="W108" i="3" l="1"/>
  <c r="X107" i="3"/>
  <c r="X105" i="3"/>
  <c r="X106" i="3"/>
  <c r="X104" i="3"/>
  <c r="X108" i="3" s="1"/>
</calcChain>
</file>

<file path=xl/sharedStrings.xml><?xml version="1.0" encoding="utf-8"?>
<sst xmlns="http://schemas.openxmlformats.org/spreadsheetml/2006/main" count="80" uniqueCount="61">
  <si>
    <t>spVA</t>
  </si>
  <si>
    <r>
      <t>Underlying Asset – Current Price 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</si>
  <si>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t>Input</t>
  </si>
  <si>
    <t>Dividend Yield (q)</t>
  </si>
  <si>
    <t>Calculated Result</t>
  </si>
  <si>
    <t>Implied Volatility (σ)</t>
  </si>
  <si>
    <t>Risk-Free Rate (r)</t>
  </si>
  <si>
    <t>Buffer Rate% (B)</t>
  </si>
  <si>
    <t>Cap Rate% (C)</t>
  </si>
  <si>
    <t>S</t>
  </si>
  <si>
    <t>d1</t>
  </si>
  <si>
    <t>N(d1)</t>
  </si>
  <si>
    <t>N'(d1)</t>
  </si>
  <si>
    <t>K</t>
  </si>
  <si>
    <t>d2</t>
  </si>
  <si>
    <t>N(d2)</t>
  </si>
  <si>
    <t>N'(d2)</t>
  </si>
  <si>
    <t>-d1</t>
  </si>
  <si>
    <t>N(-d1)</t>
  </si>
  <si>
    <t>N'(-d1)</t>
  </si>
  <si>
    <t>r</t>
  </si>
  <si>
    <t>-d2</t>
  </si>
  <si>
    <t>N(-d2)</t>
  </si>
  <si>
    <t>N'(-d2)</t>
  </si>
  <si>
    <t>q</t>
  </si>
  <si>
    <t>σ</t>
  </si>
  <si>
    <t>Black Scholes Formula for Option 1</t>
  </si>
  <si>
    <t>Option 1</t>
  </si>
  <si>
    <t>Option 2</t>
  </si>
  <si>
    <t>Option 3</t>
  </si>
  <si>
    <t>SpVA</t>
  </si>
  <si>
    <t>Option Budget</t>
  </si>
  <si>
    <t>Call</t>
  </si>
  <si>
    <t>Put</t>
  </si>
  <si>
    <t>Profit &amp; Expense</t>
  </si>
  <si>
    <t>Pricing Formula for Fixed Lookback Put Option</t>
  </si>
  <si>
    <t>a1</t>
  </si>
  <si>
    <t>a2</t>
  </si>
  <si>
    <t>a3</t>
  </si>
  <si>
    <t>Y1`</t>
  </si>
  <si>
    <t>T</t>
  </si>
  <si>
    <t>Term (T)</t>
  </si>
  <si>
    <t>Pricing Formula for Floating Lookback Call Option</t>
  </si>
  <si>
    <t>Bond</t>
  </si>
  <si>
    <t>Initial Investment/Premium</t>
  </si>
  <si>
    <t>Fill in your final answers here:</t>
  </si>
  <si>
    <t>Total Vega</t>
  </si>
  <si>
    <t>Strike</t>
  </si>
  <si>
    <t>Indicate whether Long or Short Call/Put (-1 for Short positions and +1 for Long positions)</t>
  </si>
  <si>
    <t>Volatility</t>
  </si>
  <si>
    <t>Vega</t>
  </si>
  <si>
    <t>Time to Expiry</t>
  </si>
  <si>
    <t>Interest rate</t>
  </si>
  <si>
    <t>Current Stock Price</t>
  </si>
  <si>
    <t>Show your work here:</t>
  </si>
  <si>
    <t>Alternative 2: long 80 put + long 120 put + short two 100 puts.</t>
  </si>
  <si>
    <t xml:space="preserve">Alternative 1: long 80 call + long 120 call + short two 100 calls. </t>
  </si>
  <si>
    <t>Note that there are multiple ways to construct the butterfly position. The following alternatives are also equally acceptable to give credit:</t>
  </si>
  <si>
    <t xml:space="preserve">     Short Straddle = Short a Call (K=100) and Short a Put (K=100)</t>
  </si>
  <si>
    <t xml:space="preserve">     Long strangle = Long a Call (K=120) + Long a Put (K=80)</t>
  </si>
  <si>
    <t xml:space="preserve">Butterfly spread can be achieved by long strangle and short straddle.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</si>
</sst>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$&quot;#,##0.00"/>
    <numFmt numFmtId="167" formatCode="0.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0" borderId="3" xfId="0" applyBorder="1"/>
    <xf numFmtId="9" fontId="0" fillId="0" borderId="4" xfId="0" applyNumberFormat="1" applyBorder="1"/>
    <xf numFmtId="0" fontId="0" fillId="3" borderId="0" xfId="0" applyFill="1"/>
    <xf numFmtId="0" fontId="2" fillId="4" borderId="0" xfId="0" applyFont="1" applyFill="1"/>
    <xf numFmtId="0" fontId="0" fillId="0" borderId="4" xfId="0" applyBorder="1"/>
    <xf numFmtId="0" fontId="0" fillId="0" borderId="5" xfId="0" applyBorder="1"/>
    <xf numFmtId="0" fontId="0" fillId="2" borderId="7" xfId="0" applyFill="1" applyBorder="1"/>
    <xf numFmtId="0" fontId="0" fillId="0" borderId="7" xfId="0" applyBorder="1"/>
    <xf numFmtId="2" fontId="0" fillId="4" borderId="7" xfId="0" applyNumberFormat="1" applyFill="1" applyBorder="1"/>
    <xf numFmtId="0" fontId="0" fillId="4" borderId="7" xfId="0" applyFill="1" applyBorder="1"/>
    <xf numFmtId="0" fontId="0" fillId="4" borderId="2" xfId="0" applyFill="1" applyBorder="1"/>
    <xf numFmtId="2" fontId="0" fillId="4" borderId="0" xfId="0" applyNumberFormat="1" applyFill="1"/>
    <xf numFmtId="0" fontId="0" fillId="4" borderId="0" xfId="0" applyFill="1"/>
    <xf numFmtId="0" fontId="0" fillId="4" borderId="4" xfId="0" applyFill="1" applyBorder="1"/>
    <xf numFmtId="0" fontId="0" fillId="0" borderId="0" xfId="0" quotePrefix="1"/>
    <xf numFmtId="9" fontId="0" fillId="2" borderId="0" xfId="0" applyNumberFormat="1" applyFill="1"/>
    <xf numFmtId="0" fontId="0" fillId="0" borderId="8" xfId="0" applyBorder="1"/>
    <xf numFmtId="0" fontId="0" fillId="0" borderId="6" xfId="0" applyBorder="1"/>
    <xf numFmtId="9" fontId="0" fillId="0" borderId="4" xfId="2" applyFont="1" applyBorder="1"/>
    <xf numFmtId="165" fontId="0" fillId="0" borderId="4" xfId="1" applyNumberFormat="1" applyFont="1" applyBorder="1"/>
    <xf numFmtId="166" fontId="0" fillId="0" borderId="0" xfId="1" applyNumberFormat="1" applyFont="1"/>
    <xf numFmtId="167" fontId="0" fillId="0" borderId="0" xfId="0" applyNumberFormat="1"/>
    <xf numFmtId="0" fontId="4" fillId="0" borderId="0" xfId="0" applyFont="1"/>
    <xf numFmtId="9" fontId="0" fillId="0" borderId="0" xfId="0" applyNumberFormat="1"/>
    <xf numFmtId="9" fontId="0" fillId="0" borderId="6" xfId="0" applyNumberFormat="1" applyBorder="1"/>
    <xf numFmtId="9" fontId="0" fillId="0" borderId="7" xfId="0" applyNumberFormat="1" applyBorder="1"/>
    <xf numFmtId="164" fontId="0" fillId="0" borderId="0" xfId="0" applyNumberFormat="1"/>
    <xf numFmtId="0" fontId="5" fillId="0" borderId="0" xfId="3" applyFont="1"/>
    <xf numFmtId="0" fontId="2" fillId="5" borderId="9" xfId="4" applyFont="1" applyFill="1" applyBorder="1" applyAlignment="1">
      <alignment horizontal="left" wrapText="1"/>
    </xf>
    <xf numFmtId="0" fontId="2" fillId="5" borderId="9" xfId="4" applyFont="1" applyFill="1" applyBorder="1" applyAlignment="1">
      <alignment horizontal="left"/>
    </xf>
    <xf numFmtId="43" fontId="7" fillId="4" borderId="10" xfId="1" applyFont="1" applyFill="1" applyBorder="1"/>
    <xf numFmtId="43" fontId="7" fillId="4" borderId="11" xfId="1" applyFont="1" applyFill="1" applyBorder="1"/>
    <xf numFmtId="43" fontId="7" fillId="4" borderId="12" xfId="1" applyFont="1" applyFill="1" applyBorder="1"/>
    <xf numFmtId="0" fontId="7" fillId="0" borderId="0" xfId="3" applyFont="1"/>
    <xf numFmtId="43" fontId="5" fillId="4" borderId="13" xfId="1" applyFont="1" applyFill="1" applyBorder="1"/>
    <xf numFmtId="43" fontId="5" fillId="4" borderId="14" xfId="1" applyFont="1" applyFill="1" applyBorder="1"/>
    <xf numFmtId="43" fontId="5" fillId="4" borderId="15" xfId="1" applyFont="1" applyFill="1" applyBorder="1"/>
    <xf numFmtId="0" fontId="6" fillId="2" borderId="0" xfId="4" applyFill="1"/>
    <xf numFmtId="43" fontId="5" fillId="4" borderId="16" xfId="1" applyFont="1" applyFill="1" applyBorder="1"/>
    <xf numFmtId="43" fontId="5" fillId="4" borderId="0" xfId="1" applyFont="1" applyFill="1" applyBorder="1"/>
    <xf numFmtId="43" fontId="5" fillId="4" borderId="17" xfId="1" applyFont="1" applyFill="1" applyBorder="1"/>
    <xf numFmtId="43" fontId="5" fillId="4" borderId="18" xfId="1" applyFont="1" applyFill="1" applyBorder="1"/>
    <xf numFmtId="43" fontId="5" fillId="4" borderId="19" xfId="1" applyFont="1" applyFill="1" applyBorder="1"/>
    <xf numFmtId="43" fontId="5" fillId="4" borderId="20" xfId="1" applyFont="1" applyFill="1" applyBorder="1"/>
    <xf numFmtId="0" fontId="5" fillId="0" borderId="16" xfId="3" applyFont="1" applyBorder="1"/>
    <xf numFmtId="0" fontId="5" fillId="0" borderId="17" xfId="3" applyFont="1" applyBorder="1"/>
    <xf numFmtId="0" fontId="5" fillId="0" borderId="0" xfId="3" applyFont="1" applyAlignment="1">
      <alignment horizontal="right"/>
    </xf>
    <xf numFmtId="0" fontId="5" fillId="0" borderId="0" xfId="3" applyFont="1" applyAlignment="1">
      <alignment wrapText="1"/>
    </xf>
    <xf numFmtId="0" fontId="8" fillId="0" borderId="0" xfId="3" applyFont="1"/>
    <xf numFmtId="165" fontId="9" fillId="0" borderId="0" xfId="1" applyNumberFormat="1" applyFont="1" applyFill="1"/>
    <xf numFmtId="0" fontId="6" fillId="0" borderId="0" xfId="4"/>
    <xf numFmtId="0" fontId="2" fillId="4" borderId="0" xfId="4" applyFont="1" applyFill="1"/>
    <xf numFmtId="9" fontId="0" fillId="2" borderId="0" xfId="5" applyFont="1" applyFill="1"/>
    <xf numFmtId="0" fontId="6" fillId="6" borderId="0" xfId="4" applyFill="1"/>
    <xf numFmtId="0" fontId="10" fillId="6" borderId="0" xfId="4" applyFont="1" applyFill="1"/>
    <xf numFmtId="0" fontId="10" fillId="6" borderId="0" xfId="4" applyFont="1" applyFill="1" applyAlignment="1">
      <alignment horizontal="left" indent="4"/>
    </xf>
    <xf numFmtId="0" fontId="5" fillId="0" borderId="2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18" xfId="3" applyFont="1" applyBorder="1" applyAlignment="1">
      <alignment horizontal="center"/>
    </xf>
  </cellXfs>
  <cellStyles count="6">
    <cellStyle name="Comma" xfId="1" builtinId="3"/>
    <cellStyle name="Normal" xfId="0" builtinId="0"/>
    <cellStyle name="Normal 2" xfId="3" xr:uid="{F8DE1264-D58D-4DDF-91D3-2AEC8909E839}"/>
    <cellStyle name="Normal 3" xfId="4" xr:uid="{4A4B16EE-0831-4916-B9B8-0FB0A7EAE095}"/>
    <cellStyle name="Percent" xfId="2" builtinId="5"/>
    <cellStyle name="Percent 2" xfId="5" xr:uid="{22750684-495A-412B-869E-8A144AE8A9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Butterfly Vega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Q10c!$B$108</c:f>
              <c:strCache>
                <c:ptCount val="1"/>
                <c:pt idx="0">
                  <c:v>Total Vega</c:v>
                </c:pt>
              </c:strCache>
            </c:strRef>
          </c:tx>
          <c:cat>
            <c:numRef>
              <c:f>Q10c!$D$103:$X$103</c:f>
              <c:numCache>
                <c:formatCode>General</c:formatCode>
                <c:ptCount val="21"/>
                <c:pt idx="0">
                  <c:v>0.1</c:v>
                </c:pt>
                <c:pt idx="1">
                  <c:v>0.12000000000000001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0.19999999999999998</c:v>
                </c:pt>
                <c:pt idx="6">
                  <c:v>0.21999999999999997</c:v>
                </c:pt>
                <c:pt idx="7">
                  <c:v>0.23999999999999996</c:v>
                </c:pt>
                <c:pt idx="8">
                  <c:v>0.25999999999999995</c:v>
                </c:pt>
                <c:pt idx="9">
                  <c:v>0.27999999999999997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0.36000000000000004</c:v>
                </c:pt>
                <c:pt idx="14">
                  <c:v>0.38000000000000006</c:v>
                </c:pt>
                <c:pt idx="15">
                  <c:v>0.40000000000000008</c:v>
                </c:pt>
                <c:pt idx="16">
                  <c:v>0.4200000000000001</c:v>
                </c:pt>
                <c:pt idx="17">
                  <c:v>0.44000000000000011</c:v>
                </c:pt>
                <c:pt idx="18">
                  <c:v>0.46000000000000013</c:v>
                </c:pt>
                <c:pt idx="19">
                  <c:v>0.48000000000000015</c:v>
                </c:pt>
                <c:pt idx="20">
                  <c:v>0.50000000000000011</c:v>
                </c:pt>
              </c:numCache>
            </c:numRef>
          </c:cat>
          <c:val>
            <c:numRef>
              <c:f>Q10c!$D$108:$X$108</c:f>
              <c:numCache>
                <c:formatCode>_(* #,##0.00_);_(* \(#,##0.00\);_(* "-"??_);_(@_)</c:formatCode>
                <c:ptCount val="21"/>
                <c:pt idx="0">
                  <c:v>-63.924225168891716</c:v>
                </c:pt>
                <c:pt idx="1">
                  <c:v>-55.937332577988109</c:v>
                </c:pt>
                <c:pt idx="2">
                  <c:v>-48.163073418043936</c:v>
                </c:pt>
                <c:pt idx="3">
                  <c:v>-41.25160271720258</c:v>
                </c:pt>
                <c:pt idx="4">
                  <c:v>-35.366065299608437</c:v>
                </c:pt>
                <c:pt idx="5">
                  <c:v>-30.449744723865635</c:v>
                </c:pt>
                <c:pt idx="6">
                  <c:v>-26.370751479326316</c:v>
                </c:pt>
                <c:pt idx="7">
                  <c:v>-22.986832389074387</c:v>
                </c:pt>
                <c:pt idx="8">
                  <c:v>-20.169847188501905</c:v>
                </c:pt>
                <c:pt idx="9">
                  <c:v>-17.812381958183657</c:v>
                </c:pt>
                <c:pt idx="10">
                  <c:v>-15.827283119735498</c:v>
                </c:pt>
                <c:pt idx="11">
                  <c:v>-14.1448519255175</c:v>
                </c:pt>
                <c:pt idx="12">
                  <c:v>-12.709633432022756</c:v>
                </c:pt>
                <c:pt idx="13">
                  <c:v>-11.477505130018699</c:v>
                </c:pt>
                <c:pt idx="14">
                  <c:v>-10.413258786783771</c:v>
                </c:pt>
                <c:pt idx="15">
                  <c:v>-9.4886712751022486</c:v>
                </c:pt>
                <c:pt idx="16">
                  <c:v>-8.6809950690059736</c:v>
                </c:pt>
                <c:pt idx="17">
                  <c:v>-7.9717873200908684</c:v>
                </c:pt>
                <c:pt idx="18">
                  <c:v>-7.3460040228489873</c:v>
                </c:pt>
                <c:pt idx="19">
                  <c:v>-6.7912986949457235</c:v>
                </c:pt>
                <c:pt idx="20">
                  <c:v>-6.2974778198649375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D-48C1-9315-F9DB6B6B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717632"/>
        <c:axId val="179719552"/>
      </c:lineChart>
      <c:catAx>
        <c:axId val="17971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Volatility</a:t>
                </a:r>
              </a:p>
            </c:rich>
          </c:tx>
          <c:layout>
            <c:manualLayout>
              <c:xMode val="edge"/>
              <c:yMode val="edge"/>
              <c:x val="0.90743239853638957"/>
              <c:y val="7.721636913647293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79719552"/>
        <c:crosses val="autoZero"/>
        <c:auto val="1"/>
        <c:lblAlgn val="ctr"/>
        <c:lblOffset val="100"/>
        <c:noMultiLvlLbl val="0"/>
      </c:catAx>
      <c:valAx>
        <c:axId val="17971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Vega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crossAx val="179717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115</xdr:row>
      <xdr:rowOff>42863</xdr:rowOff>
    </xdr:from>
    <xdr:to>
      <xdr:col>11</xdr:col>
      <xdr:colOff>490537</xdr:colOff>
      <xdr:row>138</xdr:row>
      <xdr:rowOff>109539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485B07-B405-4421-9EE6-0ACBE862D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1</xdr:row>
      <xdr:rowOff>0</xdr:rowOff>
    </xdr:from>
    <xdr:ext cx="5681703" cy="7200954"/>
    <xdr:pic>
      <xdr:nvPicPr>
        <xdr:cNvPr id="3" name="Picture 2">
          <a:extLst>
            <a:ext uri="{FF2B5EF4-FFF2-40B4-BE49-F238E27FC236}">
              <a16:creationId xmlns:a16="http://schemas.microsoft.com/office/drawing/2014/main" id="{AD2CAFCC-42C7-4DE0-826E-D2D497593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800" y="198120"/>
          <a:ext cx="5681703" cy="7200954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109</xdr:row>
      <xdr:rowOff>14288</xdr:rowOff>
    </xdr:from>
    <xdr:ext cx="6157957" cy="495305"/>
    <xdr:pic>
      <xdr:nvPicPr>
        <xdr:cNvPr id="4" name="Picture 3">
          <a:extLst>
            <a:ext uri="{FF2B5EF4-FFF2-40B4-BE49-F238E27FC236}">
              <a16:creationId xmlns:a16="http://schemas.microsoft.com/office/drawing/2014/main" id="{6393DAEE-2EA9-40FE-95DC-E5283DA9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5800" y="21609368"/>
          <a:ext cx="6157957" cy="495305"/>
        </a:xfrm>
        <a:prstGeom prst="rect">
          <a:avLst/>
        </a:prstGeom>
      </xdr:spPr>
    </xdr:pic>
    <xdr:clientData/>
  </xdr:oneCellAnchor>
  <xdr:oneCellAnchor>
    <xdr:from>
      <xdr:col>0</xdr:col>
      <xdr:colOff>627531</xdr:colOff>
      <xdr:row>43</xdr:row>
      <xdr:rowOff>95251</xdr:rowOff>
    </xdr:from>
    <xdr:ext cx="6099125" cy="7013814"/>
    <xdr:pic>
      <xdr:nvPicPr>
        <xdr:cNvPr id="5" name="Picture 4">
          <a:extLst>
            <a:ext uri="{FF2B5EF4-FFF2-40B4-BE49-F238E27FC236}">
              <a16:creationId xmlns:a16="http://schemas.microsoft.com/office/drawing/2014/main" id="{457C8C4D-9351-454F-B16D-BD611165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7531" y="8614411"/>
          <a:ext cx="6099125" cy="701381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22412</xdr:colOff>
      <xdr:row>41</xdr:row>
      <xdr:rowOff>134470</xdr:rowOff>
    </xdr:from>
    <xdr:to>
      <xdr:col>4</xdr:col>
      <xdr:colOff>389123</xdr:colOff>
      <xdr:row>43</xdr:row>
      <xdr:rowOff>44823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D398C1-F75E-B91B-DBFC-514ABCA2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0765" y="9233646"/>
          <a:ext cx="366711" cy="28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14940</xdr:colOff>
      <xdr:row>39</xdr:row>
      <xdr:rowOff>134470</xdr:rowOff>
    </xdr:from>
    <xdr:to>
      <xdr:col>4</xdr:col>
      <xdr:colOff>276411</xdr:colOff>
      <xdr:row>41</xdr:row>
      <xdr:rowOff>110390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0BC6C8-DB29-16ED-912F-5B6BC437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3293" y="8860117"/>
          <a:ext cx="261471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61632</xdr:colOff>
      <xdr:row>27</xdr:row>
      <xdr:rowOff>162485</xdr:rowOff>
    </xdr:from>
    <xdr:to>
      <xdr:col>4</xdr:col>
      <xdr:colOff>309964</xdr:colOff>
      <xdr:row>29</xdr:row>
      <xdr:rowOff>42704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E713769-9FE2-B7D1-27AD-524E1FB5D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9397" y="6549838"/>
          <a:ext cx="247652" cy="238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63B3-A011-4A1A-A1A1-72A74143F526}">
  <dimension ref="B86:X114"/>
  <sheetViews>
    <sheetView showGridLines="0" tabSelected="1" zoomScale="80" zoomScaleNormal="80" workbookViewId="0">
      <selection activeCell="L17" sqref="L17"/>
    </sheetView>
  </sheetViews>
  <sheetFormatPr defaultColWidth="10" defaultRowHeight="15" x14ac:dyDescent="0.25"/>
  <cols>
    <col min="1" max="1" width="10" style="32"/>
    <col min="2" max="2" width="32.42578125" style="32" customWidth="1"/>
    <col min="3" max="3" width="14.28515625" style="32" bestFit="1" customWidth="1"/>
    <col min="4" max="4" width="9.5703125" style="32" customWidth="1"/>
    <col min="5" max="5" width="13.7109375" style="32" customWidth="1"/>
    <col min="6" max="6" width="12.7109375" style="32" bestFit="1" customWidth="1"/>
    <col min="7" max="7" width="14.85546875" style="32" bestFit="1" customWidth="1"/>
    <col min="8" max="8" width="11.5703125" style="32" customWidth="1"/>
    <col min="9" max="19" width="9.5703125" style="32" customWidth="1"/>
    <col min="20" max="20" width="10" style="32"/>
    <col min="21" max="25" width="9.5703125" style="32" customWidth="1"/>
    <col min="26" max="16384" width="10" style="32"/>
  </cols>
  <sheetData>
    <row r="86" spans="2:14" x14ac:dyDescent="0.25">
      <c r="B86" s="34" t="s">
        <v>45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</row>
    <row r="87" spans="2:14" ht="15.75" x14ac:dyDescent="0.25">
      <c r="B87" s="60" t="s">
        <v>60</v>
      </c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</row>
    <row r="88" spans="2:14" ht="15.75" x14ac:dyDescent="0.25">
      <c r="B88" s="60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</row>
    <row r="89" spans="2:14" ht="15.75" x14ac:dyDescent="0.25">
      <c r="B89" s="60" t="s">
        <v>59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</row>
    <row r="90" spans="2:14" ht="15.75" x14ac:dyDescent="0.25">
      <c r="B90" s="60" t="s">
        <v>58</v>
      </c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</row>
    <row r="91" spans="2:14" ht="15.75" x14ac:dyDescent="0.25">
      <c r="B91" s="60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</row>
    <row r="92" spans="2:14" ht="15.75" x14ac:dyDescent="0.25">
      <c r="B92" s="59" t="s">
        <v>57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</row>
    <row r="93" spans="2:14" ht="15.75" x14ac:dyDescent="0.25">
      <c r="B93" s="59" t="s">
        <v>56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</row>
    <row r="94" spans="2:14" ht="15.75" x14ac:dyDescent="0.25">
      <c r="B94" s="59" t="s">
        <v>55</v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</row>
    <row r="96" spans="2:14" x14ac:dyDescent="0.25">
      <c r="B96" s="34" t="s">
        <v>54</v>
      </c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</row>
    <row r="98" spans="2:24" ht="15.75" x14ac:dyDescent="0.25">
      <c r="B98" s="32" t="s">
        <v>53</v>
      </c>
      <c r="C98" s="42">
        <v>100</v>
      </c>
      <c r="F98" s="51"/>
      <c r="G98" s="42"/>
      <c r="H98" s="55" t="s">
        <v>2</v>
      </c>
    </row>
    <row r="99" spans="2:24" ht="15.75" x14ac:dyDescent="0.25">
      <c r="B99" s="32" t="s">
        <v>52</v>
      </c>
      <c r="C99" s="57">
        <v>0.02</v>
      </c>
      <c r="G99" s="56"/>
      <c r="H99" s="55" t="s">
        <v>4</v>
      </c>
    </row>
    <row r="100" spans="2:24" ht="15.75" x14ac:dyDescent="0.25">
      <c r="B100" s="32" t="s">
        <v>51</v>
      </c>
      <c r="C100" s="42">
        <v>1</v>
      </c>
    </row>
    <row r="101" spans="2:24" x14ac:dyDescent="0.25">
      <c r="C101" s="54"/>
    </row>
    <row r="102" spans="2:24" x14ac:dyDescent="0.25">
      <c r="B102" s="53" t="s">
        <v>50</v>
      </c>
      <c r="D102" s="61" t="s">
        <v>49</v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3"/>
    </row>
    <row r="103" spans="2:24" ht="45" x14ac:dyDescent="0.25">
      <c r="B103" s="52" t="s">
        <v>48</v>
      </c>
      <c r="C103" s="51" t="s">
        <v>47</v>
      </c>
      <c r="D103" s="50">
        <v>0.1</v>
      </c>
      <c r="E103" s="32">
        <f t="shared" ref="E103:X103" si="0">D103+0.02</f>
        <v>0.12000000000000001</v>
      </c>
      <c r="F103" s="32">
        <f t="shared" si="0"/>
        <v>0.14000000000000001</v>
      </c>
      <c r="G103" s="32">
        <f t="shared" si="0"/>
        <v>0.16</v>
      </c>
      <c r="H103" s="32">
        <f t="shared" si="0"/>
        <v>0.18</v>
      </c>
      <c r="I103" s="32">
        <f t="shared" si="0"/>
        <v>0.19999999999999998</v>
      </c>
      <c r="J103" s="32">
        <f t="shared" si="0"/>
        <v>0.21999999999999997</v>
      </c>
      <c r="K103" s="32">
        <f t="shared" si="0"/>
        <v>0.23999999999999996</v>
      </c>
      <c r="L103" s="32">
        <f t="shared" si="0"/>
        <v>0.25999999999999995</v>
      </c>
      <c r="M103" s="32">
        <f t="shared" si="0"/>
        <v>0.27999999999999997</v>
      </c>
      <c r="N103" s="32">
        <f t="shared" si="0"/>
        <v>0.3</v>
      </c>
      <c r="O103" s="32">
        <f t="shared" si="0"/>
        <v>0.32</v>
      </c>
      <c r="P103" s="32">
        <f t="shared" si="0"/>
        <v>0.34</v>
      </c>
      <c r="Q103" s="32">
        <f t="shared" si="0"/>
        <v>0.36000000000000004</v>
      </c>
      <c r="R103" s="32">
        <f t="shared" si="0"/>
        <v>0.38000000000000006</v>
      </c>
      <c r="S103" s="32">
        <f t="shared" si="0"/>
        <v>0.40000000000000008</v>
      </c>
      <c r="T103" s="32">
        <f t="shared" si="0"/>
        <v>0.4200000000000001</v>
      </c>
      <c r="U103" s="32">
        <f t="shared" si="0"/>
        <v>0.44000000000000011</v>
      </c>
      <c r="V103" s="32">
        <f t="shared" si="0"/>
        <v>0.46000000000000013</v>
      </c>
      <c r="W103" s="32">
        <f t="shared" si="0"/>
        <v>0.48000000000000015</v>
      </c>
      <c r="X103" s="49">
        <f t="shared" si="0"/>
        <v>0.50000000000000011</v>
      </c>
    </row>
    <row r="104" spans="2:24" ht="15.75" x14ac:dyDescent="0.25">
      <c r="B104" s="42">
        <v>1</v>
      </c>
      <c r="C104" s="42">
        <v>80</v>
      </c>
      <c r="D104" s="48">
        <f t="shared" ref="D104:M107" si="1">CurrentStock*NORMDIST((LN($C$98/$C104)+(InterestRate+0.5*D$103^2)*$C$100)/(D$103*SQRT($C$100)),0,1,FALSE)*SQRT($C$100)</f>
        <v>1.8357820019769395</v>
      </c>
      <c r="E104" s="47">
        <f t="shared" si="1"/>
        <v>4.5272931994047809</v>
      </c>
      <c r="F104" s="47">
        <f t="shared" si="1"/>
        <v>7.7996399103284837</v>
      </c>
      <c r="G104" s="47">
        <f t="shared" si="1"/>
        <v>11.098345880132925</v>
      </c>
      <c r="H104" s="47">
        <f t="shared" si="1"/>
        <v>14.129755942592098</v>
      </c>
      <c r="I104" s="47">
        <f t="shared" si="1"/>
        <v>16.788179629772475</v>
      </c>
      <c r="J104" s="47">
        <f t="shared" si="1"/>
        <v>19.065465531974016</v>
      </c>
      <c r="K104" s="47">
        <f t="shared" si="1"/>
        <v>20.99482473454087</v>
      </c>
      <c r="L104" s="47">
        <f t="shared" si="1"/>
        <v>22.622404072389852</v>
      </c>
      <c r="M104" s="47">
        <f t="shared" si="1"/>
        <v>23.994551882115658</v>
      </c>
      <c r="N104" s="47">
        <f t="shared" ref="N104:X107" si="2">CurrentStock*NORMDIST((LN($C$98/$C104)+(InterestRate+0.5*N$103^2)*$C$100)/(N$103*SQRT($C$100)),0,1,FALSE)*SQRT($C$100)</f>
        <v>25.152874244584485</v>
      </c>
      <c r="O104" s="47">
        <f t="shared" si="2"/>
        <v>26.132870477106845</v>
      </c>
      <c r="P104" s="47">
        <f t="shared" si="2"/>
        <v>26.964084669233522</v>
      </c>
      <c r="Q104" s="47">
        <f t="shared" si="2"/>
        <v>27.670811991138038</v>
      </c>
      <c r="R104" s="47">
        <f t="shared" si="2"/>
        <v>28.272933613012867</v>
      </c>
      <c r="S104" s="47">
        <f t="shared" si="2"/>
        <v>28.786705591809159</v>
      </c>
      <c r="T104" s="47">
        <f t="shared" si="2"/>
        <v>29.225441684252441</v>
      </c>
      <c r="U104" s="47">
        <f t="shared" si="2"/>
        <v>29.600079899516363</v>
      </c>
      <c r="V104" s="47">
        <f t="shared" si="2"/>
        <v>29.919642422758326</v>
      </c>
      <c r="W104" s="47">
        <f t="shared" si="2"/>
        <v>30.191604812053185</v>
      </c>
      <c r="X104" s="46">
        <f t="shared" si="2"/>
        <v>30.422190842227675</v>
      </c>
    </row>
    <row r="105" spans="2:24" ht="15.75" x14ac:dyDescent="0.25">
      <c r="B105" s="42">
        <v>1</v>
      </c>
      <c r="C105" s="42">
        <v>120</v>
      </c>
      <c r="D105" s="45">
        <f t="shared" si="1"/>
        <v>11.573616189701191</v>
      </c>
      <c r="E105" s="44">
        <f t="shared" si="1"/>
        <v>17.300256483216351</v>
      </c>
      <c r="F105" s="44">
        <f t="shared" si="1"/>
        <v>22.038528833165582</v>
      </c>
      <c r="G105" s="44">
        <f t="shared" si="1"/>
        <v>25.77944412668554</v>
      </c>
      <c r="H105" s="44">
        <f t="shared" si="1"/>
        <v>28.695291542400948</v>
      </c>
      <c r="I105" s="44">
        <f t="shared" si="1"/>
        <v>30.970614441453066</v>
      </c>
      <c r="J105" s="44">
        <f t="shared" si="1"/>
        <v>32.758071030393289</v>
      </c>
      <c r="K105" s="44">
        <f t="shared" si="1"/>
        <v>34.174325820314955</v>
      </c>
      <c r="L105" s="44">
        <f t="shared" si="1"/>
        <v>35.306202110137363</v>
      </c>
      <c r="M105" s="44">
        <f t="shared" si="1"/>
        <v>36.217951055616929</v>
      </c>
      <c r="N105" s="44">
        <f t="shared" si="2"/>
        <v>36.957294913073738</v>
      </c>
      <c r="O105" s="44">
        <f t="shared" si="2"/>
        <v>37.559963484817985</v>
      </c>
      <c r="P105" s="44">
        <f t="shared" si="2"/>
        <v>38.052974269631086</v>
      </c>
      <c r="Q105" s="44">
        <f t="shared" si="2"/>
        <v>38.45697509044124</v>
      </c>
      <c r="R105" s="44">
        <f t="shared" si="2"/>
        <v>38.787915722302685</v>
      </c>
      <c r="S105" s="44">
        <f t="shared" si="2"/>
        <v>39.058246493658423</v>
      </c>
      <c r="T105" s="44">
        <f t="shared" si="2"/>
        <v>39.277784366145347</v>
      </c>
      <c r="U105" s="44">
        <f t="shared" si="2"/>
        <v>39.454344470921768</v>
      </c>
      <c r="V105" s="44">
        <f t="shared" si="2"/>
        <v>39.594205108864855</v>
      </c>
      <c r="W105" s="44">
        <f t="shared" si="2"/>
        <v>39.702453515041405</v>
      </c>
      <c r="X105" s="43">
        <f t="shared" si="2"/>
        <v>39.78324547049219</v>
      </c>
    </row>
    <row r="106" spans="2:24" ht="15.75" x14ac:dyDescent="0.25">
      <c r="B106" s="42">
        <v>-1</v>
      </c>
      <c r="C106" s="42">
        <f>C98</f>
        <v>100</v>
      </c>
      <c r="D106" s="45">
        <f t="shared" si="1"/>
        <v>38.666811680284923</v>
      </c>
      <c r="E106" s="44">
        <f t="shared" si="1"/>
        <v>38.88244113030462</v>
      </c>
      <c r="F106" s="44">
        <f t="shared" si="1"/>
        <v>39.000621080769001</v>
      </c>
      <c r="G106" s="44">
        <f t="shared" si="1"/>
        <v>39.064696362010523</v>
      </c>
      <c r="H106" s="44">
        <f t="shared" si="1"/>
        <v>39.095556392300743</v>
      </c>
      <c r="I106" s="44">
        <f t="shared" si="1"/>
        <v>39.104269397545586</v>
      </c>
      <c r="J106" s="44">
        <f t="shared" si="1"/>
        <v>39.097144020846812</v>
      </c>
      <c r="K106" s="44">
        <f t="shared" si="1"/>
        <v>39.077991471965106</v>
      </c>
      <c r="L106" s="44">
        <f t="shared" si="1"/>
        <v>39.049226685514562</v>
      </c>
      <c r="M106" s="44">
        <f t="shared" si="1"/>
        <v>39.012442447958122</v>
      </c>
      <c r="N106" s="44">
        <f t="shared" si="2"/>
        <v>38.968726138696859</v>
      </c>
      <c r="O106" s="44">
        <f t="shared" si="2"/>
        <v>38.918842943721167</v>
      </c>
      <c r="P106" s="44">
        <f t="shared" si="2"/>
        <v>38.863346185443682</v>
      </c>
      <c r="Q106" s="44">
        <f t="shared" si="2"/>
        <v>38.802646105798985</v>
      </c>
      <c r="R106" s="44">
        <f t="shared" si="2"/>
        <v>38.737054061049662</v>
      </c>
      <c r="S106" s="44">
        <f t="shared" si="2"/>
        <v>38.666811680284916</v>
      </c>
      <c r="T106" s="44">
        <f t="shared" si="2"/>
        <v>38.592110559701879</v>
      </c>
      <c r="U106" s="44">
        <f t="shared" si="2"/>
        <v>38.513105845264498</v>
      </c>
      <c r="V106" s="44">
        <f t="shared" si="2"/>
        <v>38.429925777236086</v>
      </c>
      <c r="W106" s="44">
        <f t="shared" si="2"/>
        <v>38.342678511020161</v>
      </c>
      <c r="X106" s="43">
        <f t="shared" si="2"/>
        <v>38.251457066292403</v>
      </c>
    </row>
    <row r="107" spans="2:24" ht="15.75" x14ac:dyDescent="0.25">
      <c r="B107" s="42">
        <v>-1</v>
      </c>
      <c r="C107" s="42">
        <f>C98</f>
        <v>100</v>
      </c>
      <c r="D107" s="41">
        <f t="shared" si="1"/>
        <v>38.666811680284923</v>
      </c>
      <c r="E107" s="40">
        <f t="shared" si="1"/>
        <v>38.88244113030462</v>
      </c>
      <c r="F107" s="40">
        <f t="shared" si="1"/>
        <v>39.000621080769001</v>
      </c>
      <c r="G107" s="40">
        <f t="shared" si="1"/>
        <v>39.064696362010523</v>
      </c>
      <c r="H107" s="40">
        <f t="shared" si="1"/>
        <v>39.095556392300743</v>
      </c>
      <c r="I107" s="40">
        <f t="shared" si="1"/>
        <v>39.104269397545586</v>
      </c>
      <c r="J107" s="40">
        <f t="shared" si="1"/>
        <v>39.097144020846812</v>
      </c>
      <c r="K107" s="40">
        <f t="shared" si="1"/>
        <v>39.077991471965106</v>
      </c>
      <c r="L107" s="40">
        <f t="shared" si="1"/>
        <v>39.049226685514562</v>
      </c>
      <c r="M107" s="40">
        <f t="shared" si="1"/>
        <v>39.012442447958122</v>
      </c>
      <c r="N107" s="40">
        <f t="shared" si="2"/>
        <v>38.968726138696859</v>
      </c>
      <c r="O107" s="40">
        <f t="shared" si="2"/>
        <v>38.918842943721167</v>
      </c>
      <c r="P107" s="40">
        <f t="shared" si="2"/>
        <v>38.863346185443682</v>
      </c>
      <c r="Q107" s="40">
        <f t="shared" si="2"/>
        <v>38.802646105798985</v>
      </c>
      <c r="R107" s="40">
        <f t="shared" si="2"/>
        <v>38.737054061049662</v>
      </c>
      <c r="S107" s="40">
        <f t="shared" si="2"/>
        <v>38.666811680284916</v>
      </c>
      <c r="T107" s="40">
        <f t="shared" si="2"/>
        <v>38.592110559701879</v>
      </c>
      <c r="U107" s="40">
        <f t="shared" si="2"/>
        <v>38.513105845264498</v>
      </c>
      <c r="V107" s="40">
        <f t="shared" si="2"/>
        <v>38.429925777236086</v>
      </c>
      <c r="W107" s="40">
        <f t="shared" si="2"/>
        <v>38.342678511020161</v>
      </c>
      <c r="X107" s="39">
        <f t="shared" si="2"/>
        <v>38.251457066292403</v>
      </c>
    </row>
    <row r="108" spans="2:24" ht="15.75" thickBot="1" x14ac:dyDescent="0.3">
      <c r="B108" s="38" t="s">
        <v>46</v>
      </c>
      <c r="D108" s="37">
        <f t="shared" ref="D108:X108" si="3">SUMPRODUCT($B104:$B107,D104:D107)</f>
        <v>-63.924225168891716</v>
      </c>
      <c r="E108" s="36">
        <f t="shared" si="3"/>
        <v>-55.937332577988109</v>
      </c>
      <c r="F108" s="36">
        <f t="shared" si="3"/>
        <v>-48.163073418043936</v>
      </c>
      <c r="G108" s="36">
        <f t="shared" si="3"/>
        <v>-41.25160271720258</v>
      </c>
      <c r="H108" s="36">
        <f t="shared" si="3"/>
        <v>-35.366065299608437</v>
      </c>
      <c r="I108" s="36">
        <f t="shared" si="3"/>
        <v>-30.449744723865635</v>
      </c>
      <c r="J108" s="36">
        <f t="shared" si="3"/>
        <v>-26.370751479326316</v>
      </c>
      <c r="K108" s="36">
        <f t="shared" si="3"/>
        <v>-22.986832389074387</v>
      </c>
      <c r="L108" s="36">
        <f t="shared" si="3"/>
        <v>-20.169847188501905</v>
      </c>
      <c r="M108" s="36">
        <f t="shared" si="3"/>
        <v>-17.812381958183657</v>
      </c>
      <c r="N108" s="36">
        <f t="shared" si="3"/>
        <v>-15.827283119735498</v>
      </c>
      <c r="O108" s="36">
        <f t="shared" si="3"/>
        <v>-14.1448519255175</v>
      </c>
      <c r="P108" s="36">
        <f t="shared" si="3"/>
        <v>-12.709633432022756</v>
      </c>
      <c r="Q108" s="36">
        <f t="shared" si="3"/>
        <v>-11.477505130018699</v>
      </c>
      <c r="R108" s="36">
        <f t="shared" si="3"/>
        <v>-10.413258786783771</v>
      </c>
      <c r="S108" s="36">
        <f t="shared" si="3"/>
        <v>-9.4886712751022486</v>
      </c>
      <c r="T108" s="36">
        <f t="shared" si="3"/>
        <v>-8.6809950690059736</v>
      </c>
      <c r="U108" s="36">
        <f t="shared" si="3"/>
        <v>-7.9717873200908684</v>
      </c>
      <c r="V108" s="36">
        <f t="shared" si="3"/>
        <v>-7.3460040228489873</v>
      </c>
      <c r="W108" s="36">
        <f t="shared" si="3"/>
        <v>-6.7912986949457235</v>
      </c>
      <c r="X108" s="35">
        <f t="shared" si="3"/>
        <v>-6.2974778198649375</v>
      </c>
    </row>
    <row r="109" spans="2:24" ht="15.75" thickTop="1" x14ac:dyDescent="0.25"/>
    <row r="114" spans="2:14" x14ac:dyDescent="0.25">
      <c r="B114" s="34" t="s">
        <v>45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</sheetData>
  <mergeCells count="1">
    <mergeCell ref="D102:X102"/>
  </mergeCells>
  <pageMargins left="0.7" right="0.7" top="0.75" bottom="0.75" header="0.3" footer="0.3"/>
  <pageSetup orientation="portrait" r:id="rId1"/>
  <headerFooter>
    <oddFooter>&amp;L&amp;1#&amp;"Calibri"&amp;10&amp;K000000Confidential (C3)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06B1-27D5-4519-A835-63902989EEFD}">
  <sheetPr codeName="Sheet5"/>
  <dimension ref="B1:M50"/>
  <sheetViews>
    <sheetView showGridLines="0" topLeftCell="A21" zoomScale="85" zoomScaleNormal="85" workbookViewId="0">
      <selection activeCell="B22" sqref="B22"/>
    </sheetView>
  </sheetViews>
  <sheetFormatPr defaultRowHeight="15" x14ac:dyDescent="0.25"/>
  <cols>
    <col min="2" max="2" width="42.42578125" customWidth="1"/>
    <col min="3" max="3" width="17.85546875" customWidth="1"/>
    <col min="4" max="4" width="9.5703125" customWidth="1"/>
    <col min="5" max="5" width="10.140625" customWidth="1"/>
    <col min="6" max="6" width="10.28515625" customWidth="1"/>
    <col min="7" max="7" width="13.140625" customWidth="1"/>
    <col min="8" max="8" width="15.7109375" customWidth="1"/>
    <col min="9" max="12" width="8.7109375" customWidth="1"/>
    <col min="13" max="13" width="12.28515625" customWidth="1"/>
    <col min="14" max="20" width="8.5703125" customWidth="1"/>
  </cols>
  <sheetData>
    <row r="1" spans="2:13" ht="15.75" thickBot="1" x14ac:dyDescent="0.3">
      <c r="B1" s="1" t="s">
        <v>0</v>
      </c>
    </row>
    <row r="2" spans="2:13" ht="18" x14ac:dyDescent="0.35">
      <c r="B2" s="2" t="s">
        <v>1</v>
      </c>
      <c r="C2" s="3">
        <v>100</v>
      </c>
      <c r="F2" t="s">
        <v>44</v>
      </c>
      <c r="H2">
        <f>C2</f>
        <v>100</v>
      </c>
      <c r="L2" s="4"/>
      <c r="M2" t="s">
        <v>2</v>
      </c>
    </row>
    <row r="3" spans="2:13" x14ac:dyDescent="0.25">
      <c r="B3" s="5" t="s">
        <v>3</v>
      </c>
      <c r="C3" s="6">
        <v>0</v>
      </c>
      <c r="F3" t="s">
        <v>30</v>
      </c>
      <c r="H3" s="7">
        <f>SUM(H5:H8)</f>
        <v>101.86889121603357</v>
      </c>
      <c r="L3" s="8"/>
      <c r="M3" t="s">
        <v>4</v>
      </c>
    </row>
    <row r="4" spans="2:13" x14ac:dyDescent="0.25">
      <c r="B4" s="5" t="s">
        <v>5</v>
      </c>
      <c r="C4" s="6">
        <v>0.2</v>
      </c>
    </row>
    <row r="5" spans="2:13" x14ac:dyDescent="0.25">
      <c r="B5" s="5" t="s">
        <v>41</v>
      </c>
      <c r="C5" s="24">
        <v>3</v>
      </c>
      <c r="F5" t="s">
        <v>27</v>
      </c>
      <c r="H5" s="4">
        <f>-F18</f>
        <v>-8.1239076572530067</v>
      </c>
    </row>
    <row r="6" spans="2:13" x14ac:dyDescent="0.25">
      <c r="B6" s="5" t="s">
        <v>6</v>
      </c>
      <c r="C6" s="23">
        <v>0.05</v>
      </c>
      <c r="F6" t="s">
        <v>28</v>
      </c>
      <c r="H6" s="4">
        <f>F29</f>
        <v>30.779810737472751</v>
      </c>
    </row>
    <row r="7" spans="2:13" x14ac:dyDescent="0.25">
      <c r="B7" s="5" t="s">
        <v>7</v>
      </c>
      <c r="C7" s="6">
        <v>0.15</v>
      </c>
      <c r="F7" t="s">
        <v>29</v>
      </c>
      <c r="H7" s="4">
        <f>-F43</f>
        <v>-6.8578095066919502</v>
      </c>
    </row>
    <row r="8" spans="2:13" ht="19.5" thickBot="1" x14ac:dyDescent="0.35">
      <c r="B8" s="10" t="s">
        <v>8</v>
      </c>
      <c r="C8" s="29">
        <v>0.35</v>
      </c>
      <c r="D8" s="27"/>
      <c r="F8" t="s">
        <v>43</v>
      </c>
      <c r="H8" s="31">
        <f>C2*EXP(-C6*C5)</f>
        <v>86.070797642505781</v>
      </c>
    </row>
    <row r="9" spans="2:13" x14ac:dyDescent="0.25">
      <c r="B9" s="12"/>
      <c r="C9" s="30"/>
    </row>
    <row r="10" spans="2:13" x14ac:dyDescent="0.25">
      <c r="B10" s="1"/>
      <c r="F10" t="s">
        <v>31</v>
      </c>
      <c r="H10" s="26">
        <f>C2*(1-EXP(-C6*C5))</f>
        <v>13.929202357494219</v>
      </c>
    </row>
    <row r="11" spans="2:13" x14ac:dyDescent="0.25">
      <c r="F11" t="s">
        <v>34</v>
      </c>
      <c r="H11" s="25">
        <f>H2-H3</f>
        <v>-1.8688912160335747</v>
      </c>
    </row>
    <row r="12" spans="2:13" ht="15.75" thickBot="1" x14ac:dyDescent="0.3">
      <c r="B12" s="1" t="s">
        <v>26</v>
      </c>
    </row>
    <row r="13" spans="2:13" x14ac:dyDescent="0.25">
      <c r="B13" s="2" t="s">
        <v>9</v>
      </c>
      <c r="C13" s="11">
        <v>100</v>
      </c>
      <c r="D13" s="12"/>
      <c r="E13" s="12" t="s">
        <v>10</v>
      </c>
      <c r="F13" s="13">
        <f>(LN(C13/C14)+(C16-C17)*C15+0.5*C18^2*C15)/(C18*SQRT(C15))</f>
        <v>-0.26010955353212117</v>
      </c>
      <c r="G13" s="12"/>
      <c r="H13" s="12" t="s">
        <v>11</v>
      </c>
      <c r="I13" s="14">
        <f>_xlfn.NORM.S.DIST(F13,TRUE)</f>
        <v>0.39738963442470809</v>
      </c>
      <c r="J13" s="12"/>
      <c r="K13" s="12" t="s">
        <v>12</v>
      </c>
      <c r="L13" s="15">
        <f>EXP(-(F13^2)/2)/SQRT(2*PI())</f>
        <v>0.38567238126026054</v>
      </c>
    </row>
    <row r="14" spans="2:13" x14ac:dyDescent="0.25">
      <c r="B14" s="5" t="s">
        <v>13</v>
      </c>
      <c r="C14" s="4">
        <f>C2*(1+C8)</f>
        <v>135</v>
      </c>
      <c r="E14" t="s">
        <v>14</v>
      </c>
      <c r="F14" s="16">
        <f>F13-C18*SQRT(C15)</f>
        <v>-0.60651971504589663</v>
      </c>
      <c r="H14" t="s">
        <v>15</v>
      </c>
      <c r="I14" s="17">
        <f>_xlfn.NORM.S.DIST(F14,TRUE)</f>
        <v>0.2720848473854145</v>
      </c>
      <c r="K14" t="s">
        <v>16</v>
      </c>
      <c r="L14" s="18">
        <f>EXP(-(F14^2)/2)/SQRT(2*PI())</f>
        <v>0.33191657705387295</v>
      </c>
    </row>
    <row r="15" spans="2:13" x14ac:dyDescent="0.25">
      <c r="B15" s="5" t="s">
        <v>40</v>
      </c>
      <c r="C15" s="4">
        <f>$C$5</f>
        <v>3</v>
      </c>
      <c r="E15" s="19" t="s">
        <v>17</v>
      </c>
      <c r="F15" s="16">
        <f>-F13</f>
        <v>0.26010955353212117</v>
      </c>
      <c r="H15" t="s">
        <v>18</v>
      </c>
      <c r="I15" s="17">
        <f>_xlfn.NORM.S.DIST(F15,TRUE)</f>
        <v>0.60261036557529191</v>
      </c>
      <c r="K15" t="s">
        <v>19</v>
      </c>
      <c r="L15" s="18">
        <f>EXP(-(F15^2)/2)/SQRT(2*PI())</f>
        <v>0.38567238126026054</v>
      </c>
    </row>
    <row r="16" spans="2:13" x14ac:dyDescent="0.25">
      <c r="B16" s="5" t="s">
        <v>20</v>
      </c>
      <c r="C16" s="20">
        <f>$C$6</f>
        <v>0.05</v>
      </c>
      <c r="E16" s="19" t="s">
        <v>21</v>
      </c>
      <c r="F16" s="16">
        <f>-F14</f>
        <v>0.60651971504589663</v>
      </c>
      <c r="H16" t="s">
        <v>22</v>
      </c>
      <c r="I16" s="17">
        <f>_xlfn.NORM.S.DIST(F16,TRUE)</f>
        <v>0.7279151526145855</v>
      </c>
      <c r="K16" t="s">
        <v>23</v>
      </c>
      <c r="L16" s="18">
        <f>EXP(-(F16^2)/2)/SQRT(2*PI())</f>
        <v>0.33191657705387295</v>
      </c>
    </row>
    <row r="17" spans="2:12" x14ac:dyDescent="0.25">
      <c r="B17" s="5" t="s">
        <v>24</v>
      </c>
      <c r="C17" s="20">
        <f>$C$3</f>
        <v>0</v>
      </c>
      <c r="L17" s="9"/>
    </row>
    <row r="18" spans="2:12" x14ac:dyDescent="0.25">
      <c r="B18" s="5" t="s">
        <v>25</v>
      </c>
      <c r="C18" s="20">
        <f>$C$4</f>
        <v>0.2</v>
      </c>
      <c r="E18" t="s">
        <v>32</v>
      </c>
      <c r="F18">
        <f>C13*EXP(-C17*C15)*I13-C14*EXP(-C16*C15)*I14</f>
        <v>8.1239076572530067</v>
      </c>
      <c r="H18" t="s">
        <v>33</v>
      </c>
      <c r="I18">
        <f>C14*EXP(-C16*C15)*I16-C13*EXP(-C17*C15)*I15</f>
        <v>24.319484474635807</v>
      </c>
      <c r="L18" s="9"/>
    </row>
    <row r="19" spans="2:12" ht="15.75" thickBot="1" x14ac:dyDescent="0.3">
      <c r="B19" s="1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3" spans="2:12" ht="15.75" thickBot="1" x14ac:dyDescent="0.3">
      <c r="B23" s="1" t="s">
        <v>42</v>
      </c>
    </row>
    <row r="24" spans="2:12" x14ac:dyDescent="0.25">
      <c r="B24" s="2" t="s">
        <v>9</v>
      </c>
      <c r="C24" s="11">
        <v>100</v>
      </c>
      <c r="D24" s="12"/>
      <c r="E24" s="12" t="s">
        <v>36</v>
      </c>
      <c r="F24" s="13">
        <f>(LN(C24/MIN(C24,C25))+(C27-C28+POWER(C29,2)*0.5)*C26)/(C29*SQRT(C26))</f>
        <v>0.60621778264910708</v>
      </c>
      <c r="G24" s="12"/>
      <c r="H24" s="12"/>
      <c r="I24" s="12"/>
      <c r="J24" s="12"/>
      <c r="K24" s="12"/>
      <c r="L24" s="3"/>
    </row>
    <row r="25" spans="2:12" x14ac:dyDescent="0.25">
      <c r="B25" s="5" t="s">
        <v>13</v>
      </c>
      <c r="C25" s="4">
        <f>$C$36</f>
        <v>100</v>
      </c>
      <c r="E25" t="s">
        <v>37</v>
      </c>
      <c r="F25" s="16">
        <f>F24-C29*SQRT(C26)</f>
        <v>0.25980762113533162</v>
      </c>
      <c r="L25" s="9"/>
    </row>
    <row r="26" spans="2:12" x14ac:dyDescent="0.25">
      <c r="B26" s="5" t="s">
        <v>40</v>
      </c>
      <c r="C26" s="4">
        <f>$C$5</f>
        <v>3</v>
      </c>
      <c r="E26" s="19" t="s">
        <v>38</v>
      </c>
      <c r="F26" s="16">
        <f>(LN(C24/MIN(C24,C25))+(-C27+C28+POWER(C29,2)*0.5)*C26)/(C29*SQRT(C26))</f>
        <v>-0.25980762113533157</v>
      </c>
      <c r="L26" s="9"/>
    </row>
    <row r="27" spans="2:12" x14ac:dyDescent="0.25">
      <c r="B27" s="5" t="s">
        <v>20</v>
      </c>
      <c r="C27" s="20">
        <f>$C$6</f>
        <v>0.05</v>
      </c>
      <c r="E27" s="19" t="s">
        <v>39</v>
      </c>
      <c r="F27" s="16">
        <f>-(2*(C27-C28-0.5*POWER(C29,2))*LN(C24/MIN(C24,C25)))/POWER(C29,2)</f>
        <v>0</v>
      </c>
      <c r="L27" s="9"/>
    </row>
    <row r="28" spans="2:12" x14ac:dyDescent="0.25">
      <c r="B28" s="5" t="s">
        <v>24</v>
      </c>
      <c r="C28" s="20">
        <f>$C$3</f>
        <v>0</v>
      </c>
      <c r="L28" s="9"/>
    </row>
    <row r="29" spans="2:12" x14ac:dyDescent="0.25">
      <c r="B29" s="5" t="s">
        <v>25</v>
      </c>
      <c r="C29" s="20">
        <f>$C$4</f>
        <v>0.2</v>
      </c>
      <c r="F29">
        <f>C24*EXP(-C28*C26)*_xlfn.NORM.S.DIST(F24,TRUE)-C24*EXP(-C28*C26)*POWER(C29,2)*_xlfn.NORM.S.DIST(-F24,TRUE)/(2*(C27-C28))-MIN(C24,C25)*EXP(-C27*C26)*(_xlfn.NORM.S.DIST(F25,TRUE)-EXP(F27)*POWER(C29,2)*_xlfn.NORM.S.DIST(-F26,TRUE)/(2*(C27-C28)))</f>
        <v>30.779810737472751</v>
      </c>
      <c r="L29" s="9"/>
    </row>
    <row r="30" spans="2:12" x14ac:dyDescent="0.25">
      <c r="B30" s="5"/>
      <c r="C30" s="28"/>
      <c r="L30" s="9"/>
    </row>
    <row r="31" spans="2:12" x14ac:dyDescent="0.25">
      <c r="B31" s="5"/>
      <c r="C31" s="28"/>
      <c r="L31" s="9"/>
    </row>
    <row r="32" spans="2:12" ht="15.75" thickBot="1" x14ac:dyDescent="0.3">
      <c r="B32" s="1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5" spans="2:12" ht="15.75" thickBot="1" x14ac:dyDescent="0.3">
      <c r="B35" s="1" t="s">
        <v>35</v>
      </c>
    </row>
    <row r="36" spans="2:12" x14ac:dyDescent="0.25">
      <c r="B36" s="2" t="s">
        <v>9</v>
      </c>
      <c r="C36" s="11">
        <v>100</v>
      </c>
      <c r="D36" s="12"/>
      <c r="E36" s="12" t="s">
        <v>36</v>
      </c>
      <c r="F36" s="13">
        <f>(LN(C36/MIN(C36,C37))+(C39-C40+POWER(C41,2)*0.5)*C38)/(C41*SQRT(C38))</f>
        <v>1.0753695211188581</v>
      </c>
      <c r="G36" s="12"/>
      <c r="H36" s="12"/>
      <c r="I36" s="12"/>
      <c r="J36" s="12"/>
      <c r="K36" s="12"/>
      <c r="L36" s="3"/>
    </row>
    <row r="37" spans="2:12" x14ac:dyDescent="0.25">
      <c r="B37" s="5" t="s">
        <v>13</v>
      </c>
      <c r="C37" s="4">
        <f>$C$36*(1-$C$7)</f>
        <v>85</v>
      </c>
      <c r="E37" t="s">
        <v>37</v>
      </c>
      <c r="F37" s="16">
        <f>F36-C41*SQRT(C38)</f>
        <v>0.72895935960508262</v>
      </c>
      <c r="L37" s="9"/>
    </row>
    <row r="38" spans="2:12" x14ac:dyDescent="0.25">
      <c r="B38" s="5" t="s">
        <v>40</v>
      </c>
      <c r="C38" s="4">
        <f>$C$5</f>
        <v>3</v>
      </c>
      <c r="E38" s="19" t="s">
        <v>38</v>
      </c>
      <c r="F38" s="16">
        <f>(LN(C36/MIN(C36,C37))+(-C39+C40+POWER(C41,2)*0.5)*C38)/(C41*SQRT(C38))</f>
        <v>0.20934411733441927</v>
      </c>
      <c r="L38" s="9"/>
    </row>
    <row r="39" spans="2:12" x14ac:dyDescent="0.25">
      <c r="B39" s="5" t="s">
        <v>20</v>
      </c>
      <c r="C39" s="20">
        <f>$C$6</f>
        <v>0.05</v>
      </c>
      <c r="E39" s="19" t="s">
        <v>39</v>
      </c>
      <c r="F39" s="16">
        <f>-(2*(C39-C40-0.5*POWER(C41,2))*LN(C36/MIN(C36,C37)))/POWER(C41,2)</f>
        <v>-0.24377839424666237</v>
      </c>
      <c r="L39" s="9"/>
    </row>
    <row r="40" spans="2:12" x14ac:dyDescent="0.25">
      <c r="B40" s="5" t="s">
        <v>24</v>
      </c>
      <c r="C40" s="20">
        <f>$C$3</f>
        <v>0</v>
      </c>
      <c r="L40" s="9"/>
    </row>
    <row r="41" spans="2:12" x14ac:dyDescent="0.25">
      <c r="B41" s="5" t="s">
        <v>25</v>
      </c>
      <c r="C41" s="20">
        <f>$C$4</f>
        <v>0.2</v>
      </c>
      <c r="F41">
        <f>C36*EXP(-C40*C38)*_xlfn.NORM.S.DIST(F36,TRUE)-C36*EXP(-C40*C38)*POWER(C41,2)*_xlfn.NORM.S.DIST(-F36,TRUE)/(2*(C39-C40))-MIN(C36,C37)*EXP(-C39*C38)*(_xlfn.NORM.S.DIST(F37,TRUE)-EXP(F39)*POWER(C41,2)*_xlfn.NORM.S.DIST(-F38,TRUE)/(2*(C39-C40)))</f>
        <v>33.69763151056204</v>
      </c>
      <c r="L41" s="9"/>
    </row>
    <row r="42" spans="2:12" x14ac:dyDescent="0.25">
      <c r="B42" s="5"/>
      <c r="C42" s="28"/>
      <c r="L42" s="9"/>
    </row>
    <row r="43" spans="2:12" x14ac:dyDescent="0.25">
      <c r="B43" s="5"/>
      <c r="C43" s="28"/>
      <c r="F43">
        <f>F41+C37*EXP(-C39*C38)-C36*EXP(-C40*C38)</f>
        <v>6.8578095066919502</v>
      </c>
      <c r="L43" s="9"/>
    </row>
    <row r="44" spans="2:12" ht="15.75" thickBot="1" x14ac:dyDescent="0.3">
      <c r="B44" s="10"/>
      <c r="C44" s="21"/>
      <c r="D44" s="21"/>
      <c r="E44" s="21"/>
      <c r="F44" s="21"/>
      <c r="G44" s="21"/>
      <c r="H44" s="21"/>
      <c r="I44" s="21"/>
      <c r="J44" s="21"/>
      <c r="K44" s="21"/>
      <c r="L44" s="22"/>
    </row>
    <row r="46" spans="2:12" x14ac:dyDescent="0.25">
      <c r="C46" s="28"/>
    </row>
    <row r="47" spans="2:12" x14ac:dyDescent="0.25">
      <c r="C47" s="28"/>
    </row>
    <row r="48" spans="2:12" x14ac:dyDescent="0.25">
      <c r="C48" s="28"/>
    </row>
    <row r="49" spans="3:3" x14ac:dyDescent="0.25">
      <c r="C49" s="28"/>
    </row>
    <row r="50" spans="3:3" x14ac:dyDescent="0.25">
      <c r="C50" s="28"/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Q10c</vt:lpstr>
      <vt:lpstr>11(b)</vt:lpstr>
      <vt:lpstr>CurrentStock</vt:lpstr>
      <vt:lpstr>InterestRate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 Lai</dc:creator>
  <cp:lastModifiedBy>Aleshia Zionce</cp:lastModifiedBy>
  <dcterms:created xsi:type="dcterms:W3CDTF">2023-09-29T12:44:25Z</dcterms:created>
  <dcterms:modified xsi:type="dcterms:W3CDTF">2025-01-28T14:30:47Z</dcterms:modified>
</cp:coreProperties>
</file>