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Aleshia\Fall 2024 Solutions\"/>
    </mc:Choice>
  </mc:AlternateContent>
  <xr:revisionPtr revIDLastSave="0" documentId="8_{6AC633EA-2D2E-4209-9508-F2E071AEF9B4}" xr6:coauthVersionLast="47" xr6:coauthVersionMax="47" xr10:uidLastSave="{00000000-0000-0000-0000-000000000000}"/>
  <bookViews>
    <workbookView xWindow="28830" yWindow="270" windowWidth="20460" windowHeight="10440" activeTab="4" xr2:uid="{00000000-000D-0000-FFFF-FFFF00000000}"/>
  </bookViews>
  <sheets>
    <sheet name="Candidate #" sheetId="6" r:id="rId1"/>
    <sheet name="Q1 " sheetId="7" r:id="rId2"/>
    <sheet name="Q3 " sheetId="8" r:id="rId3"/>
    <sheet name="Q5" sheetId="9" r:id="rId4"/>
    <sheet name="Q8" sheetId="10" r:id="rId5"/>
  </sheets>
  <externalReferences>
    <externalReference r:id="rId6"/>
    <externalReference r:id="rId7"/>
  </externalReferences>
  <definedNames>
    <definedName name="matrix1" localSheetId="2">'[1] part d(4 points)'!#REF!</definedName>
    <definedName name="matrix1" localSheetId="3">'[2] part d(4 points)'!#REF!</definedName>
    <definedName name="matrix1" localSheetId="4">'[2] part d(4 points)'!#REF!</definedName>
    <definedName name="matrix1">'[2] part d(4 points)'!#REF!</definedName>
    <definedName name="matrix2" localSheetId="2">'[1] part d(4 points)'!#REF!</definedName>
    <definedName name="matrix2" localSheetId="3">'[2] part d(4 points)'!#REF!</definedName>
    <definedName name="matrix2" localSheetId="4">'[2] part d(4 points)'!#REF!</definedName>
    <definedName name="matrix2">'[2] part d(4 points)'!#REF!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0" l="1"/>
  <c r="C28" i="10"/>
  <c r="C29" i="10" s="1"/>
  <c r="C23" i="10" s="1"/>
  <c r="C42" i="10"/>
  <c r="C43" i="10"/>
  <c r="C58" i="10"/>
  <c r="C60" i="10"/>
  <c r="C61" i="10"/>
  <c r="C52" i="10" s="1"/>
  <c r="C64" i="10"/>
  <c r="C65" i="10"/>
  <c r="C67" i="10" s="1"/>
  <c r="C68" i="10" s="1"/>
  <c r="C69" i="10" s="1"/>
  <c r="C70" i="10" s="1"/>
  <c r="C53" i="10" s="1"/>
  <c r="C66" i="10"/>
  <c r="C88" i="10" s="1"/>
  <c r="C89" i="10" s="1"/>
  <c r="C84" i="10"/>
  <c r="C85" i="10" s="1"/>
  <c r="C77" i="10" s="1"/>
  <c r="C90" i="10" l="1"/>
  <c r="C78" i="10" s="1"/>
  <c r="E23" i="9"/>
  <c r="F23" i="9"/>
  <c r="E24" i="9"/>
  <c r="F24" i="9"/>
  <c r="E25" i="9"/>
  <c r="F25" i="9"/>
  <c r="E42" i="9"/>
  <c r="F42" i="9"/>
  <c r="E43" i="9"/>
  <c r="F43" i="9"/>
  <c r="E44" i="9"/>
  <c r="F44" i="9"/>
  <c r="D4" i="8"/>
  <c r="E4" i="8" s="1"/>
  <c r="D5" i="8"/>
  <c r="E5" i="8"/>
  <c r="D6" i="8"/>
  <c r="E6" i="8" s="1"/>
  <c r="D7" i="8"/>
  <c r="E7" i="8"/>
  <c r="D8" i="8"/>
  <c r="E8" i="8"/>
  <c r="B45" i="8"/>
  <c r="B46" i="8" s="1"/>
  <c r="B47" i="8" s="1"/>
  <c r="B58" i="8"/>
  <c r="B59" i="8" s="1"/>
  <c r="B60" i="8" s="1"/>
  <c r="B61" i="8" s="1"/>
  <c r="B62" i="8" s="1"/>
  <c r="B63" i="8" s="1"/>
  <c r="C53" i="8" s="1"/>
  <c r="B74" i="8"/>
  <c r="B75" i="8" s="1"/>
  <c r="C35" i="8" l="1"/>
  <c r="B48" i="8"/>
  <c r="C18" i="8"/>
  <c r="C19" i="8"/>
  <c r="B72" i="8"/>
  <c r="B73" i="8" s="1"/>
  <c r="B76" i="8" s="1"/>
  <c r="C68" i="8" s="1"/>
  <c r="B21" i="7"/>
  <c r="E24" i="7"/>
  <c r="E23" i="7"/>
  <c r="E22" i="7"/>
  <c r="E21" i="7"/>
  <c r="B22" i="7"/>
  <c r="D24" i="7"/>
  <c r="F24" i="7" s="1"/>
  <c r="D23" i="7"/>
  <c r="F23" i="7" s="1"/>
  <c r="D22" i="7"/>
  <c r="F22" i="7" s="1"/>
  <c r="D21" i="7"/>
  <c r="F21" i="7" s="1"/>
  <c r="A22" i="7"/>
  <c r="C22" i="7" s="1"/>
  <c r="A21" i="7"/>
  <c r="C21" i="7" s="1"/>
  <c r="B17" i="7"/>
  <c r="C11" i="7" s="1"/>
  <c r="B16" i="7"/>
  <c r="C10" i="7" s="1"/>
  <c r="C20" i="8" l="1"/>
  <c r="C14" i="8" s="1"/>
  <c r="B26" i="7"/>
  <c r="F10" i="7" s="1"/>
  <c r="B27" i="7"/>
  <c r="F11" i="7" s="1"/>
</calcChain>
</file>

<file path=xl/sharedStrings.xml><?xml version="1.0" encoding="utf-8"?>
<sst xmlns="http://schemas.openxmlformats.org/spreadsheetml/2006/main" count="182" uniqueCount="110">
  <si>
    <t>Candidate No.</t>
  </si>
  <si>
    <t>Fill in your final answers here:</t>
  </si>
  <si>
    <t>Show your work here:</t>
  </si>
  <si>
    <t>Answer</t>
  </si>
  <si>
    <t>Investment A</t>
  </si>
  <si>
    <t>Payoff</t>
  </si>
  <si>
    <t>Probability</t>
  </si>
  <si>
    <t>Investment B</t>
  </si>
  <si>
    <t>Expected Value A</t>
  </si>
  <si>
    <t>Expected Value B</t>
  </si>
  <si>
    <t>Expected Incremental Utility A</t>
  </si>
  <si>
    <t>Expected Incremental Utility B</t>
  </si>
  <si>
    <t>Utility</t>
  </si>
  <si>
    <t>bi) Calculate the expected value and expected incremental utility of each option.</t>
  </si>
  <si>
    <t>S0*(1-c*a)</t>
  </si>
  <si>
    <t>c=b/(1-alpha)</t>
  </si>
  <si>
    <t>b=exp^(mu+sigma^2/2)</t>
  </si>
  <si>
    <t>a=N(z(1-alpha)-sigma)</t>
  </si>
  <si>
    <t>z(1-alpha)-sigma</t>
  </si>
  <si>
    <t>(f) (i) (1 point) Calculate the 95% expected shortfall of the loss in portfolio value</t>
  </si>
  <si>
    <t>Q(0.95)</t>
  </si>
  <si>
    <t>1-exp (a)</t>
  </si>
  <si>
    <t>exp (a)</t>
  </si>
  <si>
    <t>a=N^-1(95%) * sigma + mu</t>
  </si>
  <si>
    <t>N^-1(95%) * sigma</t>
  </si>
  <si>
    <t>N^-1(95%)</t>
  </si>
  <si>
    <t>alpha</t>
  </si>
  <si>
    <t>ii) (1 point) Calculate the economic capital according to the company’s risk appetite</t>
  </si>
  <si>
    <t>1-N</t>
  </si>
  <si>
    <t>N</t>
  </si>
  <si>
    <t>(log(S1)-mu)/sigma</t>
  </si>
  <si>
    <t>log(S1)</t>
  </si>
  <si>
    <t>S0</t>
  </si>
  <si>
    <t>sigma</t>
  </si>
  <si>
    <t>mu</t>
  </si>
  <si>
    <t>i) (1 point) Calculate the probability that the company’s portfolio will experience a loss at the end of the year</t>
  </si>
  <si>
    <t>e) (2 points)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</si>
  <si>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Times New Roman"/>
        <family val="1"/>
      </rPr>
      <t>Assume the value of the portfolio at the end of the year is 10,000,000 * S where S follows a lognormal distribution with µ = 1.1 and σ = 0.8.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</si>
  <si>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Times New Roman"/>
        <family val="1"/>
      </rPr>
      <t>Economic Capital is set to the max loss of the company’s portfolio value at the end of the year with 95% confidence interval.</t>
    </r>
  </si>
  <si>
    <t>The firm’s risk appetite statement is as follow:</t>
  </si>
  <si>
    <t>HH</t>
  </si>
  <si>
    <t>b) (i) (1 point) Calculate the (HH) liquidity index for the trade</t>
  </si>
  <si>
    <t>mid price</t>
  </si>
  <si>
    <t>ask price</t>
  </si>
  <si>
    <t>bid price</t>
  </si>
  <si>
    <t xml:space="preserve">Volume (Million) </t>
  </si>
  <si>
    <t>Day</t>
  </si>
  <si>
    <t>Data</t>
  </si>
  <si>
    <t>Using AIC and BIC criteria, RSLN model provides a slightly better fit for monthly data. The monthly data is more relevant to your company’s assessment on stock monthly return.</t>
  </si>
  <si>
    <t xml:space="preserve">ILN fit is poor for both data sets. Therefore, it is not recommended. </t>
  </si>
  <si>
    <t>RSLN</t>
  </si>
  <si>
    <t>GARCH(1,1)</t>
  </si>
  <si>
    <t>ILN</t>
  </si>
  <si>
    <t>BIC</t>
  </si>
  <si>
    <t>AIC</t>
  </si>
  <si>
    <t>Number of Parameters</t>
  </si>
  <si>
    <t>Maximum Log-likelihood (Daily)</t>
  </si>
  <si>
    <t>Maximum Log-likelihood (Monthly)</t>
  </si>
  <si>
    <t>Model</t>
  </si>
  <si>
    <t>Monthly</t>
  </si>
  <si>
    <t>(ii) (1 point) monthly data</t>
  </si>
  <si>
    <t xml:space="preserve">The GARCH model provides a much better overall fit for the daily data, using both AIC and BIC, compared to the other two models. </t>
  </si>
  <si>
    <t>Daily</t>
  </si>
  <si>
    <t>GARCH</t>
  </si>
  <si>
    <t>(i) (1 point) daily data</t>
  </si>
  <si>
    <t xml:space="preserve">c) (2 points) Recommend one of these models using both of Akaike Information Criterion and Bayes Information Criterion, based on: </t>
  </si>
  <si>
    <t xml:space="preserve">points for both monthly and daily data. </t>
  </si>
  <si>
    <t>on the maximum log-likelihoods for three models, after fitting the model using 500 data</t>
  </si>
  <si>
    <t>using the expected shortfall measure.  She provided you with the following information</t>
  </si>
  <si>
    <t>Your manager asked you to recommend the best model to evaluate equity risk</t>
  </si>
  <si>
    <t>as % of portfolio value</t>
  </si>
  <si>
    <t>1-day 99% VaR</t>
  </si>
  <si>
    <t>delta of portfolio</t>
  </si>
  <si>
    <t>delta neutral portfolio</t>
  </si>
  <si>
    <t>portfolio without hedging</t>
  </si>
  <si>
    <t>d (2 points) Calculate the 1-year 99% VaR at time 0.05 for NewTech with and without this hedging portfolio, as a percentage of the portfolio value, using the delta-normal method.</t>
  </si>
  <si>
    <t>return</t>
  </si>
  <si>
    <t>portfolio value at T=0.05</t>
  </si>
  <si>
    <t>option price</t>
  </si>
  <si>
    <t>N(-d2)</t>
  </si>
  <si>
    <t>N(-d1)</t>
  </si>
  <si>
    <t>d2</t>
  </si>
  <si>
    <t>d1</t>
  </si>
  <si>
    <t>stock price</t>
  </si>
  <si>
    <t>units of stock</t>
  </si>
  <si>
    <t>At T = 0.05</t>
  </si>
  <si>
    <t>return for delta hedging portoflio</t>
  </si>
  <si>
    <t>return without hedging</t>
  </si>
  <si>
    <t>c (2 points) Calculate the return of the portfolio with and without this hedging portfolio at time 0.05.</t>
  </si>
  <si>
    <t>portfolio delta</t>
  </si>
  <si>
    <t>put option delta</t>
  </si>
  <si>
    <t>Yes</t>
  </si>
  <si>
    <t>Yes or No</t>
  </si>
  <si>
    <t>(ii) (0.5 points) Verify whether the portfolio is delta neutral at time 0</t>
  </si>
  <si>
    <t>portfolio value at T=0</t>
  </si>
  <si>
    <t>current put option price</t>
  </si>
  <si>
    <t>(i) (0.5 points) Verify that the portfolio value at time T=0 was $5,000.</t>
  </si>
  <si>
    <t>b (1 point) .</t>
  </si>
  <si>
    <t>At time = 0.05, stock price increases to 10%. Assume options are priced using the Black–Scholes formula.</t>
  </si>
  <si>
    <t>z_99%</t>
  </si>
  <si>
    <t>Trading day per year</t>
  </si>
  <si>
    <t>Volatility</t>
  </si>
  <si>
    <t>Risk free rate</t>
  </si>
  <si>
    <t>Option term</t>
  </si>
  <si>
    <t>Strike price</t>
  </si>
  <si>
    <t>Stock price</t>
  </si>
  <si>
    <t>Unit of put</t>
  </si>
  <si>
    <t>Unit of stock</t>
  </si>
  <si>
    <t>Investment</t>
  </si>
  <si>
    <t>Time =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</si>
</sst>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0.0%"/>
    <numFmt numFmtId="167" formatCode="0.0"/>
  </numFmts>
  <fonts count="12">
    <font>
      <sz val="11"/>
      <color theme="1"/>
      <name val="SwissReSan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SwissReSans"/>
      <family val="2"/>
    </font>
    <font>
      <sz val="12"/>
      <color theme="1"/>
      <name val="Calibri"/>
      <family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SwissReSans"/>
    </font>
    <font>
      <sz val="11"/>
      <color theme="1"/>
      <name val="SwissReSans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1" applyFont="1"/>
    <xf numFmtId="0" fontId="1" fillId="0" borderId="0" xfId="1"/>
    <xf numFmtId="0" fontId="1" fillId="2" borderId="0" xfId="1" applyFill="1"/>
    <xf numFmtId="0" fontId="0" fillId="2" borderId="0" xfId="0" applyFill="1"/>
    <xf numFmtId="9" fontId="0" fillId="0" borderId="0" xfId="0" applyNumberFormat="1"/>
    <xf numFmtId="164" fontId="0" fillId="0" borderId="0" xfId="0" applyNumberFormat="1"/>
    <xf numFmtId="9" fontId="0" fillId="0" borderId="0" xfId="2" applyFont="1"/>
    <xf numFmtId="164" fontId="0" fillId="2" borderId="0" xfId="0" applyNumberFormat="1" applyFill="1"/>
    <xf numFmtId="43" fontId="0" fillId="0" borderId="0" xfId="3" applyFont="1"/>
    <xf numFmtId="43" fontId="0" fillId="2" borderId="0" xfId="0" applyNumberFormat="1" applyFill="1"/>
    <xf numFmtId="0" fontId="0" fillId="0" borderId="0" xfId="0" applyAlignment="1">
      <alignment horizontal="center" wrapText="1"/>
    </xf>
    <xf numFmtId="43" fontId="0" fillId="0" borderId="0" xfId="0" applyNumberFormat="1"/>
    <xf numFmtId="43" fontId="0" fillId="4" borderId="0" xfId="0" applyNumberFormat="1" applyFill="1"/>
    <xf numFmtId="3" fontId="0" fillId="0" borderId="0" xfId="0" applyNumberFormat="1"/>
    <xf numFmtId="0" fontId="2" fillId="4" borderId="0" xfId="0" applyFont="1" applyFill="1" applyAlignment="1">
      <alignment horizontal="left" wrapText="1"/>
    </xf>
    <xf numFmtId="2" fontId="0" fillId="0" borderId="0" xfId="0" applyNumberFormat="1"/>
    <xf numFmtId="44" fontId="0" fillId="0" borderId="0" xfId="0" applyNumberFormat="1"/>
    <xf numFmtId="44" fontId="0" fillId="0" borderId="0" xfId="4" applyFont="1" applyBorder="1"/>
    <xf numFmtId="0" fontId="0" fillId="0" borderId="0" xfId="4" applyNumberFormat="1" applyFont="1" applyBorder="1"/>
    <xf numFmtId="0" fontId="0" fillId="0" borderId="0" xfId="0" applyAlignment="1">
      <alignment horizontal="center"/>
    </xf>
    <xf numFmtId="44" fontId="0" fillId="0" borderId="4" xfId="0" applyNumberFormat="1" applyBorder="1"/>
    <xf numFmtId="44" fontId="0" fillId="0" borderId="4" xfId="4" applyFont="1" applyBorder="1"/>
    <xf numFmtId="0" fontId="0" fillId="0" borderId="4" xfId="4" applyNumberFormat="1" applyFont="1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7" fillId="0" borderId="0" xfId="0" applyFont="1" applyAlignment="1">
      <alignment vertical="center"/>
    </xf>
    <xf numFmtId="1" fontId="7" fillId="2" borderId="4" xfId="0" applyNumberFormat="1" applyFont="1" applyFill="1" applyBorder="1"/>
    <xf numFmtId="0" fontId="7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" fontId="7" fillId="0" borderId="4" xfId="0" applyNumberFormat="1" applyFont="1" applyBorder="1"/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left" vertical="center" wrapText="1"/>
    </xf>
    <xf numFmtId="165" fontId="7" fillId="0" borderId="4" xfId="3" applyNumberFormat="1" applyFont="1" applyBorder="1"/>
    <xf numFmtId="165" fontId="7" fillId="2" borderId="4" xfId="3" applyNumberFormat="1" applyFont="1" applyFill="1" applyBorder="1"/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0" fontId="0" fillId="0" borderId="0" xfId="2" applyNumberFormat="1" applyFont="1"/>
    <xf numFmtId="0" fontId="9" fillId="0" borderId="0" xfId="0" applyFont="1"/>
    <xf numFmtId="0" fontId="10" fillId="0" borderId="0" xfId="0" applyFont="1"/>
    <xf numFmtId="10" fontId="0" fillId="2" borderId="0" xfId="0" applyNumberFormat="1" applyFill="1"/>
    <xf numFmtId="0" fontId="11" fillId="0" borderId="0" xfId="0" applyFont="1"/>
    <xf numFmtId="1" fontId="0" fillId="0" borderId="0" xfId="0" applyNumberFormat="1"/>
    <xf numFmtId="166" fontId="0" fillId="2" borderId="0" xfId="2" applyNumberFormat="1" applyFont="1" applyFill="1"/>
    <xf numFmtId="0" fontId="0" fillId="4" borderId="0" xfId="0" applyFill="1"/>
    <xf numFmtId="1" fontId="0" fillId="2" borderId="0" xfId="0" applyNumberFormat="1" applyFill="1"/>
    <xf numFmtId="0" fontId="0" fillId="0" borderId="4" xfId="0" applyBorder="1"/>
    <xf numFmtId="164" fontId="0" fillId="0" borderId="4" xfId="0" applyNumberFormat="1" applyBorder="1"/>
    <xf numFmtId="0" fontId="0" fillId="0" borderId="4" xfId="0" quotePrefix="1" applyBorder="1"/>
    <xf numFmtId="2" fontId="0" fillId="0" borderId="4" xfId="0" applyNumberFormat="1" applyBorder="1"/>
    <xf numFmtId="167" fontId="0" fillId="0" borderId="4" xfId="0" applyNumberFormat="1" applyBorder="1"/>
    <xf numFmtId="1" fontId="0" fillId="0" borderId="4" xfId="0" applyNumberFormat="1" applyBorder="1"/>
    <xf numFmtId="0" fontId="11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3" borderId="2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</cellXfs>
  <cellStyles count="5">
    <cellStyle name="Comma" xfId="3" builtinId="3"/>
    <cellStyle name="Currency" xfId="4" builtinId="4"/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16</xdr:row>
      <xdr:rowOff>180974</xdr:rowOff>
    </xdr:from>
    <xdr:to>
      <xdr:col>2</xdr:col>
      <xdr:colOff>38100</xdr:colOff>
      <xdr:row>17</xdr:row>
      <xdr:rowOff>337456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DC9E02-F362-48D7-A864-1CC74D079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977514"/>
          <a:ext cx="1245870" cy="179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18</xdr:row>
      <xdr:rowOff>28575</xdr:rowOff>
    </xdr:from>
    <xdr:to>
      <xdr:col>1</xdr:col>
      <xdr:colOff>771525</xdr:colOff>
      <xdr:row>19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C54DB5C-BCF0-4F66-B14C-9883E2C3A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285" y="3183255"/>
          <a:ext cx="586740" cy="165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83520\OneDrive%20-%20Social%20Security%20Administration\Documents\Personal\soa%20exam\QFI\2022\QWS\Topic%202\QFIQF%202022%20Kim%20T2Q1.CB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ocialsecuritygov-my.sharepoint.com/Users/183520/OneDrive%20-%20Social%20Security%20Administration/Documents/Personal/soa%20exam/QFI/2022/QWS/Topic%202/QFIQF%202022%20Kim%20T2Q1.CB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ndidate #"/>
      <sheetName val=" part d(4 points)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ndidate #"/>
      <sheetName val=" part d(4 points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"/>
  <sheetViews>
    <sheetView workbookViewId="0">
      <selection activeCell="C7" sqref="C7"/>
    </sheetView>
  </sheetViews>
  <sheetFormatPr defaultColWidth="8.75" defaultRowHeight="15"/>
  <cols>
    <col min="1" max="1" width="13" style="2" bestFit="1" customWidth="1"/>
    <col min="2" max="2" width="8.75" style="2"/>
    <col min="3" max="3" width="14.75" style="2" customWidth="1"/>
    <col min="4" max="16384" width="8.75" style="2"/>
  </cols>
  <sheetData>
    <row r="1" spans="1:3" ht="15.75">
      <c r="A1" s="1" t="s">
        <v>0</v>
      </c>
      <c r="C1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27"/>
  <sheetViews>
    <sheetView workbookViewId="0">
      <selection activeCell="B16" sqref="B16"/>
    </sheetView>
  </sheetViews>
  <sheetFormatPr defaultRowHeight="14.25"/>
  <cols>
    <col min="1" max="1" width="25" bestFit="1" customWidth="1"/>
    <col min="2" max="2" width="24.75" bestFit="1" customWidth="1"/>
    <col min="3" max="3" width="9.375" bestFit="1" customWidth="1"/>
    <col min="4" max="4" width="18.875" bestFit="1" customWidth="1"/>
    <col min="5" max="5" width="25.625" bestFit="1" customWidth="1"/>
    <col min="8" max="8" width="18.25" bestFit="1" customWidth="1"/>
  </cols>
  <sheetData>
    <row r="2" spans="1:6" ht="13.9" customHeight="1">
      <c r="A2" t="s">
        <v>4</v>
      </c>
      <c r="D2" t="s">
        <v>7</v>
      </c>
    </row>
    <row r="3" spans="1:6" ht="13.9" customHeight="1">
      <c r="A3" t="s">
        <v>5</v>
      </c>
      <c r="B3" t="s">
        <v>6</v>
      </c>
      <c r="D3" t="s">
        <v>5</v>
      </c>
      <c r="E3" t="s">
        <v>6</v>
      </c>
    </row>
    <row r="4" spans="1:6">
      <c r="A4">
        <v>4500</v>
      </c>
      <c r="B4" s="5">
        <v>0.05</v>
      </c>
      <c r="D4">
        <v>500</v>
      </c>
      <c r="E4" s="5">
        <v>0.01</v>
      </c>
    </row>
    <row r="5" spans="1:6">
      <c r="A5">
        <v>5500</v>
      </c>
      <c r="B5" s="5">
        <v>0.95</v>
      </c>
      <c r="D5">
        <v>1000</v>
      </c>
      <c r="E5" s="5">
        <v>0.05</v>
      </c>
    </row>
    <row r="6" spans="1:6">
      <c r="D6">
        <v>5000</v>
      </c>
      <c r="E6" s="5">
        <v>0.1</v>
      </c>
    </row>
    <row r="7" spans="1:6">
      <c r="D7">
        <v>6000</v>
      </c>
      <c r="E7" s="5">
        <v>0.84</v>
      </c>
    </row>
    <row r="8" spans="1:6" ht="94.9" customHeight="1">
      <c r="A8" s="61" t="s">
        <v>13</v>
      </c>
      <c r="B8" s="62"/>
      <c r="C8" s="62"/>
      <c r="D8" s="62"/>
      <c r="E8" s="62"/>
    </row>
    <row r="9" spans="1:6" ht="15">
      <c r="A9" s="63" t="s">
        <v>1</v>
      </c>
      <c r="B9" s="64"/>
      <c r="C9" s="64"/>
      <c r="D9" s="64"/>
      <c r="E9" s="64"/>
    </row>
    <row r="10" spans="1:6">
      <c r="A10" t="s">
        <v>3</v>
      </c>
      <c r="B10" t="s">
        <v>8</v>
      </c>
      <c r="C10" s="4">
        <f>B16</f>
        <v>5450</v>
      </c>
      <c r="E10" t="s">
        <v>10</v>
      </c>
      <c r="F10" s="8">
        <f>B26</f>
        <v>8.5276645031214571E-2</v>
      </c>
    </row>
    <row r="11" spans="1:6">
      <c r="B11" t="s">
        <v>9</v>
      </c>
      <c r="C11" s="4">
        <f>B17</f>
        <v>5595</v>
      </c>
      <c r="E11" t="s">
        <v>11</v>
      </c>
      <c r="F11" s="8">
        <f>B27</f>
        <v>4.9652361155274605E-2</v>
      </c>
    </row>
    <row r="14" spans="1:6" ht="15">
      <c r="A14" s="63" t="s">
        <v>2</v>
      </c>
      <c r="B14" s="64"/>
      <c r="C14" s="64"/>
      <c r="D14" s="64"/>
      <c r="E14" s="64"/>
    </row>
    <row r="16" spans="1:6">
      <c r="A16" t="s">
        <v>8</v>
      </c>
      <c r="B16">
        <f>SUMPRODUCT(A4:A5,B4:B5)</f>
        <v>5450</v>
      </c>
    </row>
    <row r="17" spans="1:6">
      <c r="A17" t="s">
        <v>9</v>
      </c>
      <c r="B17">
        <f>SUMPRODUCT(D4:D7,E4:E7)</f>
        <v>5595</v>
      </c>
    </row>
    <row r="19" spans="1:6">
      <c r="A19" t="s">
        <v>4</v>
      </c>
      <c r="D19" t="s">
        <v>7</v>
      </c>
    </row>
    <row r="20" spans="1:6">
      <c r="A20" t="s">
        <v>5</v>
      </c>
      <c r="B20" t="s">
        <v>6</v>
      </c>
      <c r="C20" t="s">
        <v>12</v>
      </c>
      <c r="D20" t="s">
        <v>5</v>
      </c>
      <c r="E20" t="s">
        <v>6</v>
      </c>
      <c r="F20" t="s">
        <v>12</v>
      </c>
    </row>
    <row r="21" spans="1:6">
      <c r="A21">
        <f>A4</f>
        <v>4500</v>
      </c>
      <c r="B21" s="7">
        <f>B4</f>
        <v>0.05</v>
      </c>
      <c r="C21">
        <f>LN(A21)</f>
        <v>8.4118326757584114</v>
      </c>
      <c r="D21">
        <f t="shared" ref="D21:E24" si="0">D4</f>
        <v>500</v>
      </c>
      <c r="E21" s="7">
        <f t="shared" si="0"/>
        <v>0.01</v>
      </c>
      <c r="F21">
        <f>LN(D21)</f>
        <v>6.2146080984221914</v>
      </c>
    </row>
    <row r="22" spans="1:6">
      <c r="A22">
        <f>A5</f>
        <v>5500</v>
      </c>
      <c r="B22" s="7">
        <f>B5</f>
        <v>0.95</v>
      </c>
      <c r="C22">
        <f>LN(A22)</f>
        <v>8.6125033712205621</v>
      </c>
      <c r="D22">
        <f t="shared" si="0"/>
        <v>1000</v>
      </c>
      <c r="E22" s="7">
        <f t="shared" si="0"/>
        <v>0.05</v>
      </c>
      <c r="F22">
        <f>LN(D22)</f>
        <v>6.9077552789821368</v>
      </c>
    </row>
    <row r="23" spans="1:6">
      <c r="D23">
        <f t="shared" si="0"/>
        <v>5000</v>
      </c>
      <c r="E23" s="7">
        <f t="shared" si="0"/>
        <v>0.1</v>
      </c>
      <c r="F23">
        <f>LN(D23)</f>
        <v>8.5171931914162382</v>
      </c>
    </row>
    <row r="24" spans="1:6">
      <c r="D24">
        <f t="shared" si="0"/>
        <v>6000</v>
      </c>
      <c r="E24" s="7">
        <f t="shared" si="0"/>
        <v>0.84</v>
      </c>
      <c r="F24">
        <f>LN(D24)</f>
        <v>8.6995147482101913</v>
      </c>
    </row>
    <row r="25" spans="1:6">
      <c r="E25" s="7"/>
    </row>
    <row r="26" spans="1:6">
      <c r="A26" t="s">
        <v>10</v>
      </c>
      <c r="B26" s="6">
        <f>SUMPRODUCT(B21:B22,C21:C22)-LN(5000)</f>
        <v>8.5276645031214571E-2</v>
      </c>
    </row>
    <row r="27" spans="1:6">
      <c r="A27" t="s">
        <v>11</v>
      </c>
      <c r="B27" s="6">
        <f>SUMPRODUCT(E21:E24,F21:F24)-LN(5000)</f>
        <v>4.9652361155274605E-2</v>
      </c>
    </row>
  </sheetData>
  <mergeCells count="3">
    <mergeCell ref="A8:E8"/>
    <mergeCell ref="A14:E14"/>
    <mergeCell ref="A9:E9"/>
  </mergeCells>
  <pageMargins left="0.7" right="0.7" top="0.75" bottom="0.75" header="0.3" footer="0.3"/>
  <pageSetup orientation="portrait" horizontalDpi="240" verticalDpi="24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01C52-064B-4D98-8BB1-35E26FE702FA}">
  <dimension ref="A1:F76"/>
  <sheetViews>
    <sheetView workbookViewId="0">
      <selection activeCell="E80" sqref="E80"/>
    </sheetView>
  </sheetViews>
  <sheetFormatPr defaultRowHeight="14.25"/>
  <cols>
    <col min="1" max="1" width="23.125" customWidth="1"/>
    <col min="2" max="2" width="17.125" customWidth="1"/>
    <col min="3" max="3" width="15.5" bestFit="1" customWidth="1"/>
  </cols>
  <sheetData>
    <row r="1" spans="1:5" ht="13.9" customHeight="1">
      <c r="A1" t="s">
        <v>47</v>
      </c>
    </row>
    <row r="2" spans="1:5" ht="13.9" customHeight="1"/>
    <row r="3" spans="1:5">
      <c r="A3" s="25" t="s">
        <v>46</v>
      </c>
      <c r="B3" s="25" t="s">
        <v>45</v>
      </c>
      <c r="C3" s="25" t="s">
        <v>44</v>
      </c>
      <c r="D3" s="25" t="s">
        <v>43</v>
      </c>
      <c r="E3" s="25" t="s">
        <v>42</v>
      </c>
    </row>
    <row r="4" spans="1:5">
      <c r="A4" s="24">
        <v>1</v>
      </c>
      <c r="B4" s="23">
        <v>2</v>
      </c>
      <c r="C4" s="22">
        <v>9</v>
      </c>
      <c r="D4" s="21">
        <f>C4+2</f>
        <v>11</v>
      </c>
      <c r="E4" s="21">
        <f>AVERAGE(C4:D4)</f>
        <v>10</v>
      </c>
    </row>
    <row r="5" spans="1:5">
      <c r="A5" s="24">
        <v>2</v>
      </c>
      <c r="B5" s="23">
        <v>0.5</v>
      </c>
      <c r="C5" s="22">
        <v>7</v>
      </c>
      <c r="D5" s="21">
        <f>C5+2</f>
        <v>9</v>
      </c>
      <c r="E5" s="21">
        <f>AVERAGE(C5:D5)</f>
        <v>8</v>
      </c>
    </row>
    <row r="6" spans="1:5">
      <c r="A6" s="24">
        <v>3</v>
      </c>
      <c r="B6" s="23">
        <v>0.5</v>
      </c>
      <c r="C6" s="22">
        <v>6</v>
      </c>
      <c r="D6" s="21">
        <f>C6+2</f>
        <v>8</v>
      </c>
      <c r="E6" s="21">
        <f>AVERAGE(C6:D6)</f>
        <v>7</v>
      </c>
    </row>
    <row r="7" spans="1:5">
      <c r="A7" s="24">
        <v>4</v>
      </c>
      <c r="B7" s="23">
        <v>1</v>
      </c>
      <c r="C7" s="22">
        <v>7</v>
      </c>
      <c r="D7" s="21">
        <f>C7+2</f>
        <v>9</v>
      </c>
      <c r="E7" s="21">
        <f>AVERAGE(C7:D7)</f>
        <v>8</v>
      </c>
    </row>
    <row r="8" spans="1:5">
      <c r="A8" s="24">
        <v>5</v>
      </c>
      <c r="B8" s="23">
        <v>1</v>
      </c>
      <c r="C8" s="22">
        <v>9</v>
      </c>
      <c r="D8" s="21">
        <f>C8+2</f>
        <v>11</v>
      </c>
      <c r="E8" s="21">
        <f>AVERAGE(C8:D8)</f>
        <v>10</v>
      </c>
    </row>
    <row r="9" spans="1:5">
      <c r="A9" s="20"/>
      <c r="B9" s="19"/>
      <c r="C9" s="18"/>
      <c r="D9" s="17"/>
      <c r="E9" s="17"/>
    </row>
    <row r="10" spans="1:5">
      <c r="A10" s="65" t="s">
        <v>41</v>
      </c>
      <c r="B10" s="66"/>
      <c r="C10" s="66"/>
      <c r="D10" s="66"/>
      <c r="E10" s="66"/>
    </row>
    <row r="12" spans="1:5" ht="15" customHeight="1"/>
    <row r="13" spans="1:5" ht="15">
      <c r="A13" s="63" t="s">
        <v>1</v>
      </c>
      <c r="B13" s="64"/>
      <c r="C13" s="64"/>
      <c r="D13" s="64"/>
      <c r="E13" s="64"/>
    </row>
    <row r="14" spans="1:5">
      <c r="A14" t="s">
        <v>3</v>
      </c>
      <c r="C14" s="4">
        <f>C20</f>
        <v>9.9667774086378731E-3</v>
      </c>
    </row>
    <row r="17" spans="1:6" ht="15">
      <c r="A17" s="63" t="s">
        <v>2</v>
      </c>
      <c r="B17" s="64"/>
      <c r="C17" s="64"/>
      <c r="D17" s="64"/>
      <c r="E17" s="64"/>
    </row>
    <row r="18" spans="1:6" ht="29.65" customHeight="1">
      <c r="C18" s="16">
        <f>(MAX(E4:E8)-MIN(E4:E8))/MIN(E4:E8)</f>
        <v>0.42857142857142855</v>
      </c>
    </row>
    <row r="19" spans="1:6">
      <c r="C19" s="16">
        <f>SUM(B4:B8)/1*AVERAGE(E4:E8)</f>
        <v>43</v>
      </c>
    </row>
    <row r="20" spans="1:6">
      <c r="B20" t="s">
        <v>40</v>
      </c>
      <c r="C20">
        <f>C18/C19</f>
        <v>9.9667774086378731E-3</v>
      </c>
    </row>
    <row r="23" spans="1:6">
      <c r="A23" t="s">
        <v>39</v>
      </c>
    </row>
    <row r="24" spans="1:6" ht="14.1" customHeight="1">
      <c r="A24" s="66" t="s">
        <v>38</v>
      </c>
      <c r="B24" s="66"/>
      <c r="C24" s="66"/>
      <c r="D24" s="66"/>
      <c r="E24" s="66"/>
      <c r="F24" s="66"/>
    </row>
    <row r="25" spans="1:6">
      <c r="A25" s="66"/>
      <c r="B25" s="66"/>
      <c r="C25" s="66"/>
      <c r="D25" s="66"/>
      <c r="E25" s="66"/>
      <c r="F25" s="66"/>
    </row>
    <row r="26" spans="1:6" ht="14.1" customHeight="1">
      <c r="A26" s="66" t="s">
        <v>37</v>
      </c>
      <c r="B26" s="66"/>
      <c r="C26" s="66"/>
      <c r="D26" s="66"/>
      <c r="E26" s="66"/>
      <c r="F26" s="66"/>
    </row>
    <row r="27" spans="1:6">
      <c r="A27" s="66"/>
      <c r="B27" s="66"/>
      <c r="C27" s="66"/>
      <c r="D27" s="66"/>
      <c r="E27" s="66"/>
      <c r="F27" s="66"/>
    </row>
    <row r="29" spans="1:6">
      <c r="A29" t="s">
        <v>36</v>
      </c>
    </row>
    <row r="31" spans="1:6" ht="14.1" customHeight="1">
      <c r="A31" s="66" t="s">
        <v>35</v>
      </c>
      <c r="B31" s="66"/>
      <c r="C31" s="66"/>
      <c r="D31" s="66"/>
      <c r="E31" s="66"/>
      <c r="F31" s="66"/>
    </row>
    <row r="32" spans="1:6">
      <c r="A32" s="66"/>
      <c r="B32" s="66"/>
      <c r="C32" s="66"/>
      <c r="D32" s="66"/>
      <c r="E32" s="66"/>
      <c r="F32" s="66"/>
    </row>
    <row r="34" spans="1:5" ht="15">
      <c r="A34" s="63" t="s">
        <v>1</v>
      </c>
      <c r="B34" s="64"/>
      <c r="C34" s="64"/>
      <c r="D34" s="64"/>
      <c r="E34" s="64"/>
    </row>
    <row r="35" spans="1:5" ht="15">
      <c r="A35" t="s">
        <v>3</v>
      </c>
      <c r="C35" s="4">
        <f>B47</f>
        <v>0.30853753872598688</v>
      </c>
      <c r="D35" s="15"/>
      <c r="E35" s="15"/>
    </row>
    <row r="36" spans="1:5" ht="15">
      <c r="A36" s="15"/>
      <c r="B36" s="15"/>
      <c r="C36" s="15"/>
      <c r="D36" s="15"/>
      <c r="E36" s="15"/>
    </row>
    <row r="39" spans="1:5" ht="15">
      <c r="A39" s="63" t="s">
        <v>2</v>
      </c>
      <c r="B39" s="64"/>
      <c r="C39" s="64"/>
      <c r="D39" s="64"/>
      <c r="E39" s="64"/>
    </row>
    <row r="41" spans="1:5">
      <c r="A41" t="s">
        <v>34</v>
      </c>
      <c r="B41">
        <v>0.1</v>
      </c>
    </row>
    <row r="42" spans="1:5">
      <c r="A42" t="s">
        <v>33</v>
      </c>
      <c r="B42">
        <v>0.2</v>
      </c>
    </row>
    <row r="43" spans="1:5">
      <c r="A43" t="s">
        <v>32</v>
      </c>
      <c r="B43" s="14">
        <v>10000000</v>
      </c>
    </row>
    <row r="45" spans="1:5">
      <c r="A45" t="s">
        <v>31</v>
      </c>
      <c r="B45">
        <f>LOG(1)</f>
        <v>0</v>
      </c>
    </row>
    <row r="46" spans="1:5">
      <c r="A46" t="s">
        <v>30</v>
      </c>
      <c r="B46">
        <f>(B45-B41)/B42</f>
        <v>-0.5</v>
      </c>
    </row>
    <row r="47" spans="1:5">
      <c r="A47" t="s">
        <v>29</v>
      </c>
      <c r="B47">
        <f>_xlfn.NORM.S.DIST(B46,TRUE)</f>
        <v>0.30853753872598688</v>
      </c>
    </row>
    <row r="48" spans="1:5">
      <c r="A48" t="s">
        <v>28</v>
      </c>
      <c r="B48">
        <f>1-B47</f>
        <v>0.69146246127401312</v>
      </c>
    </row>
    <row r="50" spans="1:6" ht="14.1" customHeight="1">
      <c r="A50" s="65" t="s">
        <v>27</v>
      </c>
      <c r="B50" s="66"/>
      <c r="C50" s="66"/>
      <c r="D50" s="66"/>
      <c r="E50" s="66"/>
      <c r="F50" s="11"/>
    </row>
    <row r="52" spans="1:6" ht="15">
      <c r="A52" s="63" t="s">
        <v>1</v>
      </c>
      <c r="B52" s="64"/>
      <c r="C52" s="64"/>
      <c r="D52" s="64"/>
      <c r="E52" s="64"/>
    </row>
    <row r="53" spans="1:6">
      <c r="A53" t="s">
        <v>3</v>
      </c>
      <c r="C53" s="10">
        <f>B63</f>
        <v>2046481.832216972</v>
      </c>
    </row>
    <row r="54" spans="1:6">
      <c r="C54" s="13"/>
    </row>
    <row r="56" spans="1:6" ht="15">
      <c r="A56" s="63" t="s">
        <v>2</v>
      </c>
      <c r="B56" s="64"/>
      <c r="C56" s="64"/>
      <c r="D56" s="64"/>
      <c r="E56" s="64"/>
    </row>
    <row r="57" spans="1:6" ht="15" customHeight="1">
      <c r="A57" t="s">
        <v>26</v>
      </c>
      <c r="B57">
        <v>0.95</v>
      </c>
    </row>
    <row r="58" spans="1:6">
      <c r="A58" t="s">
        <v>25</v>
      </c>
      <c r="B58">
        <f>-_xlfn.NORM.S.INV(B57)</f>
        <v>-1.6448536269514715</v>
      </c>
    </row>
    <row r="59" spans="1:6">
      <c r="A59" t="s">
        <v>24</v>
      </c>
      <c r="B59">
        <f>B58*B42</f>
        <v>-0.32897072539029432</v>
      </c>
    </row>
    <row r="60" spans="1:6">
      <c r="A60" t="s">
        <v>23</v>
      </c>
      <c r="B60">
        <f>B59+B41</f>
        <v>-0.22897072539029431</v>
      </c>
    </row>
    <row r="61" spans="1:6">
      <c r="A61" t="s">
        <v>22</v>
      </c>
      <c r="B61">
        <f>EXP(B60)</f>
        <v>0.7953518167783028</v>
      </c>
    </row>
    <row r="62" spans="1:6">
      <c r="A62" t="s">
        <v>21</v>
      </c>
      <c r="B62">
        <f>1-B61</f>
        <v>0.2046481832216972</v>
      </c>
      <c r="E62" s="12"/>
      <c r="F62" s="12"/>
    </row>
    <row r="63" spans="1:6">
      <c r="A63" t="s">
        <v>20</v>
      </c>
      <c r="B63" s="9">
        <f>B62*B43</f>
        <v>2046481.832216972</v>
      </c>
      <c r="E63" s="12"/>
    </row>
    <row r="64" spans="1:6">
      <c r="C64" s="9"/>
    </row>
    <row r="65" spans="1:6" ht="14.1" customHeight="1">
      <c r="A65" s="65" t="s">
        <v>19</v>
      </c>
      <c r="B65" s="66"/>
      <c r="C65" s="66"/>
      <c r="D65" s="66"/>
      <c r="E65" s="66"/>
      <c r="F65" s="11"/>
    </row>
    <row r="67" spans="1:6" ht="15">
      <c r="A67" s="63" t="s">
        <v>1</v>
      </c>
      <c r="B67" s="64"/>
      <c r="C67" s="64"/>
      <c r="D67" s="64"/>
      <c r="E67" s="64"/>
    </row>
    <row r="68" spans="1:6">
      <c r="A68" t="s">
        <v>3</v>
      </c>
      <c r="C68" s="10">
        <f>B76</f>
        <v>2664636.9518181458</v>
      </c>
    </row>
    <row r="71" spans="1:6" ht="15">
      <c r="A71" s="63" t="s">
        <v>2</v>
      </c>
      <c r="B71" s="64"/>
      <c r="C71" s="64"/>
      <c r="D71" s="64"/>
      <c r="E71" s="64"/>
    </row>
    <row r="72" spans="1:6">
      <c r="A72" t="s">
        <v>18</v>
      </c>
      <c r="B72">
        <f>B58-B42</f>
        <v>-1.8448536269514715</v>
      </c>
    </row>
    <row r="73" spans="1:6">
      <c r="A73" t="s">
        <v>17</v>
      </c>
      <c r="B73">
        <f>_xlfn.NORM.S.DIST(B72,TRUE)</f>
        <v>3.252941699086178E-2</v>
      </c>
    </row>
    <row r="74" spans="1:6">
      <c r="A74" t="s">
        <v>16</v>
      </c>
      <c r="B74">
        <f>EXP(B41+B42^2/2)</f>
        <v>1.1274968515793757</v>
      </c>
    </row>
    <row r="75" spans="1:6">
      <c r="A75" t="s">
        <v>15</v>
      </c>
      <c r="B75">
        <f>B74/(1-B57)</f>
        <v>22.549937031587493</v>
      </c>
    </row>
    <row r="76" spans="1:6">
      <c r="A76" t="s">
        <v>14</v>
      </c>
      <c r="B76" s="9">
        <f>B43*(1-B75*B73)</f>
        <v>2664636.9518181458</v>
      </c>
    </row>
  </sheetData>
  <mergeCells count="14">
    <mergeCell ref="A71:E71"/>
    <mergeCell ref="A31:F32"/>
    <mergeCell ref="A50:E50"/>
    <mergeCell ref="A65:E65"/>
    <mergeCell ref="A34:E34"/>
    <mergeCell ref="A52:E52"/>
    <mergeCell ref="A67:E67"/>
    <mergeCell ref="A56:E56"/>
    <mergeCell ref="A39:E39"/>
    <mergeCell ref="A10:E10"/>
    <mergeCell ref="A24:F25"/>
    <mergeCell ref="A26:F27"/>
    <mergeCell ref="A17:E17"/>
    <mergeCell ref="A13:E13"/>
  </mergeCells>
  <pageMargins left="0.7" right="0.7" top="0.75" bottom="0.75" header="0.3" footer="0.3"/>
  <pageSetup orientation="portrait" horizontalDpi="240" verticalDpi="24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7F481-9C7C-4A4F-B611-BCC010CCA0CF}">
  <dimension ref="A1:I47"/>
  <sheetViews>
    <sheetView workbookViewId="0">
      <selection activeCell="C16" sqref="C16"/>
    </sheetView>
  </sheetViews>
  <sheetFormatPr defaultRowHeight="14.25"/>
  <cols>
    <col min="1" max="1" width="18.375" customWidth="1"/>
    <col min="2" max="2" width="23.25" customWidth="1"/>
    <col min="3" max="3" width="19.75" customWidth="1"/>
    <col min="4" max="4" width="11.25" customWidth="1"/>
  </cols>
  <sheetData>
    <row r="1" spans="1:9">
      <c r="A1" t="s">
        <v>69</v>
      </c>
    </row>
    <row r="2" spans="1:9">
      <c r="A2" t="s">
        <v>68</v>
      </c>
    </row>
    <row r="3" spans="1:9">
      <c r="A3" t="s">
        <v>67</v>
      </c>
    </row>
    <row r="4" spans="1:9">
      <c r="A4" t="s">
        <v>66</v>
      </c>
    </row>
    <row r="6" spans="1:9" ht="15.75" thickBot="1">
      <c r="A6" s="44"/>
    </row>
    <row r="7" spans="1:9" ht="30.75" thickBot="1">
      <c r="A7" s="43" t="s">
        <v>58</v>
      </c>
      <c r="B7" s="42" t="s">
        <v>57</v>
      </c>
      <c r="C7" s="42" t="s">
        <v>56</v>
      </c>
      <c r="D7" s="42" t="s">
        <v>55</v>
      </c>
    </row>
    <row r="8" spans="1:9" ht="15.75" thickBot="1">
      <c r="A8" s="41" t="s">
        <v>52</v>
      </c>
      <c r="B8" s="39">
        <v>595</v>
      </c>
      <c r="C8" s="40">
        <v>1335</v>
      </c>
      <c r="D8" s="39">
        <v>2</v>
      </c>
    </row>
    <row r="9" spans="1:9" ht="15.75" thickBot="1">
      <c r="A9" s="41" t="s">
        <v>63</v>
      </c>
      <c r="B9" s="39">
        <v>611</v>
      </c>
      <c r="C9" s="40">
        <v>1609</v>
      </c>
      <c r="D9" s="39">
        <v>4</v>
      </c>
    </row>
    <row r="10" spans="1:9" ht="15.75" thickBot="1">
      <c r="A10" s="41" t="s">
        <v>50</v>
      </c>
      <c r="B10" s="39">
        <v>619</v>
      </c>
      <c r="C10" s="40">
        <v>1579</v>
      </c>
      <c r="D10" s="39">
        <v>6</v>
      </c>
    </row>
    <row r="12" spans="1:9" ht="31.35" customHeight="1">
      <c r="A12" s="68" t="s">
        <v>65</v>
      </c>
      <c r="B12" s="69"/>
      <c r="C12" s="69"/>
      <c r="D12" s="69"/>
      <c r="E12" s="69"/>
      <c r="F12" s="69"/>
      <c r="G12" s="66"/>
      <c r="H12" s="66"/>
      <c r="I12" s="66"/>
    </row>
    <row r="13" spans="1:9" ht="14.1" customHeight="1">
      <c r="A13" s="68" t="s">
        <v>64</v>
      </c>
      <c r="B13" s="69"/>
      <c r="C13" s="69"/>
      <c r="D13" s="69"/>
      <c r="E13" s="69"/>
      <c r="F13" s="69"/>
    </row>
    <row r="14" spans="1:9" ht="14.1" customHeight="1">
      <c r="A14" s="36"/>
      <c r="B14" s="35"/>
      <c r="C14" s="35"/>
      <c r="D14" s="35"/>
      <c r="E14" s="35"/>
      <c r="F14" s="35"/>
    </row>
    <row r="15" spans="1:9" ht="15">
      <c r="A15" s="63" t="s">
        <v>1</v>
      </c>
      <c r="B15" s="64"/>
      <c r="C15" s="64"/>
      <c r="D15" s="64"/>
      <c r="E15" s="64"/>
    </row>
    <row r="16" spans="1:9">
      <c r="A16" t="s">
        <v>3</v>
      </c>
      <c r="C16" s="4" t="s">
        <v>63</v>
      </c>
    </row>
    <row r="19" spans="1:6" ht="15">
      <c r="A19" s="63" t="s">
        <v>2</v>
      </c>
      <c r="B19" s="64"/>
      <c r="C19" s="64"/>
      <c r="D19" s="64"/>
      <c r="E19" s="64"/>
    </row>
    <row r="21" spans="1:6" ht="15">
      <c r="A21" s="67"/>
      <c r="B21" s="67"/>
      <c r="C21" s="67"/>
      <c r="D21" s="34"/>
      <c r="E21" s="33" t="s">
        <v>62</v>
      </c>
      <c r="F21" s="33" t="s">
        <v>62</v>
      </c>
    </row>
    <row r="22" spans="1:6" ht="30">
      <c r="A22" s="31" t="s">
        <v>58</v>
      </c>
      <c r="B22" s="31" t="s">
        <v>57</v>
      </c>
      <c r="C22" s="31" t="s">
        <v>56</v>
      </c>
      <c r="D22" s="31" t="s">
        <v>55</v>
      </c>
      <c r="E22" s="31" t="s">
        <v>54</v>
      </c>
      <c r="F22" s="31" t="s">
        <v>53</v>
      </c>
    </row>
    <row r="23" spans="1:6" ht="15">
      <c r="A23" s="31" t="s">
        <v>52</v>
      </c>
      <c r="B23" s="30">
        <v>595</v>
      </c>
      <c r="C23" s="29">
        <v>1335</v>
      </c>
      <c r="D23" s="28">
        <v>2</v>
      </c>
      <c r="E23" s="37">
        <f>C23-D23</f>
        <v>1333</v>
      </c>
      <c r="F23" s="37">
        <f>C23-(D23*LOG($B$8))/2</f>
        <v>1332.2254830342715</v>
      </c>
    </row>
    <row r="24" spans="1:6" ht="15">
      <c r="A24" s="31" t="s">
        <v>51</v>
      </c>
      <c r="B24" s="30">
        <v>611</v>
      </c>
      <c r="C24" s="29">
        <v>1609</v>
      </c>
      <c r="D24" s="28">
        <v>4</v>
      </c>
      <c r="E24" s="38">
        <f>C24-D24</f>
        <v>1605</v>
      </c>
      <c r="F24" s="38">
        <f>C24-(D24*LOG($B$8))/2</f>
        <v>1603.4509660685428</v>
      </c>
    </row>
    <row r="25" spans="1:6" ht="15">
      <c r="A25" s="31" t="s">
        <v>50</v>
      </c>
      <c r="B25" s="30">
        <v>619</v>
      </c>
      <c r="C25" s="29">
        <v>1579</v>
      </c>
      <c r="D25" s="28">
        <v>6</v>
      </c>
      <c r="E25" s="37">
        <f>C25-D25</f>
        <v>1573</v>
      </c>
      <c r="F25" s="37">
        <f>C25-(D25*LOG($B$8))/2</f>
        <v>1570.6764491028143</v>
      </c>
    </row>
    <row r="27" spans="1:6" ht="15">
      <c r="A27" s="26"/>
    </row>
    <row r="28" spans="1:6" ht="15">
      <c r="A28" s="26" t="s">
        <v>49</v>
      </c>
    </row>
    <row r="29" spans="1:6" ht="15">
      <c r="A29" s="26" t="s">
        <v>61</v>
      </c>
    </row>
    <row r="32" spans="1:6">
      <c r="A32" s="68" t="s">
        <v>60</v>
      </c>
      <c r="B32" s="69"/>
      <c r="C32" s="69"/>
      <c r="D32" s="69"/>
      <c r="E32" s="69"/>
      <c r="F32" s="69"/>
    </row>
    <row r="33" spans="1:6" ht="15">
      <c r="A33" s="36"/>
      <c r="B33" s="35"/>
      <c r="C33" s="35"/>
      <c r="D33" s="35"/>
      <c r="E33" s="35"/>
      <c r="F33" s="35"/>
    </row>
    <row r="34" spans="1:6" ht="15">
      <c r="A34" s="63" t="s">
        <v>1</v>
      </c>
      <c r="B34" s="64"/>
      <c r="C34" s="64"/>
      <c r="D34" s="64"/>
      <c r="E34" s="64"/>
    </row>
    <row r="35" spans="1:6">
      <c r="A35" t="s">
        <v>3</v>
      </c>
      <c r="C35" s="4" t="s">
        <v>50</v>
      </c>
    </row>
    <row r="38" spans="1:6" ht="15">
      <c r="A38" s="63" t="s">
        <v>2</v>
      </c>
      <c r="B38" s="64"/>
      <c r="C38" s="64"/>
      <c r="D38" s="64"/>
      <c r="E38" s="64"/>
    </row>
    <row r="40" spans="1:6" ht="15">
      <c r="A40" s="67"/>
      <c r="B40" s="67"/>
      <c r="C40" s="67"/>
      <c r="D40" s="34"/>
      <c r="E40" s="33" t="s">
        <v>59</v>
      </c>
      <c r="F40" s="33" t="s">
        <v>59</v>
      </c>
    </row>
    <row r="41" spans="1:6" ht="30">
      <c r="A41" s="31" t="s">
        <v>58</v>
      </c>
      <c r="B41" s="31" t="s">
        <v>57</v>
      </c>
      <c r="C41" s="31" t="s">
        <v>56</v>
      </c>
      <c r="D41" s="31" t="s">
        <v>55</v>
      </c>
      <c r="E41" s="31" t="s">
        <v>54</v>
      </c>
      <c r="F41" s="31" t="s">
        <v>53</v>
      </c>
    </row>
    <row r="42" spans="1:6" ht="15">
      <c r="A42" s="31" t="s">
        <v>52</v>
      </c>
      <c r="B42" s="30">
        <v>595</v>
      </c>
      <c r="C42" s="29">
        <v>1335</v>
      </c>
      <c r="D42" s="28">
        <v>2</v>
      </c>
      <c r="E42" s="32">
        <f>B42-D42</f>
        <v>593</v>
      </c>
      <c r="F42" s="32">
        <f>B42-(D42*LOG($B$8))/2</f>
        <v>592.22548303427141</v>
      </c>
    </row>
    <row r="43" spans="1:6" ht="15">
      <c r="A43" s="31" t="s">
        <v>51</v>
      </c>
      <c r="B43" s="30">
        <v>611</v>
      </c>
      <c r="C43" s="29">
        <v>1609</v>
      </c>
      <c r="D43" s="28">
        <v>4</v>
      </c>
      <c r="E43" s="32">
        <f>B43-D43</f>
        <v>607</v>
      </c>
      <c r="F43" s="32">
        <f>B43-(D43*LOG($B$8))/2</f>
        <v>605.45096606854293</v>
      </c>
    </row>
    <row r="44" spans="1:6" ht="15">
      <c r="A44" s="31" t="s">
        <v>50</v>
      </c>
      <c r="B44" s="30">
        <v>619</v>
      </c>
      <c r="C44" s="29">
        <v>1579</v>
      </c>
      <c r="D44" s="28">
        <v>6</v>
      </c>
      <c r="E44" s="27">
        <f>B44-D44</f>
        <v>613</v>
      </c>
      <c r="F44" s="27">
        <f>B44-(D44*LOG($B$8))/2</f>
        <v>610.67644910281433</v>
      </c>
    </row>
    <row r="46" spans="1:6" ht="15">
      <c r="A46" s="26" t="s">
        <v>49</v>
      </c>
    </row>
    <row r="47" spans="1:6" ht="15">
      <c r="A47" s="26" t="s">
        <v>48</v>
      </c>
    </row>
  </sheetData>
  <mergeCells count="9">
    <mergeCell ref="A38:E38"/>
    <mergeCell ref="A21:C21"/>
    <mergeCell ref="A40:C40"/>
    <mergeCell ref="A12:I12"/>
    <mergeCell ref="A13:F13"/>
    <mergeCell ref="A15:E15"/>
    <mergeCell ref="A19:E19"/>
    <mergeCell ref="A32:F32"/>
    <mergeCell ref="A34:E34"/>
  </mergeCells>
  <pageMargins left="0.7" right="0.7" top="0.75" bottom="0.75" header="0.3" footer="0.3"/>
  <pageSetup orientation="portrait" horizontalDpi="240" verticalDpi="24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EB6A8-A882-40DC-8EFD-311A76FE1BE0}">
  <dimension ref="A1:J90"/>
  <sheetViews>
    <sheetView tabSelected="1" topLeftCell="A4" zoomScale="120" zoomScaleNormal="120" workbookViewId="0">
      <selection activeCell="D18" sqref="D18"/>
    </sheetView>
  </sheetViews>
  <sheetFormatPr defaultColWidth="8.875" defaultRowHeight="14.25"/>
  <cols>
    <col min="1" max="1" width="18.5" customWidth="1"/>
    <col min="2" max="2" width="11.375" customWidth="1"/>
    <col min="7" max="7" width="20.5" customWidth="1"/>
    <col min="9" max="10" width="11.625" bestFit="1" customWidth="1"/>
  </cols>
  <sheetData>
    <row r="1" spans="1:7" ht="13.7" customHeight="1">
      <c r="A1" s="46" t="s">
        <v>47</v>
      </c>
    </row>
    <row r="2" spans="1:7" ht="13.7" customHeight="1">
      <c r="A2" s="46"/>
    </row>
    <row r="3" spans="1:7" ht="13.7" customHeight="1">
      <c r="A3" s="54"/>
      <c r="B3" s="60" t="s">
        <v>109</v>
      </c>
      <c r="G3" s="49"/>
    </row>
    <row r="4" spans="1:7" ht="15.75">
      <c r="A4" s="54" t="s">
        <v>108</v>
      </c>
      <c r="B4" s="59">
        <v>5000</v>
      </c>
      <c r="G4" s="49"/>
    </row>
    <row r="5" spans="1:7">
      <c r="A5" s="54" t="s">
        <v>107</v>
      </c>
      <c r="B5" s="58">
        <v>202.8</v>
      </c>
    </row>
    <row r="6" spans="1:7">
      <c r="A6" s="54" t="s">
        <v>106</v>
      </c>
      <c r="B6" s="58">
        <v>624.29999999999995</v>
      </c>
    </row>
    <row r="7" spans="1:7">
      <c r="A7" s="54" t="s">
        <v>105</v>
      </c>
      <c r="B7" s="54">
        <v>20</v>
      </c>
    </row>
    <row r="8" spans="1:7">
      <c r="A8" s="54" t="s">
        <v>104</v>
      </c>
      <c r="B8" s="54">
        <v>19</v>
      </c>
    </row>
    <row r="9" spans="1:7">
      <c r="A9" s="54" t="s">
        <v>103</v>
      </c>
      <c r="B9" s="57">
        <v>1</v>
      </c>
    </row>
    <row r="10" spans="1:7">
      <c r="A10" s="54" t="s">
        <v>102</v>
      </c>
      <c r="B10" s="54">
        <v>0.04</v>
      </c>
    </row>
    <row r="11" spans="1:7">
      <c r="A11" s="54" t="s">
        <v>101</v>
      </c>
      <c r="B11" s="54">
        <v>0.3</v>
      </c>
    </row>
    <row r="12" spans="1:7">
      <c r="A12" s="56" t="s">
        <v>80</v>
      </c>
      <c r="B12" s="55">
        <v>0.32480250668309191</v>
      </c>
    </row>
    <row r="13" spans="1:7">
      <c r="A13" s="54" t="s">
        <v>79</v>
      </c>
      <c r="B13" s="55">
        <v>0.43868226960244328</v>
      </c>
    </row>
    <row r="14" spans="1:7">
      <c r="A14" s="54" t="s">
        <v>100</v>
      </c>
      <c r="B14" s="54">
        <v>250</v>
      </c>
    </row>
    <row r="15" spans="1:7">
      <c r="A15" s="54" t="s">
        <v>99</v>
      </c>
      <c r="B15" s="54">
        <f>ROUND(NORMINV(0.99,0,1),4)</f>
        <v>2.3262999999999998</v>
      </c>
    </row>
    <row r="17" spans="1:5">
      <c r="A17" t="s">
        <v>98</v>
      </c>
    </row>
    <row r="19" spans="1:5">
      <c r="A19" t="s">
        <v>97</v>
      </c>
    </row>
    <row r="20" spans="1:5" ht="15">
      <c r="A20" s="46" t="s">
        <v>96</v>
      </c>
    </row>
    <row r="21" spans="1:5" ht="15">
      <c r="A21" s="46"/>
    </row>
    <row r="22" spans="1:5" ht="15">
      <c r="A22" s="63" t="s">
        <v>1</v>
      </c>
      <c r="B22" s="64"/>
      <c r="C22" s="64"/>
      <c r="D22" s="64"/>
      <c r="E22" s="64"/>
    </row>
    <row r="23" spans="1:5">
      <c r="A23" t="s">
        <v>94</v>
      </c>
      <c r="C23" s="53">
        <f>C29</f>
        <v>5000.0005402308961</v>
      </c>
    </row>
    <row r="24" spans="1:5" ht="15">
      <c r="A24" s="46"/>
    </row>
    <row r="26" spans="1:5" ht="15">
      <c r="A26" s="63" t="s">
        <v>2</v>
      </c>
      <c r="B26" s="64"/>
      <c r="C26" s="64"/>
      <c r="D26" s="64"/>
      <c r="E26" s="64"/>
    </row>
    <row r="28" spans="1:5">
      <c r="A28" t="s">
        <v>95</v>
      </c>
      <c r="C28" s="6">
        <f>B8*EXP(-B10*B9)*B13-B7*B12</f>
        <v>1.5120944101087561</v>
      </c>
    </row>
    <row r="29" spans="1:5">
      <c r="A29" t="s">
        <v>94</v>
      </c>
      <c r="C29" s="50">
        <f>B5*B7+B6*C28</f>
        <v>5000.0005402308961</v>
      </c>
    </row>
    <row r="33" spans="1:5" ht="15">
      <c r="A33" s="46" t="s">
        <v>93</v>
      </c>
    </row>
    <row r="36" spans="1:5" ht="15">
      <c r="A36" s="63" t="s">
        <v>1</v>
      </c>
      <c r="B36" s="64"/>
      <c r="C36" s="64"/>
      <c r="D36" s="64"/>
      <c r="E36" s="64"/>
    </row>
    <row r="37" spans="1:5" ht="15">
      <c r="A37" s="15" t="s">
        <v>92</v>
      </c>
      <c r="B37" s="15"/>
      <c r="C37" s="4" t="s">
        <v>91</v>
      </c>
      <c r="D37" s="15"/>
      <c r="E37" s="15"/>
    </row>
    <row r="38" spans="1:5" ht="15">
      <c r="A38" s="15"/>
      <c r="B38" s="15"/>
      <c r="C38" s="52"/>
      <c r="D38" s="15"/>
      <c r="E38" s="15"/>
    </row>
    <row r="39" spans="1:5" ht="15">
      <c r="A39" s="15"/>
      <c r="B39" s="15"/>
      <c r="C39" s="52"/>
      <c r="D39" s="15"/>
      <c r="E39" s="15"/>
    </row>
    <row r="40" spans="1:5" ht="15">
      <c r="A40" s="63" t="s">
        <v>2</v>
      </c>
      <c r="B40" s="64"/>
      <c r="C40" s="64"/>
      <c r="D40" s="64"/>
      <c r="E40" s="64"/>
    </row>
    <row r="41" spans="1:5">
      <c r="D41" s="6"/>
    </row>
    <row r="42" spans="1:5">
      <c r="A42" t="s">
        <v>90</v>
      </c>
      <c r="C42" s="6">
        <f>-B12</f>
        <v>-0.32480250668309191</v>
      </c>
      <c r="D42" s="6"/>
    </row>
    <row r="43" spans="1:5">
      <c r="A43" t="s">
        <v>89</v>
      </c>
      <c r="C43" s="50">
        <f>B5-B6*B12</f>
        <v>2.5795077745755179E-2</v>
      </c>
    </row>
    <row r="49" spans="1:9" ht="15.75">
      <c r="A49" s="49" t="s">
        <v>88</v>
      </c>
    </row>
    <row r="51" spans="1:9" ht="15">
      <c r="A51" s="63" t="s">
        <v>1</v>
      </c>
      <c r="B51" s="64"/>
      <c r="C51" s="64"/>
      <c r="D51" s="64"/>
      <c r="E51" s="64"/>
    </row>
    <row r="52" spans="1:9" ht="15.75">
      <c r="A52" t="s">
        <v>87</v>
      </c>
      <c r="C52" s="51">
        <f>C61</f>
        <v>0.10000000000000009</v>
      </c>
      <c r="G52" s="49"/>
    </row>
    <row r="53" spans="1:9">
      <c r="A53" t="s">
        <v>86</v>
      </c>
      <c r="C53" s="51">
        <f>C70</f>
        <v>8.9965837207877097E-3</v>
      </c>
      <c r="H53" s="6"/>
      <c r="I53" s="45"/>
    </row>
    <row r="54" spans="1:9" ht="15.75">
      <c r="G54" s="49"/>
    </row>
    <row r="55" spans="1:9" ht="15">
      <c r="A55" s="63" t="s">
        <v>2</v>
      </c>
      <c r="B55" s="64"/>
      <c r="C55" s="64"/>
      <c r="D55" s="64"/>
      <c r="E55" s="64"/>
    </row>
    <row r="57" spans="1:9">
      <c r="A57" t="s">
        <v>85</v>
      </c>
      <c r="C57">
        <v>0.05</v>
      </c>
    </row>
    <row r="58" spans="1:9" ht="15">
      <c r="A58" s="46" t="s">
        <v>74</v>
      </c>
      <c r="C58">
        <f>B4/B7</f>
        <v>250</v>
      </c>
      <c r="D58" t="s">
        <v>84</v>
      </c>
    </row>
    <row r="59" spans="1:9">
      <c r="A59" t="s">
        <v>83</v>
      </c>
      <c r="C59">
        <v>22</v>
      </c>
    </row>
    <row r="60" spans="1:9">
      <c r="A60" t="s">
        <v>77</v>
      </c>
      <c r="C60">
        <f>C59*C58</f>
        <v>5500</v>
      </c>
    </row>
    <row r="61" spans="1:9">
      <c r="A61" t="s">
        <v>76</v>
      </c>
      <c r="C61" s="7">
        <f>C60/B4-1</f>
        <v>0.10000000000000009</v>
      </c>
    </row>
    <row r="63" spans="1:9" ht="15">
      <c r="A63" s="46" t="s">
        <v>73</v>
      </c>
    </row>
    <row r="64" spans="1:9">
      <c r="A64" t="s">
        <v>82</v>
      </c>
      <c r="B64" s="6"/>
      <c r="C64" s="6">
        <f>(LN(C59/B8)+(B10+0.5*B11^2)*(B9-C57))/B11/SQRT(B9-C57)</f>
        <v>0.77753247597404995</v>
      </c>
    </row>
    <row r="65" spans="1:10">
      <c r="A65" s="6" t="s">
        <v>81</v>
      </c>
      <c r="B65" s="6"/>
      <c r="C65" s="6">
        <f>C64-B11*SQRT(B9-C57)</f>
        <v>0.48512864562978109</v>
      </c>
    </row>
    <row r="66" spans="1:10">
      <c r="A66" s="6" t="s">
        <v>80</v>
      </c>
      <c r="B66" s="6"/>
      <c r="C66" s="6">
        <f>NORMDIST(-C64,0,1,1)</f>
        <v>0.21842234088003432</v>
      </c>
      <c r="D66" s="6"/>
    </row>
    <row r="67" spans="1:10">
      <c r="A67" s="6" t="s">
        <v>79</v>
      </c>
      <c r="B67" s="6"/>
      <c r="C67" s="6">
        <f>NORMDIST(-C65,0,1,1)</f>
        <v>0.31379254668361378</v>
      </c>
      <c r="D67" s="6"/>
    </row>
    <row r="68" spans="1:10">
      <c r="A68" t="s">
        <v>78</v>
      </c>
      <c r="C68" s="6">
        <f>B8*EXP(-B10*(B9-C57))*C67-C59*C66</f>
        <v>0.93445926414214053</v>
      </c>
    </row>
    <row r="69" spans="1:10">
      <c r="A69" t="s">
        <v>77</v>
      </c>
      <c r="C69" s="50">
        <f>C59*B5+C68*B6</f>
        <v>5044.9829186039387</v>
      </c>
      <c r="I69" s="6"/>
      <c r="J69" s="45"/>
    </row>
    <row r="70" spans="1:10">
      <c r="A70" t="s">
        <v>76</v>
      </c>
      <c r="C70" s="45">
        <f>C69/B4-1</f>
        <v>8.9965837207877097E-3</v>
      </c>
    </row>
    <row r="74" spans="1:10" ht="15.75">
      <c r="A74" s="49" t="s">
        <v>75</v>
      </c>
    </row>
    <row r="76" spans="1:10" ht="15">
      <c r="A76" s="63" t="s">
        <v>1</v>
      </c>
      <c r="B76" s="64"/>
      <c r="C76" s="64"/>
      <c r="D76" s="64"/>
      <c r="E76" s="64"/>
    </row>
    <row r="77" spans="1:10">
      <c r="A77" t="s">
        <v>74</v>
      </c>
      <c r="C77" s="48">
        <f>C85</f>
        <v>4.4139347471157317E-2</v>
      </c>
    </row>
    <row r="78" spans="1:10">
      <c r="A78" t="s">
        <v>73</v>
      </c>
      <c r="C78" s="48">
        <f>C90</f>
        <v>1.2788262304553105E-2</v>
      </c>
    </row>
    <row r="80" spans="1:10" ht="15">
      <c r="A80" s="63" t="s">
        <v>2</v>
      </c>
      <c r="B80" s="64"/>
      <c r="C80" s="64"/>
      <c r="D80" s="64"/>
      <c r="E80" s="64"/>
    </row>
    <row r="82" spans="1:3" ht="15">
      <c r="A82" s="46" t="s">
        <v>74</v>
      </c>
    </row>
    <row r="83" spans="1:3">
      <c r="A83" s="47" t="s">
        <v>72</v>
      </c>
      <c r="B83" s="47"/>
      <c r="C83" s="47">
        <v>250</v>
      </c>
    </row>
    <row r="84" spans="1:3">
      <c r="A84" t="s">
        <v>71</v>
      </c>
      <c r="C84" s="6">
        <f>C83*C59*NORMINV(0.99,0,1)*SQRT(1/250)*B11</f>
        <v>242.76641109136526</v>
      </c>
    </row>
    <row r="85" spans="1:3">
      <c r="A85" t="s">
        <v>70</v>
      </c>
      <c r="C85" s="45">
        <f>C84/C60</f>
        <v>4.4139347471157317E-2</v>
      </c>
    </row>
    <row r="87" spans="1:3" ht="15">
      <c r="A87" s="46" t="s">
        <v>73</v>
      </c>
    </row>
    <row r="88" spans="1:3">
      <c r="A88" t="s">
        <v>72</v>
      </c>
      <c r="C88" s="6">
        <f>B5-B6*C66</f>
        <v>66.438932588594611</v>
      </c>
    </row>
    <row r="89" spans="1:3">
      <c r="A89" t="s">
        <v>71</v>
      </c>
      <c r="C89" s="6">
        <f>C88*C59*NORMINV(0.99,0,1)*SQRT(1/250)*B11</f>
        <v>64.516564885097054</v>
      </c>
    </row>
    <row r="90" spans="1:3">
      <c r="A90" t="s">
        <v>70</v>
      </c>
      <c r="C90" s="45">
        <f>C89/C69</f>
        <v>1.2788262304553105E-2</v>
      </c>
    </row>
  </sheetData>
  <mergeCells count="8">
    <mergeCell ref="A22:E22"/>
    <mergeCell ref="A36:E36"/>
    <mergeCell ref="A40:E40"/>
    <mergeCell ref="A80:E80"/>
    <mergeCell ref="A26:E26"/>
    <mergeCell ref="A51:E51"/>
    <mergeCell ref="A55:E55"/>
    <mergeCell ref="A76:E76"/>
  </mergeCells>
  <pageMargins left="0.7" right="0.7" top="0.75" bottom="0.75" header="0.3" footer="0.3"/>
  <pageSetup orientation="portrait" horizontalDpi="240" verticalDpi="24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Candidate #</vt:lpstr>
      <vt:lpstr>Q1 </vt:lpstr>
      <vt:lpstr>Q3 </vt:lpstr>
      <vt:lpstr>Q5</vt:lpstr>
      <vt:lpstr>Q8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Cherng, Gene</dc:creator>
  <cp:lastModifiedBy>Aleshia Zionce</cp:lastModifiedBy>
  <dcterms:created xsi:type="dcterms:W3CDTF">2024-12-16T15:28:14Z</dcterms:created>
  <dcterms:modified xsi:type="dcterms:W3CDTF">2025-01-14T17:58:30Z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