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Q:\Aleshia\Fall 2024 Solutions\"/>
    </mc:Choice>
  </mc:AlternateContent>
  <xr:revisionPtr revIDLastSave="0" documentId="8_{4B1C103A-8308-4637-AB48-B896E410498F}" xr6:coauthVersionLast="47" xr6:coauthVersionMax="47" xr10:uidLastSave="{00000000-0000-0000-0000-000000000000}"/>
  <bookViews>
    <workbookView xWindow="1950" yWindow="1950" windowWidth="20460" windowHeight="10440" activeTab="24" xr2:uid="{BA5BF470-FB0D-4790-94FB-9C914014EE4A}"/>
  </bookViews>
  <sheets>
    <sheet name="Q1" sheetId="92" r:id="rId1"/>
    <sheet name="Data for Q1" sheetId="93" r:id="rId2"/>
    <sheet name="Solution Q1" sheetId="99" r:id="rId3"/>
    <sheet name="Q2" sheetId="94" r:id="rId4"/>
    <sheet name="Data for Q2" sheetId="47" r:id="rId5"/>
    <sheet name="Solution for Q2" sheetId="89" r:id="rId6"/>
    <sheet name="Q3" sheetId="95" r:id="rId7"/>
    <sheet name="Data for Q3" sheetId="50" r:id="rId8"/>
    <sheet name="Solution Q3 (a)" sheetId="90" r:id="rId9"/>
    <sheet name="Solution Q3 (c)" sheetId="91" r:id="rId10"/>
    <sheet name="Q4" sheetId="96" r:id="rId11"/>
    <sheet name="Data for Q4" sheetId="72" r:id="rId12"/>
    <sheet name="Solution for Q4" sheetId="83" r:id="rId13"/>
    <sheet name="Q5" sheetId="97" r:id="rId14"/>
    <sheet name="Data for Q5" sheetId="73" r:id="rId15"/>
    <sheet name="Solution for Q5 (b)" sheetId="81" r:id="rId16"/>
    <sheet name="Solution for Q5 (c)" sheetId="82" r:id="rId17"/>
    <sheet name="Q6" sheetId="98" r:id="rId18"/>
    <sheet name="Data for Q6" sheetId="69" r:id="rId19"/>
    <sheet name="Solution for Q6" sheetId="85" r:id="rId20"/>
    <sheet name="Q7" sheetId="59" r:id="rId21"/>
    <sheet name="Data for Q7 (c)" sheetId="66" r:id="rId22"/>
    <sheet name="Data for Q7 (d)" sheetId="67" r:id="rId23"/>
    <sheet name="Solution for Q7 (c)" sheetId="86" r:id="rId24"/>
    <sheet name="Solution for Q7 (d)" sheetId="87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___CPD013" localSheetId="1">#REF!</definedName>
    <definedName name="___CPD013" localSheetId="0">#REF!</definedName>
    <definedName name="___CPD013" localSheetId="3">#REF!</definedName>
    <definedName name="___CPD013" localSheetId="6">#REF!</definedName>
    <definedName name="___CPD013" localSheetId="10">#REF!</definedName>
    <definedName name="___CPD013" localSheetId="13">#REF!</definedName>
    <definedName name="___CPD013" localSheetId="17">#REF!</definedName>
    <definedName name="___CPD013">#REF!</definedName>
    <definedName name="___RX1" localSheetId="1">#REF!</definedName>
    <definedName name="___RX1" localSheetId="0">#REF!</definedName>
    <definedName name="___RX1" localSheetId="3">#REF!</definedName>
    <definedName name="___RX1" localSheetId="6">#REF!</definedName>
    <definedName name="___RX1" localSheetId="10">#REF!</definedName>
    <definedName name="___RX1" localSheetId="13">#REF!</definedName>
    <definedName name="___RX1" localSheetId="17">#REF!</definedName>
    <definedName name="___RX1">#REF!</definedName>
    <definedName name="___RX2" localSheetId="1">#REF!</definedName>
    <definedName name="___RX2" localSheetId="0">#REF!</definedName>
    <definedName name="___RX2" localSheetId="3">#REF!</definedName>
    <definedName name="___RX2" localSheetId="6">#REF!</definedName>
    <definedName name="___RX2" localSheetId="10">#REF!</definedName>
    <definedName name="___RX2" localSheetId="13">#REF!</definedName>
    <definedName name="___RX2" localSheetId="17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1">Paid [17]Lag!$B$591:$H$600</definedName>
    <definedName name="aPLagPrint_Buttons" localSheetId="7">Paid [17]Lag!$B$591:$H$600</definedName>
    <definedName name="aPLagPrint_Buttons" localSheetId="0">Paid [17]Lag!$B$591:$H$600</definedName>
    <definedName name="aPLagPrint_Buttons" localSheetId="3">Paid [17]Lag!$B$591:$H$600</definedName>
    <definedName name="aPLagPrint_Buttons" localSheetId="6">Paid [17]Lag!$B$591:$H$600</definedName>
    <definedName name="aPLagPrint_Buttons" localSheetId="10">Paid [17]Lag!$B$591:$H$600</definedName>
    <definedName name="aPLagPrint_Buttons" localSheetId="13">Paid [17]Lag!$B$591:$H$600</definedName>
    <definedName name="aPLagPrint_Buttons" localSheetId="17">Paid [17]Lag!$B$591:$H$600</definedName>
    <definedName name="aPLagPrint_Buttons" localSheetId="20">Paid [17]Lag!$B$591:$H$600</definedName>
    <definedName name="aPLagPrint_Buttons">Paid [17]Lag!$B$591:$H$600</definedName>
    <definedName name="aRLagPrint_Buttons" localSheetId="1">Receipt [17]Lag!$A$535:$C$541</definedName>
    <definedName name="aRLagPrint_Buttons" localSheetId="7">Receipt [17]Lag!$A$535:$C$541</definedName>
    <definedName name="aRLagPrint_Buttons" localSheetId="0">Receipt [17]Lag!$A$535:$C$541</definedName>
    <definedName name="aRLagPrint_Buttons" localSheetId="3">Receipt [17]Lag!$A$535:$C$541</definedName>
    <definedName name="aRLagPrint_Buttons" localSheetId="6">Receipt [17]Lag!$A$535:$C$541</definedName>
    <definedName name="aRLagPrint_Buttons" localSheetId="10">Receipt [17]Lag!$A$535:$C$541</definedName>
    <definedName name="aRLagPrint_Buttons" localSheetId="13">Receipt [17]Lag!$A$535:$C$541</definedName>
    <definedName name="aRLagPrint_Buttons" localSheetId="17">Receipt [17]Lag!$A$535:$C$541</definedName>
    <definedName name="aRLagPrint_Buttons" localSheetId="20">Receipt [17]Lag!$A$535:$C$541</definedName>
    <definedName name="aRLagPrint_Buttons">Receipt [17]Lag!$A$535:$C$541</definedName>
    <definedName name="asd" localSheetId="1" hidden="1">[18]trends!#REF!</definedName>
    <definedName name="asd" localSheetId="0" hidden="1">[18]trends!#REF!</definedName>
    <definedName name="asd" localSheetId="3" hidden="1">[18]trends!#REF!</definedName>
    <definedName name="asd" localSheetId="6" hidden="1">[18]trends!#REF!</definedName>
    <definedName name="asd" localSheetId="10" hidden="1">[18]trends!#REF!</definedName>
    <definedName name="asd" localSheetId="13" hidden="1">[18]trends!#REF!</definedName>
    <definedName name="asd" localSheetId="17" hidden="1">[18]trends!#REF!</definedName>
    <definedName name="asd" hidden="1">[18]trends!#REF!</definedName>
    <definedName name="asda" localSheetId="1" hidden="1">[18]trends!#REF!</definedName>
    <definedName name="asda" localSheetId="0" hidden="1">[18]trends!#REF!</definedName>
    <definedName name="asda" localSheetId="3" hidden="1">[18]trends!#REF!</definedName>
    <definedName name="asda" localSheetId="6" hidden="1">[18]trends!#REF!</definedName>
    <definedName name="asda" localSheetId="10" hidden="1">[18]trends!#REF!</definedName>
    <definedName name="asda" localSheetId="13" hidden="1">[18]trends!#REF!</definedName>
    <definedName name="asda" localSheetId="17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 localSheetId="1">OFFSET([42]OriginalData!$D$6,[42]OriginalData!$A$62-1,[42]OriginalData!$A$62-1,#REF!,#REF!)</definedName>
    <definedName name="dyna_rnge_orig_data_4" localSheetId="0">OFFSET([42]OriginalData!$D$6,[42]OriginalData!$A$62-1,[42]OriginalData!$A$62-1,#REF!,#REF!)</definedName>
    <definedName name="dyna_rnge_orig_data_4" localSheetId="3">OFFSET([42]OriginalData!$D$6,[42]OriginalData!$A$62-1,[42]OriginalData!$A$62-1,#REF!,#REF!)</definedName>
    <definedName name="dyna_rnge_orig_data_4" localSheetId="6">OFFSET([42]OriginalData!$D$6,[42]OriginalData!$A$62-1,[42]OriginalData!$A$62-1,#REF!,#REF!)</definedName>
    <definedName name="dyna_rnge_orig_data_4" localSheetId="10">OFFSET([42]OriginalData!$D$6,[42]OriginalData!$A$62-1,[42]OriginalData!$A$62-1,#REF!,#REF!)</definedName>
    <definedName name="dyna_rnge_orig_data_4" localSheetId="13">OFFSET([42]OriginalData!$D$6,[42]OriginalData!$A$62-1,[42]OriginalData!$A$62-1,#REF!,#REF!)</definedName>
    <definedName name="dyna_rnge_orig_data_4" localSheetId="17">OFFSET([42]OriginalData!$D$6,[42]OriginalData!$A$62-1,[42]OriginalData!$A$62-1,#REF!,#REF!)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1">for UCL Summary '[46]201505'!$A$1:$F$613</definedName>
    <definedName name="for_UCL_Summary_201505" localSheetId="7">for UCL [47]!Summary '[46]201505'!$A$1:$F$613</definedName>
    <definedName name="for_UCL_Summary_201505" localSheetId="0">for UCL [0]!Summary '[46]201505'!$A$1:$F$613</definedName>
    <definedName name="for_UCL_Summary_201505" localSheetId="3">for UCL Summary '[46]201505'!$A$1:$F$613</definedName>
    <definedName name="for_UCL_Summary_201505" localSheetId="6">for UCL [47]!Summary '[46]201505'!$A$1:$F$613</definedName>
    <definedName name="for_UCL_Summary_201505" localSheetId="10">for UCL [0]!Summary '[46]201505'!$A$1:$F$613</definedName>
    <definedName name="for_UCL_Summary_201505" localSheetId="13">for UCL [47]!Summary '[46]201505'!$A$1:$F$613</definedName>
    <definedName name="for_UCL_Summary_201505" localSheetId="17">for UCL [47]!Summary '[46]201505'!$A$1:$F$613</definedName>
    <definedName name="for_UCL_Summary_201505" localSheetId="20">for UCL [47]!Summary '[46]201505'!$A$1:$F$613</definedName>
    <definedName name="for_UCL_Summary_201505">for UCL Summary '[46]201505'!$A$1:$F$613</definedName>
    <definedName name="FORDOWNLOAD" localSheetId="1">#REF!</definedName>
    <definedName name="FORDOWNLOAD" localSheetId="0">#REF!</definedName>
    <definedName name="FORDOWNLOAD" localSheetId="3">#REF!</definedName>
    <definedName name="FORDOWNLOAD" localSheetId="6">#REF!</definedName>
    <definedName name="FORDOWNLOAD" localSheetId="10">#REF!</definedName>
    <definedName name="FORDOWNLOAD" localSheetId="13">#REF!</definedName>
    <definedName name="FORDOWNLOAD" localSheetId="17">#REF!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[48]Sheet1!$G:$H</definedName>
    <definedName name="FYB_Date">'[49]backup tabs to right'!$D$5</definedName>
    <definedName name="FYE_Date">'[49]backup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'[50]User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[51]BOC!$E$2:$F$13</definedName>
    <definedName name="H_Audit" localSheetId="1">Paid [17]Lag!$A$3:$AN$57</definedName>
    <definedName name="H_Audit" localSheetId="7">Paid [17]Lag!$A$3:$AN$57</definedName>
    <definedName name="H_Audit" localSheetId="0">Paid [17]Lag!$A$3:$AN$57</definedName>
    <definedName name="H_Audit" localSheetId="3">Paid [17]Lag!$A$3:$AN$57</definedName>
    <definedName name="H_Audit" localSheetId="6">Paid [17]Lag!$A$3:$AN$57</definedName>
    <definedName name="H_Audit" localSheetId="10">Paid [17]Lag!$A$3:$AN$57</definedName>
    <definedName name="H_Audit" localSheetId="13">Paid [17]Lag!$A$3:$AN$57</definedName>
    <definedName name="H_Audit" localSheetId="17">Paid [17]Lag!$A$3:$AN$57</definedName>
    <definedName name="H_Audit" localSheetId="20">Paid [17]Lag!$A$3:$AN$57</definedName>
    <definedName name="H_Audit">Paid [17]Lag!$A$3:$AN$57</definedName>
    <definedName name="H_Cum_PL" localSheetId="1">Paid [17]Lag!$A$68:$U$132</definedName>
    <definedName name="H_Cum_PL" localSheetId="7">Paid [17]Lag!$A$68:$U$132</definedName>
    <definedName name="H_Cum_PL" localSheetId="0">Paid [17]Lag!$A$68:$U$132</definedName>
    <definedName name="H_Cum_PL" localSheetId="3">Paid [17]Lag!$A$68:$U$132</definedName>
    <definedName name="H_Cum_PL" localSheetId="6">Paid [17]Lag!$A$68:$U$132</definedName>
    <definedName name="H_Cum_PL" localSheetId="10">Paid [17]Lag!$A$68:$U$132</definedName>
    <definedName name="H_Cum_PL" localSheetId="13">Paid [17]Lag!$A$68:$U$132</definedName>
    <definedName name="H_Cum_PL" localSheetId="17">Paid [17]Lag!$A$68:$U$132</definedName>
    <definedName name="H_Cum_PL" localSheetId="20">Paid [17]Lag!$A$68:$U$132</definedName>
    <definedName name="H_Cum_PL">Paid [17]Lag!$A$68:$U$132</definedName>
    <definedName name="H_Cum_RL" localSheetId="1">Receipt [17]Lag!$A$53:$O$127</definedName>
    <definedName name="H_Cum_RL" localSheetId="7">Receipt [17]Lag!$A$53:$O$127</definedName>
    <definedName name="H_Cum_RL" localSheetId="0">Receipt [17]Lag!$A$53:$O$127</definedName>
    <definedName name="H_Cum_RL" localSheetId="3">Receipt [17]Lag!$A$53:$O$127</definedName>
    <definedName name="H_Cum_RL" localSheetId="6">Receipt [17]Lag!$A$53:$O$127</definedName>
    <definedName name="H_Cum_RL" localSheetId="10">Receipt [17]Lag!$A$53:$O$127</definedName>
    <definedName name="H_Cum_RL" localSheetId="13">Receipt [17]Lag!$A$53:$O$127</definedName>
    <definedName name="H_Cum_RL" localSheetId="17">Receipt [17]Lag!$A$53:$O$127</definedName>
    <definedName name="H_Cum_RL" localSheetId="20">Receipt [17]Lag!$A$53:$O$127</definedName>
    <definedName name="H_Cum_RL">Receipt [17]Lag!$A$53:$O$127</definedName>
    <definedName name="H_DIFF" localSheetId="1">CURR MO - PREV [52]MO!$A$1048528:$AI$1048574</definedName>
    <definedName name="H_DIFF" localSheetId="7">CURR MO - PREV [52]MO!$A$1048528:$AI$1048574</definedName>
    <definedName name="H_DIFF" localSheetId="0">CURR MO - PREV [52]MO!$A$1048528:$AI$1048574</definedName>
    <definedName name="H_DIFF" localSheetId="3">CURR MO - PREV [52]MO!$A$1048528:$AI$1048574</definedName>
    <definedName name="H_DIFF" localSheetId="6">CURR MO - PREV [52]MO!$A$1048528:$AI$1048574</definedName>
    <definedName name="H_DIFF" localSheetId="10">CURR MO - PREV [52]MO!$A$1048528:$AI$1048574</definedName>
    <definedName name="H_DIFF" localSheetId="13">CURR MO - PREV [52]MO!$A$1048528:$AI$1048574</definedName>
    <definedName name="H_DIFF" localSheetId="17">CURR MO - PREV [52]MO!$A$1048528:$AI$1048574</definedName>
    <definedName name="H_DIFF" localSheetId="20">CURR MO - PREV [52]MO!$A$1048528:$AI$1048574</definedName>
    <definedName name="H_DIFF">CURR MO - PREV [52]MO!$A$1048528:$AI$1048574</definedName>
    <definedName name="H_Factor_PL" localSheetId="1">Paid [17]Lag!$A$134:$U$204</definedName>
    <definedName name="H_Factor_PL" localSheetId="7">Paid [17]Lag!$A$134:$U$204</definedName>
    <definedName name="H_Factor_PL" localSheetId="0">Paid [17]Lag!$A$134:$U$204</definedName>
    <definedName name="H_Factor_PL" localSheetId="3">Paid [17]Lag!$A$134:$U$204</definedName>
    <definedName name="H_Factor_PL" localSheetId="6">Paid [17]Lag!$A$134:$U$204</definedName>
    <definedName name="H_Factor_PL" localSheetId="10">Paid [17]Lag!$A$134:$U$204</definedName>
    <definedName name="H_Factor_PL" localSheetId="13">Paid [17]Lag!$A$134:$U$204</definedName>
    <definedName name="H_Factor_PL" localSheetId="17">Paid [17]Lag!$A$134:$U$204</definedName>
    <definedName name="H_Factor_PL" localSheetId="20">Paid [17]Lag!$A$134:$U$204</definedName>
    <definedName name="H_Factor_PL">Paid [17]Lag!$A$134:$U$204</definedName>
    <definedName name="H_Factor_RL" localSheetId="1">Receipt [17]Lag!$A$129:$S$188</definedName>
    <definedName name="H_Factor_RL" localSheetId="7">Receipt [17]Lag!$A$129:$S$188</definedName>
    <definedName name="H_Factor_RL" localSheetId="0">Receipt [17]Lag!$A$129:$S$188</definedName>
    <definedName name="H_Factor_RL" localSheetId="3">Receipt [17]Lag!$A$129:$S$188</definedName>
    <definedName name="H_Factor_RL" localSheetId="6">Receipt [17]Lag!$A$129:$S$188</definedName>
    <definedName name="H_Factor_RL" localSheetId="10">Receipt [17]Lag!$A$129:$S$188</definedName>
    <definedName name="H_Factor_RL" localSheetId="13">Receipt [17]Lag!$A$129:$S$188</definedName>
    <definedName name="H_Factor_RL" localSheetId="17">Receipt [17]Lag!$A$129:$S$188</definedName>
    <definedName name="H_Factor_RL" localSheetId="20">Receipt [17]Lag!$A$129:$S$188</definedName>
    <definedName name="H_Factor_RL">Receipt [17]Lag!$A$129:$S$188</definedName>
    <definedName name="H_Incremental_PL" localSheetId="1">Paid [17]Lag!$A$3:$U$65</definedName>
    <definedName name="H_Incremental_PL" localSheetId="7">Paid [17]Lag!$A$3:$U$65</definedName>
    <definedName name="H_Incremental_PL" localSheetId="0">Paid [17]Lag!$A$3:$U$65</definedName>
    <definedName name="H_Incremental_PL" localSheetId="3">Paid [17]Lag!$A$3:$U$65</definedName>
    <definedName name="H_Incremental_PL" localSheetId="6">Paid [17]Lag!$A$3:$U$65</definedName>
    <definedName name="H_Incremental_PL" localSheetId="10">Paid [17]Lag!$A$3:$U$65</definedName>
    <definedName name="H_Incremental_PL" localSheetId="13">Paid [17]Lag!$A$3:$U$65</definedName>
    <definedName name="H_Incremental_PL" localSheetId="17">Paid [17]Lag!$A$3:$U$65</definedName>
    <definedName name="H_Incremental_PL" localSheetId="20">Paid [17]Lag!$A$3:$U$65</definedName>
    <definedName name="H_Incremental_PL">Paid [17]Lag!$A$3:$U$65</definedName>
    <definedName name="H_Incremental_RL" localSheetId="1">Receipt [17]Lag!$A$3:$S$50</definedName>
    <definedName name="H_Incremental_RL" localSheetId="7">Receipt [17]Lag!$A$3:$S$50</definedName>
    <definedName name="H_Incremental_RL" localSheetId="0">Receipt [17]Lag!$A$3:$S$50</definedName>
    <definedName name="H_Incremental_RL" localSheetId="3">Receipt [17]Lag!$A$3:$S$50</definedName>
    <definedName name="H_Incremental_RL" localSheetId="6">Receipt [17]Lag!$A$3:$S$50</definedName>
    <definedName name="H_Incremental_RL" localSheetId="10">Receipt [17]Lag!$A$3:$S$50</definedName>
    <definedName name="H_Incremental_RL" localSheetId="13">Receipt [17]Lag!$A$3:$S$50</definedName>
    <definedName name="H_Incremental_RL" localSheetId="17">Receipt [17]Lag!$A$3:$S$50</definedName>
    <definedName name="H_Incremental_RL" localSheetId="20">Receipt [17]Lag!$A$3:$S$50</definedName>
    <definedName name="H_Incremental_RL">Receipt [17]Lag!$A$3:$S$50</definedName>
    <definedName name="H_Projection_PL" localSheetId="1">Paid [17]Lag!$A$216:$R$287</definedName>
    <definedName name="H_Projection_PL" localSheetId="7">Paid [17]Lag!$A$216:$R$287</definedName>
    <definedName name="H_Projection_PL" localSheetId="0">Paid [17]Lag!$A$216:$R$287</definedName>
    <definedName name="H_Projection_PL" localSheetId="3">Paid [17]Lag!$A$216:$R$287</definedName>
    <definedName name="H_Projection_PL" localSheetId="6">Paid [17]Lag!$A$216:$R$287</definedName>
    <definedName name="H_Projection_PL" localSheetId="10">Paid [17]Lag!$A$216:$R$287</definedName>
    <definedName name="H_Projection_PL" localSheetId="13">Paid [17]Lag!$A$216:$R$287</definedName>
    <definedName name="H_Projection_PL" localSheetId="17">Paid [17]Lag!$A$216:$R$287</definedName>
    <definedName name="H_Projection_PL" localSheetId="20">Paid [17]Lag!$A$216:$R$287</definedName>
    <definedName name="H_Projection_PL">Paid [17]Lag!$A$216:$R$287</definedName>
    <definedName name="H_Projection_RL" localSheetId="1">Receipt [17]Lag!$A$200:$R$262</definedName>
    <definedName name="H_Projection_RL" localSheetId="7">Receipt [17]Lag!$A$200:$R$262</definedName>
    <definedName name="H_Projection_RL" localSheetId="0">Receipt [17]Lag!$A$200:$R$262</definedName>
    <definedName name="H_Projection_RL" localSheetId="3">Receipt [17]Lag!$A$200:$R$262</definedName>
    <definedName name="H_Projection_RL" localSheetId="6">Receipt [17]Lag!$A$200:$R$262</definedName>
    <definedName name="H_Projection_RL" localSheetId="10">Receipt [17]Lag!$A$200:$R$262</definedName>
    <definedName name="H_Projection_RL" localSheetId="13">Receipt [17]Lag!$A$200:$R$262</definedName>
    <definedName name="H_Projection_RL" localSheetId="17">Receipt [17]Lag!$A$200:$R$262</definedName>
    <definedName name="H_Projection_RL" localSheetId="20">Receipt [17]Lag!$A$200:$R$262</definedName>
    <definedName name="H_Projection_RL">Receipt [17]Lag!$A$200:$R$262</definedName>
    <definedName name="hcitotc" localSheetId="1">#REF!</definedName>
    <definedName name="hcitotc" localSheetId="0">#REF!</definedName>
    <definedName name="hcitotc" localSheetId="3">#REF!</definedName>
    <definedName name="hcitotc" localSheetId="6">#REF!</definedName>
    <definedName name="hcitotc" localSheetId="10">#REF!</definedName>
    <definedName name="hcitotc" localSheetId="13">#REF!</definedName>
    <definedName name="hcitotc" localSheetId="17">#REF!</definedName>
    <definedName name="hcitotc">#REF!</definedName>
    <definedName name="hcitotc3" localSheetId="1">#REF!</definedName>
    <definedName name="hcitotc3" localSheetId="0">#REF!</definedName>
    <definedName name="hcitotc3" localSheetId="3">#REF!</definedName>
    <definedName name="hcitotc3" localSheetId="6">#REF!</definedName>
    <definedName name="hcitotc3" localSheetId="10">#REF!</definedName>
    <definedName name="hcitotc3" localSheetId="13">#REF!</definedName>
    <definedName name="hcitotc3" localSheetId="17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[53]Controls!$C$5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[54]Title!$A$1</definedName>
    <definedName name="IP_FINAL">#REF!</definedName>
    <definedName name="IP_SUMM">[55]IP_SUMM!#REF!</definedName>
    <definedName name="IPIntensity">[53]Controls!$C$200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[56]Key!$B$236:$B$238</definedName>
    <definedName name="IS_THE_SEPARATE_DENTAL_OOPM_EMBEDDED_OR_NON_EMBEDDED">[56]Key!$B$241:$B$243</definedName>
    <definedName name="IS_THE_SEPARATE_RX_DED_EMBEDDED_OR_NON_EMBEDDED">[56]Key!$B$226:$B$228</definedName>
    <definedName name="IS_THE_SEPARATE_RX_OOPM_EMBEDDED_OR_NON_EMBEDDED">[56]Key!$B$231:$B$233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[57]LabCapSavings!$A$10:$C$19</definedName>
    <definedName name="LABEL">[58]Combine!$A$8</definedName>
    <definedName name="lagdump">#REF!</definedName>
    <definedName name="Lang">[59]Instructions!$Q$2</definedName>
    <definedName name="last">[60]Detail!#REF!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[61]BOC!$E$2:$F$13</definedName>
    <definedName name="M_Audit" localSheetId="1">Paid [17]Lag!$A$302:$AN$356</definedName>
    <definedName name="M_Audit" localSheetId="7">Paid [17]Lag!$A$302:$AN$356</definedName>
    <definedName name="M_Audit" localSheetId="0">Paid [17]Lag!$A$302:$AN$356</definedName>
    <definedName name="M_Audit" localSheetId="3">Paid [17]Lag!$A$302:$AN$356</definedName>
    <definedName name="M_Audit" localSheetId="6">Paid [17]Lag!$A$302:$AN$356</definedName>
    <definedName name="M_Audit" localSheetId="10">Paid [17]Lag!$A$302:$AN$356</definedName>
    <definedName name="M_Audit" localSheetId="13">Paid [17]Lag!$A$302:$AN$356</definedName>
    <definedName name="M_Audit" localSheetId="17">Paid [17]Lag!$A$302:$AN$356</definedName>
    <definedName name="M_Audit" localSheetId="20">Paid [17]Lag!$A$302:$AN$356</definedName>
    <definedName name="M_Audit">Paid [17]Lag!$A$302:$AN$356</definedName>
    <definedName name="M_DIFF" localSheetId="1">CURR MO - PREV [52]MO!$A$58:$AI$112</definedName>
    <definedName name="M_DIFF" localSheetId="7">CURR MO - PREV [52]MO!$A$58:$AI$112</definedName>
    <definedName name="M_DIFF" localSheetId="0">CURR MO - PREV [52]MO!$A$58:$AI$112</definedName>
    <definedName name="M_DIFF" localSheetId="3">CURR MO - PREV [52]MO!$A$58:$AI$112</definedName>
    <definedName name="M_DIFF" localSheetId="6">CURR MO - PREV [52]MO!$A$58:$AI$112</definedName>
    <definedName name="M_DIFF" localSheetId="10">CURR MO - PREV [52]MO!$A$58:$AI$112</definedName>
    <definedName name="M_DIFF" localSheetId="13">CURR MO - PREV [52]MO!$A$58:$AI$112</definedName>
    <definedName name="M_DIFF" localSheetId="17">CURR MO - PREV [52]MO!$A$58:$AI$112</definedName>
    <definedName name="M_DIFF" localSheetId="20">CURR MO - PREV [52]MO!$A$58:$AI$112</definedName>
    <definedName name="M_DIFF">CURR MO - PREV [52]MO!$A$58:$AI$112</definedName>
    <definedName name="M1A" localSheetId="1">#REF!</definedName>
    <definedName name="M1A" localSheetId="0">#REF!</definedName>
    <definedName name="M1A" localSheetId="3">#REF!</definedName>
    <definedName name="M1A" localSheetId="6">#REF!</definedName>
    <definedName name="M1A" localSheetId="10">#REF!</definedName>
    <definedName name="M1A" localSheetId="13">#REF!</definedName>
    <definedName name="M1A" localSheetId="17">#REF!</definedName>
    <definedName name="M1A">#REF!</definedName>
    <definedName name="MA_EPO_CH" localSheetId="1">#REF!</definedName>
    <definedName name="MA_EPO_CH" localSheetId="0">#REF!</definedName>
    <definedName name="MA_EPO_CH" localSheetId="3">#REF!</definedName>
    <definedName name="MA_EPO_CH" localSheetId="6">#REF!</definedName>
    <definedName name="MA_EPO_CH" localSheetId="10">#REF!</definedName>
    <definedName name="MA_EPO_CH" localSheetId="13">#REF!</definedName>
    <definedName name="MA_EPO_CH" localSheetId="17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[55]MM!$T$2:$U$781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1">Paid [17]Lag!$A$366:$U$430</definedName>
    <definedName name="MD_Cum_PL" localSheetId="7">Paid [17]Lag!$A$366:$U$430</definedName>
    <definedName name="MD_Cum_PL" localSheetId="0">Paid [17]Lag!$A$366:$U$430</definedName>
    <definedName name="MD_Cum_PL" localSheetId="3">Paid [17]Lag!$A$366:$U$430</definedName>
    <definedName name="MD_Cum_PL" localSheetId="6">Paid [17]Lag!$A$366:$U$430</definedName>
    <definedName name="MD_Cum_PL" localSheetId="10">Paid [17]Lag!$A$366:$U$430</definedName>
    <definedName name="MD_Cum_PL" localSheetId="13">Paid [17]Lag!$A$366:$U$430</definedName>
    <definedName name="MD_Cum_PL" localSheetId="17">Paid [17]Lag!$A$366:$U$430</definedName>
    <definedName name="MD_Cum_PL" localSheetId="20">Paid [17]Lag!$A$366:$U$430</definedName>
    <definedName name="MD_Cum_PL">Paid [17]Lag!$A$366:$U$430</definedName>
    <definedName name="MD_Cum_RL" localSheetId="1">Receipt [17]Lag!$A$324:$O$394</definedName>
    <definedName name="MD_Cum_RL" localSheetId="7">Receipt [17]Lag!$A$324:$O$394</definedName>
    <definedName name="MD_Cum_RL" localSheetId="0">Receipt [17]Lag!$A$324:$O$394</definedName>
    <definedName name="MD_Cum_RL" localSheetId="3">Receipt [17]Lag!$A$324:$O$394</definedName>
    <definedName name="MD_Cum_RL" localSheetId="6">Receipt [17]Lag!$A$324:$O$394</definedName>
    <definedName name="MD_Cum_RL" localSheetId="10">Receipt [17]Lag!$A$324:$O$394</definedName>
    <definedName name="MD_Cum_RL" localSheetId="13">Receipt [17]Lag!$A$324:$O$394</definedName>
    <definedName name="MD_Cum_RL" localSheetId="17">Receipt [17]Lag!$A$324:$O$394</definedName>
    <definedName name="MD_Cum_RL" localSheetId="20">Receipt [17]Lag!$A$324:$O$394</definedName>
    <definedName name="MD_Cum_RL">Receipt [17]Lag!$A$324:$O$394</definedName>
    <definedName name="MD_Factor_PL" localSheetId="1">Paid [17]Lag!$A$434:$U$504</definedName>
    <definedName name="MD_Factor_PL" localSheetId="7">Paid [17]Lag!$A$434:$U$504</definedName>
    <definedName name="MD_Factor_PL" localSheetId="0">Paid [17]Lag!$A$434:$U$504</definedName>
    <definedName name="MD_Factor_PL" localSheetId="3">Paid [17]Lag!$A$434:$U$504</definedName>
    <definedName name="MD_Factor_PL" localSheetId="6">Paid [17]Lag!$A$434:$U$504</definedName>
    <definedName name="MD_Factor_PL" localSheetId="10">Paid [17]Lag!$A$434:$U$504</definedName>
    <definedName name="MD_Factor_PL" localSheetId="13">Paid [17]Lag!$A$434:$U$504</definedName>
    <definedName name="MD_Factor_PL" localSheetId="17">Paid [17]Lag!$A$434:$U$504</definedName>
    <definedName name="MD_Factor_PL" localSheetId="20">Paid [17]Lag!$A$434:$U$504</definedName>
    <definedName name="MD_Factor_PL">Paid [17]Lag!$A$434:$U$504</definedName>
    <definedName name="MD_Factor_RL" localSheetId="1">Receipt [17]Lag!$A$399:$S$458</definedName>
    <definedName name="MD_Factor_RL" localSheetId="7">Receipt [17]Lag!$A$399:$S$458</definedName>
    <definedName name="MD_Factor_RL" localSheetId="0">Receipt [17]Lag!$A$399:$S$458</definedName>
    <definedName name="MD_Factor_RL" localSheetId="3">Receipt [17]Lag!$A$399:$S$458</definedName>
    <definedName name="MD_Factor_RL" localSheetId="6">Receipt [17]Lag!$A$399:$S$458</definedName>
    <definedName name="MD_Factor_RL" localSheetId="10">Receipt [17]Lag!$A$399:$S$458</definedName>
    <definedName name="MD_Factor_RL" localSheetId="13">Receipt [17]Lag!$A$399:$S$458</definedName>
    <definedName name="MD_Factor_RL" localSheetId="17">Receipt [17]Lag!$A$399:$S$458</definedName>
    <definedName name="MD_Factor_RL" localSheetId="20">Receipt [17]Lag!$A$399:$S$458</definedName>
    <definedName name="MD_Factor_RL">Receipt [17]Lag!$A$399:$S$458</definedName>
    <definedName name="MD_Incr_PL" localSheetId="1">Paid [17]Lag!$A$302:$U$362</definedName>
    <definedName name="MD_Incr_PL" localSheetId="7">Paid [17]Lag!$A$302:$U$362</definedName>
    <definedName name="MD_Incr_PL" localSheetId="0">Paid [17]Lag!$A$302:$U$362</definedName>
    <definedName name="MD_Incr_PL" localSheetId="3">Paid [17]Lag!$A$302:$U$362</definedName>
    <definedName name="MD_Incr_PL" localSheetId="6">Paid [17]Lag!$A$302:$U$362</definedName>
    <definedName name="MD_Incr_PL" localSheetId="10">Paid [17]Lag!$A$302:$U$362</definedName>
    <definedName name="MD_Incr_PL" localSheetId="13">Paid [17]Lag!$A$302:$U$362</definedName>
    <definedName name="MD_Incr_PL" localSheetId="17">Paid [17]Lag!$A$302:$U$362</definedName>
    <definedName name="MD_Incr_PL" localSheetId="20">Paid [17]Lag!$A$302:$U$362</definedName>
    <definedName name="MD_Incr_PL">Paid [17]Lag!$A$302:$U$362</definedName>
    <definedName name="MD_Incremental_RL" localSheetId="1">#REF!</definedName>
    <definedName name="MD_Incremental_RL" localSheetId="0">#REF!</definedName>
    <definedName name="MD_Incremental_RL" localSheetId="3">#REF!</definedName>
    <definedName name="MD_Incremental_RL" localSheetId="6">#REF!</definedName>
    <definedName name="MD_Incremental_RL" localSheetId="10">#REF!</definedName>
    <definedName name="MD_Incremental_RL" localSheetId="13">#REF!</definedName>
    <definedName name="MD_Incremental_RL" localSheetId="17">#REF!</definedName>
    <definedName name="MD_Incremental_RL">#REF!</definedName>
    <definedName name="MD_Projection_PL" localSheetId="1">Paid [17]Lag!$A$516:$R$587</definedName>
    <definedName name="MD_Projection_PL" localSheetId="7">Paid [17]Lag!$A$516:$R$587</definedName>
    <definedName name="MD_Projection_PL" localSheetId="0">Paid [17]Lag!$A$516:$R$587</definedName>
    <definedName name="MD_Projection_PL" localSheetId="3">Paid [17]Lag!$A$516:$R$587</definedName>
    <definedName name="MD_Projection_PL" localSheetId="6">Paid [17]Lag!$A$516:$R$587</definedName>
    <definedName name="MD_Projection_PL" localSheetId="10">Paid [17]Lag!$A$516:$R$587</definedName>
    <definedName name="MD_Projection_PL" localSheetId="13">Paid [17]Lag!$A$516:$R$587</definedName>
    <definedName name="MD_Projection_PL" localSheetId="17">Paid [17]Lag!$A$516:$R$587</definedName>
    <definedName name="MD_Projection_PL" localSheetId="20">Paid [17]Lag!$A$516:$R$587</definedName>
    <definedName name="MD_Projection_PL">Paid [17]Lag!$A$516:$R$587</definedName>
    <definedName name="MD_Projection_RL" localSheetId="1">Receipt [17]Lag!$A$470:$R$532</definedName>
    <definedName name="MD_Projection_RL" localSheetId="7">Receipt [17]Lag!$A$470:$R$532</definedName>
    <definedName name="MD_Projection_RL" localSheetId="0">Receipt [17]Lag!$A$470:$R$532</definedName>
    <definedName name="MD_Projection_RL" localSheetId="3">Receipt [17]Lag!$A$470:$R$532</definedName>
    <definedName name="MD_Projection_RL" localSheetId="6">Receipt [17]Lag!$A$470:$R$532</definedName>
    <definedName name="MD_Projection_RL" localSheetId="10">Receipt [17]Lag!$A$470:$R$532</definedName>
    <definedName name="MD_Projection_RL" localSheetId="13">Receipt [17]Lag!$A$470:$R$532</definedName>
    <definedName name="MD_Projection_RL" localSheetId="17">Receipt [17]Lag!$A$470:$R$532</definedName>
    <definedName name="MD_Projection_RL" localSheetId="20">Receipt [17]Lag!$A$470:$R$532</definedName>
    <definedName name="MD_Projection_RL">Receipt [17]Lag!$A$470:$R$532</definedName>
    <definedName name="MDFLAG">[62]Sheet1!$A$2:$C$92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 localSheetId="8">[63]Calc!$G$16:$G$19</definedName>
    <definedName name="Methods" localSheetId="9">[63]Calc!$G$16:$G$19</definedName>
    <definedName name="Methods">[64]Calc!$G$16:$G$19</definedName>
    <definedName name="MI2017_1" localSheetId="1">#REF!</definedName>
    <definedName name="MI2017_1" localSheetId="0">#REF!</definedName>
    <definedName name="MI2017_1" localSheetId="3">#REF!</definedName>
    <definedName name="MI2017_1" localSheetId="6">#REF!</definedName>
    <definedName name="MI2017_1" localSheetId="10">#REF!</definedName>
    <definedName name="MI2017_1" localSheetId="13">#REF!</definedName>
    <definedName name="MI2017_1" localSheetId="17">#REF!</definedName>
    <definedName name="MI2017_1" localSheetId="8">#REF!</definedName>
    <definedName name="MI2017_1" localSheetId="9">#REF!</definedName>
    <definedName name="MI2017_1">#REF!</definedName>
    <definedName name="MI2017_2" localSheetId="1">#REF!</definedName>
    <definedName name="MI2017_2" localSheetId="0">#REF!</definedName>
    <definedName name="MI2017_2" localSheetId="3">#REF!</definedName>
    <definedName name="MI2017_2" localSheetId="6">#REF!</definedName>
    <definedName name="MI2017_2" localSheetId="10">#REF!</definedName>
    <definedName name="MI2017_2" localSheetId="13">#REF!</definedName>
    <definedName name="MI2017_2" localSheetId="17">#REF!</definedName>
    <definedName name="MI2017_2" localSheetId="8">#REF!</definedName>
    <definedName name="MI2017_2" localSheetId="9">#REF!</definedName>
    <definedName name="MI2017_2">#REF!</definedName>
    <definedName name="MM" localSheetId="1">#REF!</definedName>
    <definedName name="MM" localSheetId="0">#REF!</definedName>
    <definedName name="MM" localSheetId="3">#REF!</definedName>
    <definedName name="MM" localSheetId="6">#REF!</definedName>
    <definedName name="MM" localSheetId="10">#REF!</definedName>
    <definedName name="MM" localSheetId="13">#REF!</definedName>
    <definedName name="MM" localSheetId="17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 localSheetId="1">Paid [17]Lag!$B$4</definedName>
    <definedName name="ModelName" localSheetId="7">Paid [17]Lag!$B$4</definedName>
    <definedName name="ModelName" localSheetId="0">Paid [17]Lag!$B$4</definedName>
    <definedName name="ModelName" localSheetId="3">Paid [17]Lag!$B$4</definedName>
    <definedName name="ModelName" localSheetId="6">Paid [17]Lag!$B$4</definedName>
    <definedName name="ModelName" localSheetId="10">Paid [17]Lag!$B$4</definedName>
    <definedName name="ModelName" localSheetId="13">Paid [17]Lag!$B$4</definedName>
    <definedName name="ModelName" localSheetId="17">Paid [17]Lag!$B$4</definedName>
    <definedName name="ModelName" localSheetId="20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[61]BOC!$B$2:$C$37</definedName>
    <definedName name="name1">[65]support!$AP$85:$AS$85,[65]support!$AW$85:$AZ$85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'[66]Drop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[67]Sheet1!$C$1:$C$65536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[60]Detail!#REF!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LE_LINK1" localSheetId="17">'Q6'!#REF!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[55]OP_SUMM2!#REF!</definedName>
    <definedName name="OP_SUMMARY" localSheetId="1">#REF!</definedName>
    <definedName name="OP_SUMMARY" localSheetId="0">#REF!</definedName>
    <definedName name="OP_SUMMARY" localSheetId="3">#REF!</definedName>
    <definedName name="OP_SUMMARY" localSheetId="6">#REF!</definedName>
    <definedName name="OP_SUMMARY" localSheetId="10">#REF!</definedName>
    <definedName name="OP_SUMMARY" localSheetId="13">#REF!</definedName>
    <definedName name="OP_SUMMARY" localSheetId="17">#REF!</definedName>
    <definedName name="OP_SUMMARY">#REF!</definedName>
    <definedName name="Op_svcflg_test" localSheetId="1">#REF!</definedName>
    <definedName name="Op_svcflg_test" localSheetId="0">#REF!</definedName>
    <definedName name="Op_svcflg_test" localSheetId="3">#REF!</definedName>
    <definedName name="Op_svcflg_test" localSheetId="6">#REF!</definedName>
    <definedName name="Op_svcflg_test" localSheetId="10">#REF!</definedName>
    <definedName name="Op_svcflg_test" localSheetId="13">#REF!</definedName>
    <definedName name="Op_svcflg_test" localSheetId="17">#REF!</definedName>
    <definedName name="Op_svcflg_test">#REF!</definedName>
    <definedName name="OPLYear" localSheetId="1">#REF!</definedName>
    <definedName name="OPLYear" localSheetId="0">#REF!</definedName>
    <definedName name="OPLYear" localSheetId="3">#REF!</definedName>
    <definedName name="OPLYear" localSheetId="6">#REF!</definedName>
    <definedName name="OPLYear" localSheetId="10">#REF!</definedName>
    <definedName name="OPLYear" localSheetId="13">#REF!</definedName>
    <definedName name="OPLYear" localSheetId="17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[68]CBUDGET!$A$5:$F$1254</definedName>
    <definedName name="PGH">'[10]Worksheet D:Worksheet H'!$B$1:$BY$32</definedName>
    <definedName name="PGI">'[10]Worksheet D:Worksheet I'!$B$1:$CK$24</definedName>
    <definedName name="PHYS_SUMM">[55]PHYS_SUMM!#REF!</definedName>
    <definedName name="PhysReimbDiscount">[13]Controls!$C$194</definedName>
    <definedName name="PhysReimbPercentile">[13]Controls!$C$196</definedName>
    <definedName name="PhysReimbRBRVS">[69]Controls!$C$195</definedName>
    <definedName name="PHYSREPRICE07" localSheetId="1">#REF!</definedName>
    <definedName name="PHYSREPRICE07" localSheetId="0">#REF!</definedName>
    <definedName name="PHYSREPRICE07" localSheetId="3">#REF!</definedName>
    <definedName name="PHYSREPRICE07" localSheetId="6">#REF!</definedName>
    <definedName name="PHYSREPRICE07" localSheetId="10">#REF!</definedName>
    <definedName name="PHYSREPRICE07" localSheetId="13">#REF!</definedName>
    <definedName name="PHYSREPRICE07" localSheetId="17">#REF!</definedName>
    <definedName name="PHYSREPRICE07">#REF!</definedName>
    <definedName name="PIPA" localSheetId="1">#REF!</definedName>
    <definedName name="PIPA" localSheetId="0">#REF!</definedName>
    <definedName name="PIPA" localSheetId="3">#REF!</definedName>
    <definedName name="PIPA" localSheetId="6">#REF!</definedName>
    <definedName name="PIPA" localSheetId="10">#REF!</definedName>
    <definedName name="PIPA" localSheetId="13">#REF!</definedName>
    <definedName name="PIPA" localSheetId="17">#REF!</definedName>
    <definedName name="PIPA">#REF!</definedName>
    <definedName name="Plan_Flag" localSheetId="1">#REF!</definedName>
    <definedName name="Plan_Flag" localSheetId="0">#REF!</definedName>
    <definedName name="Plan_Flag" localSheetId="3">#REF!</definedName>
    <definedName name="Plan_Flag" localSheetId="6">#REF!</definedName>
    <definedName name="Plan_Flag" localSheetId="10">#REF!</definedName>
    <definedName name="Plan_Flag" localSheetId="13">#REF!</definedName>
    <definedName name="Plan_Flag" localSheetId="17">#REF!</definedName>
    <definedName name="Plan_Flag">#REF!</definedName>
    <definedName name="PlanChoices">[70]Notes!$Q$9:$Q$23</definedName>
    <definedName name="PlanID3">[16]Model!$D$21</definedName>
    <definedName name="PlanID4">[16]Model!$E$21</definedName>
    <definedName name="PlanInput">'[71]Benefit Input'!$L$3</definedName>
    <definedName name="PM">[32]Data!$C$5</definedName>
    <definedName name="PMPM_analysis" localSheetId="1">PMPM [72]analysis!$A$26:$J$82</definedName>
    <definedName name="PMPM_analysis" localSheetId="7">PMPM [72]analysis!$A$26:$J$82</definedName>
    <definedName name="PMPM_analysis" localSheetId="0">PMPM [72]analysis!$A$26:$J$82</definedName>
    <definedName name="PMPM_analysis" localSheetId="3">PMPM [72]analysis!$A$26:$J$82</definedName>
    <definedName name="PMPM_analysis" localSheetId="6">PMPM [72]analysis!$A$26:$J$82</definedName>
    <definedName name="PMPM_analysis" localSheetId="10">PMPM [72]analysis!$A$26:$J$82</definedName>
    <definedName name="PMPM_analysis" localSheetId="13">PMPM [72]analysis!$A$26:$J$82</definedName>
    <definedName name="PMPM_analysis" localSheetId="17">PMPM [72]analysis!$A$26:$J$82</definedName>
    <definedName name="PMPM_analysis" localSheetId="20">PMPM [72]analysis!$A$26:$J$82</definedName>
    <definedName name="PMPM_analysis">PMPM [72]analysis!$A$26:$J$82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'[73]Pricing Input Summary'!$B:$O</definedName>
    <definedName name="_xlnm.Print_Area" localSheetId="1">UCL [74]factors!$A$1:$Q$53</definedName>
    <definedName name="_xlnm.Print_Area" localSheetId="7">UCL [74]factors!$A$1:$Q$53</definedName>
    <definedName name="_xlnm.Print_Area" localSheetId="0">UCL [74]factors!$A$1:$Q$53</definedName>
    <definedName name="_xlnm.Print_Area" localSheetId="3">UCL [74]factors!$A$1:$Q$53</definedName>
    <definedName name="_xlnm.Print_Area" localSheetId="6">UCL [74]factors!$A$1:$Q$53</definedName>
    <definedName name="_xlnm.Print_Area" localSheetId="10">UCL [74]factors!$A$1:$Q$53</definedName>
    <definedName name="_xlnm.Print_Area" localSheetId="13">UCL [74]factors!$A$1:$Q$53</definedName>
    <definedName name="_xlnm.Print_Area" localSheetId="17">UCL [74]factors!$A$1:$Q$53</definedName>
    <definedName name="_xlnm.Print_Area" localSheetId="20">UCL [74]factors!$A$1:$Q$53</definedName>
    <definedName name="_xlnm.Print_Area">UCL [74]factors!$A$1:$Q$53</definedName>
    <definedName name="Print_Area_MI" localSheetId="1">#REF!</definedName>
    <definedName name="Print_Area_MI" localSheetId="0">#REF!</definedName>
    <definedName name="Print_Area_MI" localSheetId="3">#REF!</definedName>
    <definedName name="Print_Area_MI" localSheetId="6">#REF!</definedName>
    <definedName name="Print_Area_MI" localSheetId="10">#REF!</definedName>
    <definedName name="Print_Area_MI" localSheetId="13">#REF!</definedName>
    <definedName name="Print_Area_MI" localSheetId="17">#REF!</definedName>
    <definedName name="Print_Area_MI">#REF!</definedName>
    <definedName name="Print_Titles_MI" localSheetId="1">#REF!</definedName>
    <definedName name="Print_Titles_MI" localSheetId="0">#REF!</definedName>
    <definedName name="Print_Titles_MI" localSheetId="3">#REF!</definedName>
    <definedName name="Print_Titles_MI" localSheetId="6">#REF!</definedName>
    <definedName name="Print_Titles_MI" localSheetId="10">#REF!</definedName>
    <definedName name="Print_Titles_MI" localSheetId="13">#REF!</definedName>
    <definedName name="Print_Titles_MI" localSheetId="17">#REF!</definedName>
    <definedName name="Print_Titles_MI">#REF!</definedName>
    <definedName name="print1" localSheetId="1">#REF!</definedName>
    <definedName name="print1" localSheetId="0">#REF!</definedName>
    <definedName name="print1" localSheetId="3">#REF!</definedName>
    <definedName name="print1" localSheetId="6">#REF!</definedName>
    <definedName name="print1" localSheetId="10">#REF!</definedName>
    <definedName name="print1" localSheetId="13">#REF!</definedName>
    <definedName name="print1" localSheetId="17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[75]Product!$B$4:$I$47</definedName>
    <definedName name="ProdList">[20]Inputs!$E$38:$E$40</definedName>
    <definedName name="prodtype3">[16]Model!$D$98</definedName>
    <definedName name="prodtype4">[16]Model!$E$98</definedName>
    <definedName name="product">[48]Sheet1!$A:$B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[60]Parameter!$C$13</definedName>
    <definedName name="PYTable">[76]Memo!#REF!</definedName>
    <definedName name="q">'[37]RateModel Input'!$D$14</definedName>
    <definedName name="QC_TABLE">[77]QC_Sheet!#REF!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'[66]Drop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'[78]rating segment'!$A$2:$I$13709</definedName>
    <definedName name="RBRVSFeeSched">[69]Controls!$C$198</definedName>
    <definedName name="RBRVSInputCFs">[13]Controls!$C$200</definedName>
    <definedName name="RBRVSMultiple">[13]Controls!$C$199</definedName>
    <definedName name="Recover">[79]Macro1!$A$99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'[80]Pricing Grids'!$B$58:$C$68</definedName>
    <definedName name="revsharetable4tc">'[80]Pricing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[81]Notes!$N$26</definedName>
    <definedName name="RROPP05">#REF!</definedName>
    <definedName name="rty">'[19]MH-SA'!$C$4:$AC$31</definedName>
    <definedName name="Rx">[82]BOC!$E$2:$Q$19</definedName>
    <definedName name="RxBOC">[83]BOC!$H$3:$J$52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[69]Controls!$C$195</definedName>
    <definedName name="sadf" localSheetId="1">#REF!</definedName>
    <definedName name="sadf" localSheetId="0">#REF!</definedName>
    <definedName name="sadf" localSheetId="3">#REF!</definedName>
    <definedName name="sadf" localSheetId="6">#REF!</definedName>
    <definedName name="sadf" localSheetId="10">#REF!</definedName>
    <definedName name="sadf" localSheetId="13">#REF!</definedName>
    <definedName name="sadf" localSheetId="17">#REF!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[54]Title!$A$1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[84]ERF!$AC$2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[85]Dashboard!$D$7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[86]INPUT!$E$16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'[77]Summary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[54]Title!$A$1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[54]Title!$A$1</definedName>
    <definedName name="titlea">[54]Title!$A$1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[87]PlanTemplate!$K$12:$K$15</definedName>
    <definedName name="Util_No_ADP">[87]PlanTemplate!$J$12:$J$15</definedName>
    <definedName name="Util_No_ADPB">[87]PlanTemplate!$L$12:$L$14</definedName>
    <definedName name="Util_No_PB">[87]PlanTemplate!$M$12:$M$16</definedName>
    <definedName name="util1">#REF!</definedName>
    <definedName name="util2">#REF!</definedName>
    <definedName name="ValuationDate">'[88]Part b (current plan)'!#REF!</definedName>
    <definedName name="VariableMLRs">'[40]Retention(LG)'!#REF!</definedName>
    <definedName name="Version_1">#REF!</definedName>
    <definedName name="VisionChildrenOnly">[13]Controls!$C$11</definedName>
    <definedName name="vv">[89]Parameter!$C$19</definedName>
    <definedName name="water">[90]CBUDGET!$B$5:$H$1177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localSheetId="1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0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3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6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10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13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17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1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0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3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6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10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13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17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1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0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3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6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10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13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17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localSheetId="1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0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3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6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10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13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17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localSheetId="1" hidden="1">{"Regular_1",#N/A,FALSE,"Trend Form";"Disability_1",#N/A,FALSE,"Trend Form";"Detail_1",#N/A,FALSE,"Trend Form"}</definedName>
    <definedName name="wrn.Draft_COBRA_1." localSheetId="0" hidden="1">{"Regular_1",#N/A,FALSE,"Trend Form";"Disability_1",#N/A,FALSE,"Trend Form";"Detail_1",#N/A,FALSE,"Trend Form"}</definedName>
    <definedName name="wrn.Draft_COBRA_1." localSheetId="3" hidden="1">{"Regular_1",#N/A,FALSE,"Trend Form";"Disability_1",#N/A,FALSE,"Trend Form";"Detail_1",#N/A,FALSE,"Trend Form"}</definedName>
    <definedName name="wrn.Draft_COBRA_1." localSheetId="6" hidden="1">{"Regular_1",#N/A,FALSE,"Trend Form";"Disability_1",#N/A,FALSE,"Trend Form";"Detail_1",#N/A,FALSE,"Trend Form"}</definedName>
    <definedName name="wrn.Draft_COBRA_1." localSheetId="10" hidden="1">{"Regular_1",#N/A,FALSE,"Trend Form";"Disability_1",#N/A,FALSE,"Trend Form";"Detail_1",#N/A,FALSE,"Trend Form"}</definedName>
    <definedName name="wrn.Draft_COBRA_1." localSheetId="13" hidden="1">{"Regular_1",#N/A,FALSE,"Trend Form";"Disability_1",#N/A,FALSE,"Trend Form";"Detail_1",#N/A,FALSE,"Trend Form"}</definedName>
    <definedName name="wrn.Draft_COBRA_1." localSheetId="17" hidden="1">{"Regular_1",#N/A,FALSE,"Trend Form";"Disability_1",#N/A,FALSE,"Trend Form";"Detail_1",#N/A,FALSE,"Trend Form"}</definedName>
    <definedName name="wrn.Draft_COBRA_1." hidden="1">{"Regular_1",#N/A,FALSE,"Trend Form";"Disability_1",#N/A,FALSE,"Trend Form";"Detail_1",#N/A,FALSE,"Trend Form"}</definedName>
    <definedName name="wrn.Draft_COBRA_1_2." localSheetId="1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0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3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6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10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13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17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localSheetId="1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0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6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10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1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17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localSheetId="1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0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6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10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1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17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localSheetId="1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0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3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6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10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13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17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localSheetId="1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0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6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10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1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17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localSheetId="1" hidden="1">{"Self_Summary",#N/A,FALSE,"Trend Form";"Self_Detail_1",#N/A,FALSE,"Trend Form";"Self_Detail_2",#N/A,FALSE,"Trend Form";"Self_Detail_3",#N/A,FALSE,"Trend Form"}</definedName>
    <definedName name="wrn.Draft_Self." localSheetId="0" hidden="1">{"Self_Summary",#N/A,FALSE,"Trend Form";"Self_Detail_1",#N/A,FALSE,"Trend Form";"Self_Detail_2",#N/A,FALSE,"Trend Form";"Self_Detail_3",#N/A,FALSE,"Trend Form"}</definedName>
    <definedName name="wrn.Draft_Self." localSheetId="3" hidden="1">{"Self_Summary",#N/A,FALSE,"Trend Form";"Self_Detail_1",#N/A,FALSE,"Trend Form";"Self_Detail_2",#N/A,FALSE,"Trend Form";"Self_Detail_3",#N/A,FALSE,"Trend Form"}</definedName>
    <definedName name="wrn.Draft_Self." localSheetId="6" hidden="1">{"Self_Summary",#N/A,FALSE,"Trend Form";"Self_Detail_1",#N/A,FALSE,"Trend Form";"Self_Detail_2",#N/A,FALSE,"Trend Form";"Self_Detail_3",#N/A,FALSE,"Trend Form"}</definedName>
    <definedName name="wrn.Draft_Self." localSheetId="10" hidden="1">{"Self_Summary",#N/A,FALSE,"Trend Form";"Self_Detail_1",#N/A,FALSE,"Trend Form";"Self_Detail_2",#N/A,FALSE,"Trend Form";"Self_Detail_3",#N/A,FALSE,"Trend Form"}</definedName>
    <definedName name="wrn.Draft_Self." localSheetId="13" hidden="1">{"Self_Summary",#N/A,FALSE,"Trend Form";"Self_Detail_1",#N/A,FALSE,"Trend Form";"Self_Detail_2",#N/A,FALSE,"Trend Form";"Self_Detail_3",#N/A,FALSE,"Trend Form"}</definedName>
    <definedName name="wrn.Draft_Self." localSheetId="17" hidden="1">{"Self_Summary",#N/A,FALSE,"Trend Form";"Self_Detail_1",#N/A,FALSE,"Trend Form";"Self_Detail_2",#N/A,FALSE,"Trend Form";"Self_Detail_3",#N/A,FALSE,"Trend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localSheetId="1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0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3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6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10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13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17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localSheetId="1" hidden="1">{"rates",#N/A,FALSE,"Summary"}</definedName>
    <definedName name="wrn.rates." localSheetId="0" hidden="1">{"rates",#N/A,FALSE,"Summary"}</definedName>
    <definedName name="wrn.rates." localSheetId="3" hidden="1">{"rates",#N/A,FALSE,"Summary"}</definedName>
    <definedName name="wrn.rates." localSheetId="6" hidden="1">{"rates",#N/A,FALSE,"Summary"}</definedName>
    <definedName name="wrn.rates." localSheetId="10" hidden="1">{"rates",#N/A,FALSE,"Summary"}</definedName>
    <definedName name="wrn.rates." localSheetId="13" hidden="1">{"rates",#N/A,FALSE,"Summary"}</definedName>
    <definedName name="wrn.rates." localSheetId="17" hidden="1">{"rates",#N/A,FALSE,"Summary"}</definedName>
    <definedName name="wrn.rates." hidden="1">{"rates",#N/A,FALSE,"Summary"}</definedName>
    <definedName name="wrn.Section._.2._.Non._.Medical." localSheetId="1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0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3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6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10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13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17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localSheetId="1" hidden="1">{#N/A,#N/A,FALSE,"Sheet1";#N/A,#N/A,FALSE,"Page1";#N/A,#N/A,FALSE,"Page2"}</definedName>
    <definedName name="wrn.Summary." localSheetId="0" hidden="1">{#N/A,#N/A,FALSE,"Sheet1";#N/A,#N/A,FALSE,"Page1";#N/A,#N/A,FALSE,"Page2"}</definedName>
    <definedName name="wrn.Summary." localSheetId="3" hidden="1">{#N/A,#N/A,FALSE,"Sheet1";#N/A,#N/A,FALSE,"Page1";#N/A,#N/A,FALSE,"Page2"}</definedName>
    <definedName name="wrn.Summary." localSheetId="6" hidden="1">{#N/A,#N/A,FALSE,"Sheet1";#N/A,#N/A,FALSE,"Page1";#N/A,#N/A,FALSE,"Page2"}</definedName>
    <definedName name="wrn.Summary." localSheetId="10" hidden="1">{#N/A,#N/A,FALSE,"Sheet1";#N/A,#N/A,FALSE,"Page1";#N/A,#N/A,FALSE,"Page2"}</definedName>
    <definedName name="wrn.Summary." localSheetId="13" hidden="1">{#N/A,#N/A,FALSE,"Sheet1";#N/A,#N/A,FALSE,"Page1";#N/A,#N/A,FALSE,"Page2"}</definedName>
    <definedName name="wrn.Summary." localSheetId="17" hidden="1">{#N/A,#N/A,FALSE,"Sheet1";#N/A,#N/A,FALSE,"Page1";#N/A,#N/A,FALSE,"Page2"}</definedName>
    <definedName name="wrn.Summary." hidden="1">{#N/A,#N/A,FALSE,"Sheet1";#N/A,#N/A,FALSE,"Page1";#N/A,#N/A,FALSE,"Page2"}</definedName>
    <definedName name="ws">[91]BOC!$B$2:$Q$49</definedName>
    <definedName name="x">#REF!</definedName>
    <definedName name="xx">#REF!</definedName>
    <definedName name="xxxxx">'[92]All Hosp Data'!$A$1:$M$1000</definedName>
    <definedName name="y">[51]BOC!$B$2:$C$35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7" i="66" l="1"/>
  <c r="G27" i="66"/>
  <c r="C27" i="66"/>
  <c r="C25" i="99" l="1"/>
  <c r="C26" i="99"/>
  <c r="D26" i="99"/>
  <c r="C27" i="99"/>
  <c r="D27" i="99"/>
  <c r="E27" i="99"/>
  <c r="C28" i="99"/>
  <c r="D28" i="99"/>
  <c r="E28" i="99"/>
  <c r="F28" i="99"/>
  <c r="C29" i="99"/>
  <c r="D29" i="99"/>
  <c r="E29" i="99"/>
  <c r="F29" i="99"/>
  <c r="G29" i="99"/>
  <c r="D30" i="99"/>
  <c r="E30" i="99"/>
  <c r="F30" i="99"/>
  <c r="G30" i="99"/>
  <c r="H30" i="99"/>
  <c r="E31" i="99"/>
  <c r="F31" i="99"/>
  <c r="G31" i="99"/>
  <c r="H31" i="99"/>
  <c r="I31" i="99"/>
  <c r="F32" i="99"/>
  <c r="G32" i="99"/>
  <c r="H32" i="99"/>
  <c r="I32" i="99"/>
  <c r="J32" i="99"/>
  <c r="G33" i="99"/>
  <c r="H33" i="99"/>
  <c r="I33" i="99"/>
  <c r="J33" i="99"/>
  <c r="K33" i="99"/>
  <c r="H34" i="99"/>
  <c r="I34" i="99"/>
  <c r="J34" i="99"/>
  <c r="K34" i="99"/>
  <c r="L34" i="99"/>
  <c r="I35" i="99"/>
  <c r="J35" i="99"/>
  <c r="K35" i="99"/>
  <c r="L35" i="99"/>
  <c r="M35" i="99"/>
  <c r="J36" i="99"/>
  <c r="K36" i="99"/>
  <c r="L36" i="99"/>
  <c r="M36" i="99"/>
  <c r="N36" i="99"/>
  <c r="K37" i="99"/>
  <c r="L37" i="99"/>
  <c r="M37" i="99"/>
  <c r="N37" i="99"/>
  <c r="L38" i="99"/>
  <c r="M38" i="99"/>
  <c r="N38" i="99"/>
  <c r="M39" i="99"/>
  <c r="N39" i="99"/>
  <c r="D61" i="99" a="1"/>
  <c r="F64" i="99"/>
  <c r="F65" i="99"/>
  <c r="E4" i="91"/>
  <c r="F4" i="91" s="1"/>
  <c r="F5" i="91"/>
  <c r="B12" i="91"/>
  <c r="B13" i="91" s="1"/>
  <c r="D12" i="91"/>
  <c r="D13" i="91" s="1"/>
  <c r="F12" i="91"/>
  <c r="I12" i="91"/>
  <c r="K12" i="91"/>
  <c r="M12" i="91"/>
  <c r="O12" i="91"/>
  <c r="P12" i="91" s="1"/>
  <c r="R12" i="91"/>
  <c r="R13" i="91" s="1"/>
  <c r="T12" i="91"/>
  <c r="W12" i="91"/>
  <c r="W13" i="91" s="1"/>
  <c r="A13" i="91"/>
  <c r="A14" i="91" s="1"/>
  <c r="C13" i="91"/>
  <c r="H13" i="91"/>
  <c r="H14" i="91" s="1"/>
  <c r="K13" i="91"/>
  <c r="K14" i="91" s="1"/>
  <c r="L14" i="91" s="1"/>
  <c r="L13" i="91"/>
  <c r="N13" i="91" s="1"/>
  <c r="O13" i="91"/>
  <c r="O14" i="91" s="1"/>
  <c r="O15" i="91" s="1"/>
  <c r="V13" i="91"/>
  <c r="H15" i="91"/>
  <c r="H16" i="91" s="1"/>
  <c r="H25" i="91"/>
  <c r="H26" i="91" s="1"/>
  <c r="H27" i="91" s="1"/>
  <c r="E4" i="90"/>
  <c r="F4" i="90"/>
  <c r="F5" i="90"/>
  <c r="B12" i="90"/>
  <c r="B13" i="90" s="1"/>
  <c r="D12" i="90"/>
  <c r="F12" i="90"/>
  <c r="I12" i="90"/>
  <c r="K12" i="90"/>
  <c r="K13" i="90" s="1"/>
  <c r="M12" i="90"/>
  <c r="O12" i="90"/>
  <c r="P12" i="90" s="1"/>
  <c r="R12" i="90"/>
  <c r="T12" i="90"/>
  <c r="W12" i="90"/>
  <c r="A13" i="90"/>
  <c r="C13" i="90"/>
  <c r="D13" i="90"/>
  <c r="H13" i="90"/>
  <c r="R13" i="90"/>
  <c r="R14" i="90" s="1"/>
  <c r="S14" i="90" s="1"/>
  <c r="S13" i="90"/>
  <c r="U13" i="90" s="1"/>
  <c r="V13" i="90"/>
  <c r="W13" i="90"/>
  <c r="X13" i="90"/>
  <c r="A14" i="90"/>
  <c r="C14" i="90"/>
  <c r="V14" i="90"/>
  <c r="A15" i="90"/>
  <c r="H15" i="90"/>
  <c r="R15" i="90"/>
  <c r="S15" i="90"/>
  <c r="R16" i="90"/>
  <c r="S16" i="90"/>
  <c r="R17" i="90"/>
  <c r="R18" i="90" s="1"/>
  <c r="S17" i="90"/>
  <c r="H25" i="90"/>
  <c r="H26" i="90"/>
  <c r="H27" i="90"/>
  <c r="C46" i="99" l="1"/>
  <c r="C53" i="99" s="1"/>
  <c r="E62" i="99" s="1"/>
  <c r="F62" i="99" s="1"/>
  <c r="G62" i="99" s="1"/>
  <c r="C45" i="99"/>
  <c r="E65" i="99"/>
  <c r="G64" i="99"/>
  <c r="G65" i="99"/>
  <c r="E64" i="99"/>
  <c r="D61" i="99"/>
  <c r="F61" i="99" s="1"/>
  <c r="G61" i="99" s="1"/>
  <c r="M13" i="91"/>
  <c r="N14" i="91" s="1"/>
  <c r="O13" i="90"/>
  <c r="P13" i="91"/>
  <c r="Q14" i="91" s="1"/>
  <c r="Q13" i="91"/>
  <c r="H17" i="91"/>
  <c r="O16" i="91"/>
  <c r="S13" i="91"/>
  <c r="R14" i="91"/>
  <c r="K15" i="91"/>
  <c r="I13" i="91"/>
  <c r="I14" i="91" s="1"/>
  <c r="J13" i="91"/>
  <c r="B14" i="91"/>
  <c r="E13" i="91"/>
  <c r="D14" i="91"/>
  <c r="C14" i="91"/>
  <c r="A15" i="91"/>
  <c r="X13" i="91"/>
  <c r="V14" i="91"/>
  <c r="H28" i="91"/>
  <c r="H16" i="90"/>
  <c r="A16" i="90"/>
  <c r="C15" i="90"/>
  <c r="H28" i="90"/>
  <c r="R19" i="90"/>
  <c r="S18" i="90"/>
  <c r="H14" i="90"/>
  <c r="I13" i="90"/>
  <c r="J13" i="90"/>
  <c r="E13" i="90"/>
  <c r="D14" i="90"/>
  <c r="W14" i="90"/>
  <c r="X14" i="90"/>
  <c r="V15" i="90"/>
  <c r="L13" i="90"/>
  <c r="K14" i="90"/>
  <c r="J6" i="90"/>
  <c r="J8" i="90" s="1"/>
  <c r="B14" i="90"/>
  <c r="T13" i="90"/>
  <c r="U14" i="90" s="1"/>
  <c r="C52" i="99" l="1"/>
  <c r="E63" i="99" s="1"/>
  <c r="F63" i="99" s="1"/>
  <c r="G63" i="99" s="1"/>
  <c r="E67" i="99" s="1"/>
  <c r="J14" i="91"/>
  <c r="M14" i="91"/>
  <c r="T14" i="90"/>
  <c r="U15" i="90" s="1"/>
  <c r="Q13" i="90"/>
  <c r="P13" i="90"/>
  <c r="O14" i="90"/>
  <c r="T13" i="91"/>
  <c r="U13" i="91"/>
  <c r="F13" i="91"/>
  <c r="G13" i="91"/>
  <c r="J15" i="91"/>
  <c r="I15" i="91"/>
  <c r="B15" i="91"/>
  <c r="B16" i="91" s="1"/>
  <c r="B17" i="91" s="1"/>
  <c r="B18" i="91" s="1"/>
  <c r="B19" i="91" s="1"/>
  <c r="B20" i="91" s="1"/>
  <c r="B21" i="91" s="1"/>
  <c r="B22" i="91" s="1"/>
  <c r="B23" i="91" s="1"/>
  <c r="B24" i="91" s="1"/>
  <c r="B25" i="91" s="1"/>
  <c r="B26" i="91" s="1"/>
  <c r="B27" i="91" s="1"/>
  <c r="B28" i="91" s="1"/>
  <c r="B29" i="91" s="1"/>
  <c r="B30" i="91" s="1"/>
  <c r="S14" i="91"/>
  <c r="R15" i="91"/>
  <c r="H29" i="91"/>
  <c r="W14" i="91"/>
  <c r="X14" i="91"/>
  <c r="V15" i="91"/>
  <c r="A16" i="91"/>
  <c r="C15" i="91"/>
  <c r="P14" i="91"/>
  <c r="K16" i="91"/>
  <c r="L15" i="91"/>
  <c r="O17" i="91"/>
  <c r="H18" i="91"/>
  <c r="D15" i="91"/>
  <c r="E14" i="91"/>
  <c r="D15" i="90"/>
  <c r="E14" i="90"/>
  <c r="F13" i="90"/>
  <c r="G13" i="90"/>
  <c r="I14" i="90"/>
  <c r="J14" i="90"/>
  <c r="H17" i="90"/>
  <c r="X15" i="90"/>
  <c r="W15" i="90"/>
  <c r="V16" i="90"/>
  <c r="B15" i="90"/>
  <c r="H29" i="90"/>
  <c r="R20" i="90"/>
  <c r="S19" i="90"/>
  <c r="L14" i="90"/>
  <c r="K15" i="90"/>
  <c r="M13" i="90"/>
  <c r="N13" i="90"/>
  <c r="C16" i="90"/>
  <c r="A17" i="90"/>
  <c r="T15" i="90" l="1"/>
  <c r="U16" i="90" s="1"/>
  <c r="Q14" i="90"/>
  <c r="P14" i="90"/>
  <c r="O15" i="90"/>
  <c r="L16" i="91"/>
  <c r="K17" i="91"/>
  <c r="N15" i="91"/>
  <c r="M15" i="91"/>
  <c r="P15" i="91"/>
  <c r="Q15" i="91"/>
  <c r="A17" i="91"/>
  <c r="C16" i="91"/>
  <c r="T14" i="91"/>
  <c r="U14" i="91"/>
  <c r="D16" i="91"/>
  <c r="E15" i="91"/>
  <c r="X15" i="91"/>
  <c r="W15" i="91"/>
  <c r="V16" i="91"/>
  <c r="H30" i="91"/>
  <c r="S15" i="91"/>
  <c r="R16" i="91"/>
  <c r="F14" i="91"/>
  <c r="G14" i="91"/>
  <c r="B31" i="91"/>
  <c r="H19" i="91"/>
  <c r="I16" i="91"/>
  <c r="J16" i="91"/>
  <c r="O18" i="91"/>
  <c r="K6" i="91"/>
  <c r="K8" i="91" s="1"/>
  <c r="A18" i="90"/>
  <c r="C17" i="90"/>
  <c r="F14" i="90"/>
  <c r="G14" i="90"/>
  <c r="H30" i="90"/>
  <c r="W16" i="90"/>
  <c r="V17" i="90"/>
  <c r="X16" i="90"/>
  <c r="M14" i="90"/>
  <c r="N14" i="90"/>
  <c r="E15" i="90"/>
  <c r="D16" i="90"/>
  <c r="B16" i="90"/>
  <c r="B17" i="90" s="1"/>
  <c r="B18" i="90" s="1"/>
  <c r="B19" i="90" s="1"/>
  <c r="B20" i="90" s="1"/>
  <c r="B21" i="90" s="1"/>
  <c r="B22" i="90" s="1"/>
  <c r="B23" i="90" s="1"/>
  <c r="B24" i="90" s="1"/>
  <c r="B25" i="90" s="1"/>
  <c r="B26" i="90" s="1"/>
  <c r="B27" i="90" s="1"/>
  <c r="B28" i="90" s="1"/>
  <c r="B29" i="90" s="1"/>
  <c r="B30" i="90" s="1"/>
  <c r="H18" i="90"/>
  <c r="L15" i="90"/>
  <c r="K16" i="90"/>
  <c r="I15" i="90"/>
  <c r="J15" i="90"/>
  <c r="R21" i="90"/>
  <c r="S20" i="90"/>
  <c r="T16" i="90" l="1"/>
  <c r="O16" i="90"/>
  <c r="Q15" i="90"/>
  <c r="P15" i="90"/>
  <c r="T17" i="90"/>
  <c r="U17" i="90"/>
  <c r="M16" i="91"/>
  <c r="N16" i="91"/>
  <c r="R17" i="91"/>
  <c r="S16" i="91"/>
  <c r="F15" i="91"/>
  <c r="G15" i="91"/>
  <c r="I17" i="91"/>
  <c r="J17" i="91"/>
  <c r="A18" i="91"/>
  <c r="C17" i="91"/>
  <c r="H20" i="91"/>
  <c r="P16" i="91"/>
  <c r="Q16" i="91"/>
  <c r="T15" i="91"/>
  <c r="U15" i="91"/>
  <c r="H31" i="91"/>
  <c r="X16" i="91"/>
  <c r="W16" i="91"/>
  <c r="V17" i="91"/>
  <c r="O19" i="91"/>
  <c r="D17" i="91"/>
  <c r="E16" i="91"/>
  <c r="B32" i="91"/>
  <c r="L17" i="91"/>
  <c r="K18" i="91"/>
  <c r="B31" i="90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45" i="90" s="1"/>
  <c r="B46" i="90" s="1"/>
  <c r="B47" i="90" s="1"/>
  <c r="B48" i="90" s="1"/>
  <c r="B49" i="90" s="1"/>
  <c r="B50" i="90" s="1"/>
  <c r="B51" i="90" s="1"/>
  <c r="B52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85" i="90" s="1"/>
  <c r="F15" i="90"/>
  <c r="G15" i="90"/>
  <c r="V18" i="90"/>
  <c r="W17" i="90"/>
  <c r="X17" i="90"/>
  <c r="H19" i="90"/>
  <c r="A19" i="90"/>
  <c r="C18" i="90"/>
  <c r="D17" i="90"/>
  <c r="E16" i="90"/>
  <c r="S21" i="90"/>
  <c r="R22" i="90"/>
  <c r="H31" i="90"/>
  <c r="I16" i="90"/>
  <c r="J16" i="90"/>
  <c r="K17" i="90"/>
  <c r="L16" i="90"/>
  <c r="M15" i="90"/>
  <c r="N15" i="90"/>
  <c r="P16" i="90" l="1"/>
  <c r="U18" i="90"/>
  <c r="T18" i="90"/>
  <c r="O17" i="90"/>
  <c r="Q16" i="90"/>
  <c r="H32" i="91"/>
  <c r="K19" i="91"/>
  <c r="L18" i="91"/>
  <c r="H21" i="91"/>
  <c r="P17" i="91"/>
  <c r="Q17" i="91"/>
  <c r="M17" i="91"/>
  <c r="N17" i="91"/>
  <c r="B33" i="91"/>
  <c r="A19" i="91"/>
  <c r="C18" i="91"/>
  <c r="D18" i="91"/>
  <c r="E17" i="91"/>
  <c r="I18" i="91"/>
  <c r="J18" i="91"/>
  <c r="O20" i="91"/>
  <c r="F16" i="91"/>
  <c r="G16" i="91"/>
  <c r="U16" i="91"/>
  <c r="T16" i="91"/>
  <c r="X17" i="91"/>
  <c r="V18" i="91"/>
  <c r="W17" i="91"/>
  <c r="R18" i="91"/>
  <c r="S17" i="91"/>
  <c r="S22" i="90"/>
  <c r="R23" i="90"/>
  <c r="F16" i="90"/>
  <c r="G16" i="90"/>
  <c r="E17" i="90"/>
  <c r="D18" i="90"/>
  <c r="A20" i="90"/>
  <c r="C19" i="90"/>
  <c r="M16" i="90"/>
  <c r="N16" i="90"/>
  <c r="K18" i="90"/>
  <c r="L17" i="90"/>
  <c r="H20" i="90"/>
  <c r="H32" i="90"/>
  <c r="W18" i="90"/>
  <c r="X18" i="90"/>
  <c r="V19" i="90"/>
  <c r="I17" i="90"/>
  <c r="J17" i="90"/>
  <c r="Q17" i="90" l="1"/>
  <c r="O18" i="90"/>
  <c r="P17" i="90"/>
  <c r="U19" i="90"/>
  <c r="T19" i="90"/>
  <c r="I19" i="91"/>
  <c r="J19" i="91"/>
  <c r="O21" i="91"/>
  <c r="C19" i="91"/>
  <c r="A20" i="91"/>
  <c r="M18" i="91"/>
  <c r="N18" i="91"/>
  <c r="H33" i="91"/>
  <c r="F17" i="91"/>
  <c r="G17" i="91"/>
  <c r="E18" i="91"/>
  <c r="D19" i="91"/>
  <c r="U17" i="91"/>
  <c r="T17" i="91"/>
  <c r="X18" i="91"/>
  <c r="W18" i="91"/>
  <c r="V19" i="91"/>
  <c r="B34" i="91"/>
  <c r="S18" i="91"/>
  <c r="R19" i="91"/>
  <c r="P18" i="91"/>
  <c r="Q18" i="91"/>
  <c r="H22" i="91"/>
  <c r="K20" i="91"/>
  <c r="L19" i="91"/>
  <c r="M17" i="90"/>
  <c r="N17" i="90"/>
  <c r="L18" i="90"/>
  <c r="K19" i="90"/>
  <c r="A21" i="90"/>
  <c r="C20" i="90"/>
  <c r="J18" i="90"/>
  <c r="I18" i="90"/>
  <c r="E18" i="90"/>
  <c r="D19" i="90"/>
  <c r="V20" i="90"/>
  <c r="X19" i="90"/>
  <c r="W19" i="90"/>
  <c r="F17" i="90"/>
  <c r="G17" i="90"/>
  <c r="H21" i="90"/>
  <c r="H33" i="90"/>
  <c r="R24" i="90"/>
  <c r="S23" i="90"/>
  <c r="U20" i="90" l="1"/>
  <c r="T20" i="90"/>
  <c r="Q18" i="90"/>
  <c r="P18" i="90"/>
  <c r="O19" i="90"/>
  <c r="B35" i="91"/>
  <c r="B36" i="91" s="1"/>
  <c r="B37" i="91" s="1"/>
  <c r="B38" i="91" s="1"/>
  <c r="B39" i="91" s="1"/>
  <c r="B40" i="91" s="1"/>
  <c r="B41" i="91" s="1"/>
  <c r="B42" i="91" s="1"/>
  <c r="B43" i="91" s="1"/>
  <c r="B44" i="91" s="1"/>
  <c r="B45" i="91" s="1"/>
  <c r="B46" i="91" s="1"/>
  <c r="B47" i="91" s="1"/>
  <c r="B48" i="91" s="1"/>
  <c r="B49" i="91" s="1"/>
  <c r="B50" i="91" s="1"/>
  <c r="B51" i="91" s="1"/>
  <c r="B52" i="91" s="1"/>
  <c r="B53" i="91" s="1"/>
  <c r="B54" i="91" s="1"/>
  <c r="B55" i="91" s="1"/>
  <c r="B56" i="91" s="1"/>
  <c r="B57" i="91" s="1"/>
  <c r="B58" i="91" s="1"/>
  <c r="B59" i="91" s="1"/>
  <c r="B60" i="91" s="1"/>
  <c r="B61" i="91" s="1"/>
  <c r="B62" i="91" s="1"/>
  <c r="B63" i="91" s="1"/>
  <c r="B64" i="91" s="1"/>
  <c r="B65" i="91" s="1"/>
  <c r="B66" i="91" s="1"/>
  <c r="B67" i="91" s="1"/>
  <c r="B68" i="91" s="1"/>
  <c r="B69" i="91" s="1"/>
  <c r="B70" i="91" s="1"/>
  <c r="B71" i="91" s="1"/>
  <c r="B72" i="91" s="1"/>
  <c r="B73" i="91" s="1"/>
  <c r="B74" i="91" s="1"/>
  <c r="B75" i="91" s="1"/>
  <c r="B76" i="91" s="1"/>
  <c r="B77" i="91" s="1"/>
  <c r="B78" i="91" s="1"/>
  <c r="B79" i="91" s="1"/>
  <c r="B80" i="91" s="1"/>
  <c r="B81" i="91" s="1"/>
  <c r="B82" i="91" s="1"/>
  <c r="B83" i="91" s="1"/>
  <c r="B84" i="91" s="1"/>
  <c r="B85" i="91" s="1"/>
  <c r="W19" i="91"/>
  <c r="X19" i="91"/>
  <c r="V20" i="91"/>
  <c r="D20" i="91"/>
  <c r="E19" i="91"/>
  <c r="M19" i="91"/>
  <c r="N19" i="91"/>
  <c r="R20" i="91"/>
  <c r="S19" i="91"/>
  <c r="O22" i="91"/>
  <c r="G18" i="91"/>
  <c r="F18" i="91"/>
  <c r="L20" i="91"/>
  <c r="K21" i="91"/>
  <c r="H34" i="91"/>
  <c r="H23" i="91"/>
  <c r="C20" i="91"/>
  <c r="A21" i="91"/>
  <c r="P19" i="91"/>
  <c r="Q19" i="91"/>
  <c r="T18" i="91"/>
  <c r="U18" i="91"/>
  <c r="I20" i="91"/>
  <c r="J20" i="91"/>
  <c r="X20" i="90"/>
  <c r="V21" i="90"/>
  <c r="W20" i="90"/>
  <c r="R25" i="90"/>
  <c r="S24" i="90"/>
  <c r="H34" i="90"/>
  <c r="C21" i="90"/>
  <c r="A22" i="90"/>
  <c r="D20" i="90"/>
  <c r="E19" i="90"/>
  <c r="G18" i="90"/>
  <c r="F18" i="90"/>
  <c r="J19" i="90"/>
  <c r="I19" i="90"/>
  <c r="K20" i="90"/>
  <c r="L19" i="90"/>
  <c r="M18" i="90"/>
  <c r="N18" i="90"/>
  <c r="H22" i="90"/>
  <c r="Q19" i="90" l="1"/>
  <c r="O20" i="90"/>
  <c r="P19" i="90"/>
  <c r="U21" i="90"/>
  <c r="T21" i="90"/>
  <c r="H35" i="91"/>
  <c r="L21" i="91"/>
  <c r="K22" i="91"/>
  <c r="M20" i="91"/>
  <c r="N20" i="91"/>
  <c r="S20" i="91"/>
  <c r="R21" i="91"/>
  <c r="P20" i="91"/>
  <c r="Q20" i="91"/>
  <c r="A22" i="91"/>
  <c r="C21" i="91"/>
  <c r="D21" i="91"/>
  <c r="E20" i="91"/>
  <c r="V21" i="91"/>
  <c r="W20" i="91"/>
  <c r="X20" i="91"/>
  <c r="O23" i="91"/>
  <c r="I21" i="91"/>
  <c r="J21" i="91"/>
  <c r="F19" i="91"/>
  <c r="G19" i="91"/>
  <c r="T19" i="91"/>
  <c r="U19" i="91"/>
  <c r="H24" i="91"/>
  <c r="F19" i="90"/>
  <c r="G19" i="90"/>
  <c r="E20" i="90"/>
  <c r="D21" i="90"/>
  <c r="A23" i="90"/>
  <c r="C22" i="90"/>
  <c r="H35" i="90"/>
  <c r="J20" i="90"/>
  <c r="I20" i="90"/>
  <c r="H23" i="90"/>
  <c r="S25" i="90"/>
  <c r="R26" i="90"/>
  <c r="V22" i="90"/>
  <c r="W21" i="90"/>
  <c r="X21" i="90"/>
  <c r="M19" i="90"/>
  <c r="N19" i="90"/>
  <c r="L20" i="90"/>
  <c r="K21" i="90"/>
  <c r="U22" i="90" l="1"/>
  <c r="T22" i="90"/>
  <c r="P20" i="90"/>
  <c r="Q20" i="90"/>
  <c r="O21" i="90"/>
  <c r="H36" i="91"/>
  <c r="O24" i="91"/>
  <c r="T20" i="91"/>
  <c r="U20" i="91"/>
  <c r="L22" i="91"/>
  <c r="K23" i="91"/>
  <c r="X21" i="91"/>
  <c r="W21" i="91"/>
  <c r="V22" i="91"/>
  <c r="F20" i="91"/>
  <c r="G20" i="91"/>
  <c r="D22" i="91"/>
  <c r="E21" i="91"/>
  <c r="M21" i="91"/>
  <c r="N21" i="91"/>
  <c r="C22" i="91"/>
  <c r="A23" i="91"/>
  <c r="P21" i="91"/>
  <c r="Q21" i="91"/>
  <c r="R22" i="91"/>
  <c r="S21" i="91"/>
  <c r="I22" i="91"/>
  <c r="J22" i="91"/>
  <c r="W22" i="90"/>
  <c r="X22" i="90"/>
  <c r="V23" i="90"/>
  <c r="I21" i="90"/>
  <c r="J21" i="90"/>
  <c r="H36" i="90"/>
  <c r="L21" i="90"/>
  <c r="K22" i="90"/>
  <c r="A24" i="90"/>
  <c r="C23" i="90"/>
  <c r="G20" i="90"/>
  <c r="F20" i="90"/>
  <c r="R27" i="90"/>
  <c r="S26" i="90"/>
  <c r="H24" i="90"/>
  <c r="M20" i="90"/>
  <c r="N20" i="90"/>
  <c r="D22" i="90"/>
  <c r="E21" i="90"/>
  <c r="P21" i="90" l="1"/>
  <c r="Q21" i="90"/>
  <c r="O22" i="90"/>
  <c r="U23" i="90"/>
  <c r="T23" i="90"/>
  <c r="D23" i="91"/>
  <c r="E22" i="91"/>
  <c r="W22" i="91"/>
  <c r="X22" i="91"/>
  <c r="V23" i="91"/>
  <c r="K24" i="91"/>
  <c r="L23" i="91"/>
  <c r="I23" i="91"/>
  <c r="J23" i="91"/>
  <c r="A24" i="91"/>
  <c r="C23" i="91"/>
  <c r="F21" i="91"/>
  <c r="G21" i="91"/>
  <c r="T21" i="91"/>
  <c r="U21" i="91"/>
  <c r="R23" i="91"/>
  <c r="S22" i="91"/>
  <c r="M22" i="91"/>
  <c r="N22" i="91"/>
  <c r="O25" i="91"/>
  <c r="H37" i="91"/>
  <c r="Q22" i="91"/>
  <c r="P22" i="91"/>
  <c r="S27" i="90"/>
  <c r="R28" i="90"/>
  <c r="C24" i="90"/>
  <c r="A25" i="90"/>
  <c r="K23" i="90"/>
  <c r="L22" i="90"/>
  <c r="M21" i="90"/>
  <c r="N21" i="90"/>
  <c r="H37" i="90"/>
  <c r="I22" i="90"/>
  <c r="J22" i="90"/>
  <c r="F21" i="90"/>
  <c r="G21" i="90"/>
  <c r="E22" i="90"/>
  <c r="D23" i="90"/>
  <c r="V24" i="90"/>
  <c r="X23" i="90"/>
  <c r="W23" i="90"/>
  <c r="U24" i="90" l="1"/>
  <c r="T24" i="90"/>
  <c r="P22" i="90"/>
  <c r="O23" i="90"/>
  <c r="Q22" i="90"/>
  <c r="T22" i="91"/>
  <c r="U22" i="91"/>
  <c r="C24" i="91"/>
  <c r="A25" i="91"/>
  <c r="X23" i="91"/>
  <c r="V24" i="91"/>
  <c r="W23" i="91"/>
  <c r="O26" i="91"/>
  <c r="M23" i="91"/>
  <c r="N23" i="91"/>
  <c r="E23" i="91"/>
  <c r="D24" i="91"/>
  <c r="R24" i="91"/>
  <c r="S23" i="91"/>
  <c r="J24" i="91"/>
  <c r="I24" i="91"/>
  <c r="P23" i="91"/>
  <c r="Q23" i="91"/>
  <c r="K25" i="91"/>
  <c r="L24" i="91"/>
  <c r="H38" i="91"/>
  <c r="F22" i="91"/>
  <c r="G22" i="91"/>
  <c r="I23" i="90"/>
  <c r="J23" i="90"/>
  <c r="H38" i="90"/>
  <c r="N22" i="90"/>
  <c r="M22" i="90"/>
  <c r="L23" i="90"/>
  <c r="K24" i="90"/>
  <c r="C25" i="90"/>
  <c r="A26" i="90"/>
  <c r="V25" i="90"/>
  <c r="X24" i="90"/>
  <c r="W24" i="90"/>
  <c r="E23" i="90"/>
  <c r="D24" i="90"/>
  <c r="R29" i="90"/>
  <c r="S28" i="90"/>
  <c r="F22" i="90"/>
  <c r="G22" i="90"/>
  <c r="O24" i="90" l="1"/>
  <c r="P23" i="90"/>
  <c r="Q23" i="90"/>
  <c r="U25" i="90"/>
  <c r="T25" i="90"/>
  <c r="G23" i="91"/>
  <c r="F23" i="91"/>
  <c r="Q24" i="91"/>
  <c r="P24" i="91"/>
  <c r="I25" i="91"/>
  <c r="J25" i="91"/>
  <c r="D25" i="91"/>
  <c r="E24" i="91"/>
  <c r="M24" i="91"/>
  <c r="N24" i="91"/>
  <c r="U23" i="91"/>
  <c r="T23" i="91"/>
  <c r="S24" i="91"/>
  <c r="R25" i="91"/>
  <c r="O27" i="91"/>
  <c r="W24" i="91"/>
  <c r="X24" i="91"/>
  <c r="V25" i="91"/>
  <c r="H39" i="91"/>
  <c r="C25" i="91"/>
  <c r="A26" i="91"/>
  <c r="K26" i="91"/>
  <c r="L25" i="91"/>
  <c r="R30" i="90"/>
  <c r="S29" i="90"/>
  <c r="D25" i="90"/>
  <c r="E24" i="90"/>
  <c r="X25" i="90"/>
  <c r="V26" i="90"/>
  <c r="W25" i="90"/>
  <c r="J24" i="90"/>
  <c r="I24" i="90"/>
  <c r="M23" i="90"/>
  <c r="N23" i="90"/>
  <c r="F23" i="90"/>
  <c r="G23" i="90"/>
  <c r="C26" i="90"/>
  <c r="A27" i="90"/>
  <c r="K25" i="90"/>
  <c r="L24" i="90"/>
  <c r="H39" i="90"/>
  <c r="T26" i="90" l="1"/>
  <c r="U26" i="90"/>
  <c r="Q24" i="90"/>
  <c r="O25" i="90"/>
  <c r="P24" i="90"/>
  <c r="T24" i="91"/>
  <c r="U24" i="91"/>
  <c r="W25" i="91"/>
  <c r="X25" i="91"/>
  <c r="V26" i="91"/>
  <c r="F24" i="91"/>
  <c r="G24" i="91"/>
  <c r="I26" i="91"/>
  <c r="J26" i="91"/>
  <c r="O28" i="91"/>
  <c r="S25" i="91"/>
  <c r="R26" i="91"/>
  <c r="M25" i="91"/>
  <c r="N25" i="91"/>
  <c r="E25" i="91"/>
  <c r="D26" i="91"/>
  <c r="L26" i="91"/>
  <c r="K27" i="91"/>
  <c r="C26" i="91"/>
  <c r="A27" i="91"/>
  <c r="P25" i="91"/>
  <c r="Q25" i="91"/>
  <c r="H40" i="91"/>
  <c r="K26" i="90"/>
  <c r="L25" i="90"/>
  <c r="A28" i="90"/>
  <c r="C27" i="90"/>
  <c r="F24" i="90"/>
  <c r="G24" i="90"/>
  <c r="N24" i="90"/>
  <c r="M24" i="90"/>
  <c r="R31" i="90"/>
  <c r="S30" i="90"/>
  <c r="I25" i="90"/>
  <c r="J25" i="90"/>
  <c r="V27" i="90"/>
  <c r="W26" i="90"/>
  <c r="X26" i="90"/>
  <c r="E25" i="90"/>
  <c r="D26" i="90"/>
  <c r="H40" i="90"/>
  <c r="Q25" i="90" l="1"/>
  <c r="P25" i="90"/>
  <c r="O26" i="90"/>
  <c r="T27" i="90"/>
  <c r="U27" i="90"/>
  <c r="M26" i="91"/>
  <c r="N26" i="91"/>
  <c r="E26" i="91"/>
  <c r="D27" i="91"/>
  <c r="R27" i="91"/>
  <c r="S26" i="91"/>
  <c r="F25" i="91"/>
  <c r="G25" i="91"/>
  <c r="L27" i="91"/>
  <c r="K28" i="91"/>
  <c r="T25" i="91"/>
  <c r="U25" i="91"/>
  <c r="O29" i="91"/>
  <c r="J27" i="91"/>
  <c r="I27" i="91"/>
  <c r="H41" i="91"/>
  <c r="V27" i="91"/>
  <c r="W26" i="91"/>
  <c r="X26" i="91"/>
  <c r="Q26" i="91"/>
  <c r="P26" i="91"/>
  <c r="A28" i="91"/>
  <c r="C27" i="91"/>
  <c r="M25" i="90"/>
  <c r="N25" i="90"/>
  <c r="D27" i="90"/>
  <c r="E26" i="90"/>
  <c r="G25" i="90"/>
  <c r="F25" i="90"/>
  <c r="L26" i="90"/>
  <c r="K27" i="90"/>
  <c r="W27" i="90"/>
  <c r="X27" i="90"/>
  <c r="V28" i="90"/>
  <c r="J26" i="90"/>
  <c r="I26" i="90"/>
  <c r="R32" i="90"/>
  <c r="S31" i="90"/>
  <c r="H41" i="90"/>
  <c r="A29" i="90"/>
  <c r="C28" i="90"/>
  <c r="U28" i="90" l="1"/>
  <c r="T28" i="90"/>
  <c r="Q26" i="90"/>
  <c r="O27" i="90"/>
  <c r="P26" i="90"/>
  <c r="H42" i="91"/>
  <c r="L28" i="91"/>
  <c r="K29" i="91"/>
  <c r="Q27" i="91"/>
  <c r="P27" i="91"/>
  <c r="M27" i="91"/>
  <c r="N27" i="91"/>
  <c r="A29" i="91"/>
  <c r="C28" i="91"/>
  <c r="S27" i="91"/>
  <c r="R28" i="91"/>
  <c r="J28" i="91"/>
  <c r="I28" i="91"/>
  <c r="O30" i="91"/>
  <c r="T26" i="91"/>
  <c r="U26" i="91"/>
  <c r="D28" i="91"/>
  <c r="E27" i="91"/>
  <c r="G26" i="91"/>
  <c r="F26" i="91"/>
  <c r="W27" i="91"/>
  <c r="X27" i="91"/>
  <c r="V28" i="91"/>
  <c r="J27" i="90"/>
  <c r="I27" i="90"/>
  <c r="X28" i="90"/>
  <c r="V29" i="90"/>
  <c r="W28" i="90"/>
  <c r="K28" i="90"/>
  <c r="L27" i="90"/>
  <c r="M26" i="90"/>
  <c r="N26" i="90"/>
  <c r="S32" i="90"/>
  <c r="R33" i="90"/>
  <c r="C29" i="90"/>
  <c r="A30" i="90"/>
  <c r="G26" i="90"/>
  <c r="F26" i="90"/>
  <c r="H42" i="90"/>
  <c r="E27" i="90"/>
  <c r="D28" i="90"/>
  <c r="P27" i="90" l="1"/>
  <c r="Q27" i="90"/>
  <c r="O28" i="90"/>
  <c r="T29" i="90"/>
  <c r="U29" i="90"/>
  <c r="J29" i="91"/>
  <c r="I29" i="91"/>
  <c r="X28" i="91"/>
  <c r="W28" i="91"/>
  <c r="V29" i="91"/>
  <c r="L29" i="91"/>
  <c r="K30" i="91"/>
  <c r="O31" i="91"/>
  <c r="R29" i="91"/>
  <c r="S28" i="91"/>
  <c r="C29" i="91"/>
  <c r="A30" i="91"/>
  <c r="Q28" i="91"/>
  <c r="P28" i="91"/>
  <c r="T27" i="91"/>
  <c r="U27" i="91"/>
  <c r="M28" i="91"/>
  <c r="N28" i="91"/>
  <c r="F27" i="91"/>
  <c r="G27" i="91"/>
  <c r="E28" i="91"/>
  <c r="D29" i="91"/>
  <c r="H43" i="91"/>
  <c r="C30" i="90"/>
  <c r="A31" i="90"/>
  <c r="S33" i="90"/>
  <c r="R34" i="90"/>
  <c r="F27" i="90"/>
  <c r="G27" i="90"/>
  <c r="I28" i="90"/>
  <c r="J28" i="90"/>
  <c r="M27" i="90"/>
  <c r="N27" i="90"/>
  <c r="L28" i="90"/>
  <c r="K29" i="90"/>
  <c r="V30" i="90"/>
  <c r="W29" i="90"/>
  <c r="X29" i="90"/>
  <c r="E28" i="90"/>
  <c r="D29" i="90"/>
  <c r="H43" i="90"/>
  <c r="T30" i="90" l="1"/>
  <c r="U30" i="90"/>
  <c r="P28" i="90"/>
  <c r="Q28" i="90"/>
  <c r="O29" i="90"/>
  <c r="M29" i="91"/>
  <c r="N29" i="91"/>
  <c r="T28" i="91"/>
  <c r="U28" i="91"/>
  <c r="O32" i="91"/>
  <c r="L30" i="91"/>
  <c r="K31" i="91"/>
  <c r="E29" i="91"/>
  <c r="D30" i="91"/>
  <c r="Q29" i="91"/>
  <c r="P29" i="91"/>
  <c r="A31" i="91"/>
  <c r="C30" i="91"/>
  <c r="R30" i="91"/>
  <c r="S29" i="91"/>
  <c r="H44" i="91"/>
  <c r="W29" i="91"/>
  <c r="X29" i="91"/>
  <c r="V30" i="91"/>
  <c r="G28" i="91"/>
  <c r="F28" i="91"/>
  <c r="J30" i="91"/>
  <c r="I30" i="91"/>
  <c r="M28" i="90"/>
  <c r="N28" i="90"/>
  <c r="H44" i="90"/>
  <c r="D30" i="90"/>
  <c r="E29" i="90"/>
  <c r="X30" i="90"/>
  <c r="W30" i="90"/>
  <c r="V31" i="90"/>
  <c r="L29" i="90"/>
  <c r="K30" i="90"/>
  <c r="I29" i="90"/>
  <c r="J29" i="90"/>
  <c r="R35" i="90"/>
  <c r="S34" i="90"/>
  <c r="C31" i="90"/>
  <c r="A32" i="90"/>
  <c r="G28" i="90"/>
  <c r="F28" i="90"/>
  <c r="Q29" i="90" l="1"/>
  <c r="O30" i="90"/>
  <c r="P29" i="90"/>
  <c r="T31" i="90"/>
  <c r="U31" i="90"/>
  <c r="H45" i="91"/>
  <c r="S30" i="91"/>
  <c r="R31" i="91"/>
  <c r="F29" i="91"/>
  <c r="G29" i="91"/>
  <c r="C31" i="91"/>
  <c r="A32" i="91"/>
  <c r="Q30" i="91"/>
  <c r="P30" i="91"/>
  <c r="D31" i="91"/>
  <c r="E30" i="91"/>
  <c r="L31" i="91"/>
  <c r="K32" i="91"/>
  <c r="O33" i="91"/>
  <c r="T29" i="91"/>
  <c r="U29" i="91"/>
  <c r="M30" i="91"/>
  <c r="N30" i="91"/>
  <c r="I31" i="91"/>
  <c r="J31" i="91"/>
  <c r="X30" i="91"/>
  <c r="W30" i="91"/>
  <c r="V31" i="91"/>
  <c r="M29" i="90"/>
  <c r="N29" i="90"/>
  <c r="V32" i="90"/>
  <c r="X31" i="90"/>
  <c r="W31" i="90"/>
  <c r="F29" i="90"/>
  <c r="G29" i="90"/>
  <c r="E30" i="90"/>
  <c r="D31" i="90"/>
  <c r="R36" i="90"/>
  <c r="S35" i="90"/>
  <c r="I30" i="90"/>
  <c r="J30" i="90"/>
  <c r="K31" i="90"/>
  <c r="L30" i="90"/>
  <c r="H45" i="90"/>
  <c r="A33" i="90"/>
  <c r="C32" i="90"/>
  <c r="T32" i="90" l="1"/>
  <c r="U32" i="90"/>
  <c r="O31" i="90"/>
  <c r="Q30" i="90"/>
  <c r="P30" i="90"/>
  <c r="O34" i="91"/>
  <c r="L32" i="91"/>
  <c r="K33" i="91"/>
  <c r="D32" i="91"/>
  <c r="E31" i="91"/>
  <c r="C32" i="91"/>
  <c r="A33" i="91"/>
  <c r="W31" i="91"/>
  <c r="X31" i="91"/>
  <c r="V32" i="91"/>
  <c r="M31" i="91"/>
  <c r="N31" i="91"/>
  <c r="T30" i="91"/>
  <c r="U30" i="91"/>
  <c r="F30" i="91"/>
  <c r="G30" i="91"/>
  <c r="Q31" i="91"/>
  <c r="P31" i="91"/>
  <c r="R32" i="91"/>
  <c r="S31" i="91"/>
  <c r="I32" i="91"/>
  <c r="J32" i="91"/>
  <c r="H46" i="91"/>
  <c r="M30" i="90"/>
  <c r="N30" i="90"/>
  <c r="K32" i="90"/>
  <c r="L31" i="90"/>
  <c r="J31" i="90"/>
  <c r="I31" i="90"/>
  <c r="H46" i="90"/>
  <c r="F30" i="90"/>
  <c r="G30" i="90"/>
  <c r="S36" i="90"/>
  <c r="R37" i="90"/>
  <c r="D32" i="90"/>
  <c r="E31" i="90"/>
  <c r="V33" i="90"/>
  <c r="W32" i="90"/>
  <c r="X32" i="90"/>
  <c r="A34" i="90"/>
  <c r="C33" i="90"/>
  <c r="P31" i="90" l="1"/>
  <c r="O32" i="90"/>
  <c r="Q31" i="90"/>
  <c r="U33" i="90"/>
  <c r="T33" i="90"/>
  <c r="V33" i="91"/>
  <c r="W32" i="91"/>
  <c r="X32" i="91"/>
  <c r="A34" i="91"/>
  <c r="C33" i="91"/>
  <c r="H47" i="91"/>
  <c r="L33" i="91"/>
  <c r="K34" i="91"/>
  <c r="P32" i="91"/>
  <c r="Q32" i="91"/>
  <c r="G31" i="91"/>
  <c r="F31" i="91"/>
  <c r="D33" i="91"/>
  <c r="E32" i="91"/>
  <c r="T31" i="91"/>
  <c r="U31" i="91"/>
  <c r="M32" i="91"/>
  <c r="N32" i="91"/>
  <c r="J33" i="91"/>
  <c r="I33" i="91"/>
  <c r="O35" i="91"/>
  <c r="R33" i="91"/>
  <c r="S32" i="91"/>
  <c r="H47" i="90"/>
  <c r="A35" i="90"/>
  <c r="C34" i="90"/>
  <c r="G31" i="90"/>
  <c r="F31" i="90"/>
  <c r="E32" i="90"/>
  <c r="D33" i="90"/>
  <c r="R38" i="90"/>
  <c r="S37" i="90"/>
  <c r="I32" i="90"/>
  <c r="J32" i="90"/>
  <c r="M31" i="90"/>
  <c r="N31" i="90"/>
  <c r="L32" i="90"/>
  <c r="K33" i="90"/>
  <c r="X33" i="90"/>
  <c r="V34" i="90"/>
  <c r="W33" i="90"/>
  <c r="P32" i="90" l="1"/>
  <c r="O33" i="90"/>
  <c r="Q32" i="90"/>
  <c r="T34" i="90"/>
  <c r="U34" i="90"/>
  <c r="F32" i="91"/>
  <c r="G32" i="91"/>
  <c r="E33" i="91"/>
  <c r="D34" i="91"/>
  <c r="P33" i="91"/>
  <c r="Q33" i="91"/>
  <c r="K35" i="91"/>
  <c r="L34" i="91"/>
  <c r="T32" i="91"/>
  <c r="U32" i="91"/>
  <c r="R34" i="91"/>
  <c r="S33" i="91"/>
  <c r="O36" i="91"/>
  <c r="C34" i="91"/>
  <c r="A35" i="91"/>
  <c r="I34" i="91"/>
  <c r="J34" i="91"/>
  <c r="X33" i="91"/>
  <c r="V34" i="91"/>
  <c r="W33" i="91"/>
  <c r="M33" i="91"/>
  <c r="N33" i="91"/>
  <c r="H48" i="91"/>
  <c r="I33" i="90"/>
  <c r="J33" i="90"/>
  <c r="F32" i="90"/>
  <c r="G32" i="90"/>
  <c r="C35" i="90"/>
  <c r="A36" i="90"/>
  <c r="R39" i="90"/>
  <c r="S38" i="90"/>
  <c r="E33" i="90"/>
  <c r="D34" i="90"/>
  <c r="X34" i="90"/>
  <c r="W34" i="90"/>
  <c r="V35" i="90"/>
  <c r="H48" i="90"/>
  <c r="L33" i="90"/>
  <c r="K34" i="90"/>
  <c r="N32" i="90"/>
  <c r="M32" i="90"/>
  <c r="T35" i="90" l="1"/>
  <c r="U35" i="90"/>
  <c r="O34" i="90"/>
  <c r="P33" i="90"/>
  <c r="Q33" i="90"/>
  <c r="I35" i="91"/>
  <c r="J35" i="91"/>
  <c r="A36" i="91"/>
  <c r="C35" i="91"/>
  <c r="O37" i="91"/>
  <c r="H49" i="91"/>
  <c r="T33" i="91"/>
  <c r="U33" i="91"/>
  <c r="R35" i="91"/>
  <c r="S34" i="91"/>
  <c r="K36" i="91"/>
  <c r="L35" i="91"/>
  <c r="Q34" i="91"/>
  <c r="P34" i="91"/>
  <c r="D35" i="91"/>
  <c r="E34" i="91"/>
  <c r="N34" i="91"/>
  <c r="M34" i="91"/>
  <c r="G33" i="91"/>
  <c r="F33" i="91"/>
  <c r="W34" i="91"/>
  <c r="X34" i="91"/>
  <c r="V35" i="91"/>
  <c r="H49" i="90"/>
  <c r="D35" i="90"/>
  <c r="E34" i="90"/>
  <c r="F33" i="90"/>
  <c r="G33" i="90"/>
  <c r="S39" i="90"/>
  <c r="R40" i="90"/>
  <c r="X35" i="90"/>
  <c r="W35" i="90"/>
  <c r="V36" i="90"/>
  <c r="C36" i="90"/>
  <c r="A37" i="90"/>
  <c r="K35" i="90"/>
  <c r="L34" i="90"/>
  <c r="N33" i="90"/>
  <c r="M33" i="90"/>
  <c r="J34" i="90"/>
  <c r="I34" i="90"/>
  <c r="Q34" i="90" l="1"/>
  <c r="O35" i="90"/>
  <c r="P34" i="90"/>
  <c r="U36" i="90"/>
  <c r="T36" i="90"/>
  <c r="M35" i="91"/>
  <c r="N35" i="91"/>
  <c r="S35" i="91"/>
  <c r="R36" i="91"/>
  <c r="H50" i="91"/>
  <c r="T34" i="91"/>
  <c r="U34" i="91"/>
  <c r="A37" i="91"/>
  <c r="C36" i="91"/>
  <c r="F34" i="91"/>
  <c r="G34" i="91"/>
  <c r="G4" i="91" s="1"/>
  <c r="E35" i="91"/>
  <c r="D36" i="91"/>
  <c r="P35" i="91"/>
  <c r="Q35" i="91"/>
  <c r="L36" i="91"/>
  <c r="K37" i="91"/>
  <c r="V36" i="91"/>
  <c r="W35" i="91"/>
  <c r="X35" i="91"/>
  <c r="O38" i="91"/>
  <c r="J36" i="91"/>
  <c r="I36" i="91"/>
  <c r="A38" i="90"/>
  <c r="C37" i="90"/>
  <c r="X36" i="90"/>
  <c r="V37" i="90"/>
  <c r="W36" i="90"/>
  <c r="S40" i="90"/>
  <c r="R41" i="90"/>
  <c r="D36" i="90"/>
  <c r="E35" i="90"/>
  <c r="L35" i="90"/>
  <c r="K36" i="90"/>
  <c r="G34" i="90"/>
  <c r="F34" i="90"/>
  <c r="I35" i="90"/>
  <c r="J35" i="90"/>
  <c r="M34" i="90"/>
  <c r="N34" i="90"/>
  <c r="H50" i="90"/>
  <c r="U37" i="90" l="1"/>
  <c r="T37" i="90"/>
  <c r="O36" i="90"/>
  <c r="Q35" i="90"/>
  <c r="P35" i="90"/>
  <c r="H4" i="91"/>
  <c r="J4" i="91"/>
  <c r="L37" i="91"/>
  <c r="K38" i="91"/>
  <c r="D37" i="91"/>
  <c r="E36" i="91"/>
  <c r="J37" i="91"/>
  <c r="I37" i="91"/>
  <c r="M36" i="91"/>
  <c r="N36" i="91"/>
  <c r="Q36" i="91"/>
  <c r="P36" i="91"/>
  <c r="T35" i="91"/>
  <c r="U35" i="91"/>
  <c r="F35" i="91"/>
  <c r="G35" i="91"/>
  <c r="A38" i="91"/>
  <c r="C37" i="91"/>
  <c r="H51" i="91"/>
  <c r="S36" i="91"/>
  <c r="R37" i="91"/>
  <c r="O39" i="91"/>
  <c r="V37" i="91"/>
  <c r="W36" i="91"/>
  <c r="X36" i="91"/>
  <c r="L36" i="90"/>
  <c r="K37" i="90"/>
  <c r="M35" i="90"/>
  <c r="N35" i="90"/>
  <c r="I36" i="90"/>
  <c r="J36" i="90"/>
  <c r="F35" i="90"/>
  <c r="G35" i="90"/>
  <c r="D37" i="90"/>
  <c r="E36" i="90"/>
  <c r="S41" i="90"/>
  <c r="R42" i="90"/>
  <c r="V38" i="90"/>
  <c r="W37" i="90"/>
  <c r="X37" i="90"/>
  <c r="H51" i="90"/>
  <c r="A39" i="90"/>
  <c r="C38" i="90"/>
  <c r="Q36" i="90" l="1"/>
  <c r="P36" i="90"/>
  <c r="O37" i="90"/>
  <c r="U38" i="90"/>
  <c r="T38" i="90"/>
  <c r="A39" i="91"/>
  <c r="C38" i="91"/>
  <c r="F36" i="91"/>
  <c r="G36" i="91"/>
  <c r="D38" i="91"/>
  <c r="E37" i="91"/>
  <c r="O40" i="91"/>
  <c r="L38" i="91"/>
  <c r="K39" i="91"/>
  <c r="R38" i="91"/>
  <c r="S37" i="91"/>
  <c r="J38" i="91"/>
  <c r="I38" i="91"/>
  <c r="W37" i="91"/>
  <c r="V38" i="91"/>
  <c r="X37" i="91"/>
  <c r="N37" i="91"/>
  <c r="M37" i="91"/>
  <c r="H52" i="91"/>
  <c r="J8" i="91"/>
  <c r="P37" i="91"/>
  <c r="Q37" i="91"/>
  <c r="T36" i="91"/>
  <c r="U36" i="91"/>
  <c r="L4" i="91"/>
  <c r="V39" i="90"/>
  <c r="X38" i="90"/>
  <c r="W38" i="90"/>
  <c r="S42" i="90"/>
  <c r="R43" i="90"/>
  <c r="E37" i="90"/>
  <c r="D38" i="90"/>
  <c r="I37" i="90"/>
  <c r="J37" i="90"/>
  <c r="F36" i="90"/>
  <c r="G36" i="90"/>
  <c r="C39" i="90"/>
  <c r="A40" i="90"/>
  <c r="L37" i="90"/>
  <c r="K38" i="90"/>
  <c r="H52" i="90"/>
  <c r="M36" i="90"/>
  <c r="N36" i="90"/>
  <c r="T39" i="90" l="1"/>
  <c r="U39" i="90"/>
  <c r="O38" i="90"/>
  <c r="P37" i="90"/>
  <c r="Q37" i="90"/>
  <c r="N38" i="91"/>
  <c r="M38" i="91"/>
  <c r="T37" i="91"/>
  <c r="U37" i="91"/>
  <c r="L39" i="91"/>
  <c r="K40" i="91"/>
  <c r="O41" i="91"/>
  <c r="Q38" i="91"/>
  <c r="P38" i="91"/>
  <c r="E38" i="91"/>
  <c r="D39" i="91"/>
  <c r="X38" i="91"/>
  <c r="V39" i="91"/>
  <c r="W38" i="91"/>
  <c r="I39" i="91"/>
  <c r="J39" i="91"/>
  <c r="S38" i="91"/>
  <c r="R39" i="91"/>
  <c r="F37" i="91"/>
  <c r="G37" i="91"/>
  <c r="M4" i="91"/>
  <c r="H53" i="91"/>
  <c r="C39" i="91"/>
  <c r="A40" i="91"/>
  <c r="J38" i="90"/>
  <c r="I38" i="90"/>
  <c r="E38" i="90"/>
  <c r="D39" i="90"/>
  <c r="M37" i="90"/>
  <c r="N37" i="90"/>
  <c r="L38" i="90"/>
  <c r="K39" i="90"/>
  <c r="C40" i="90"/>
  <c r="A41" i="90"/>
  <c r="F37" i="90"/>
  <c r="G37" i="90"/>
  <c r="R44" i="90"/>
  <c r="S43" i="90"/>
  <c r="H53" i="90"/>
  <c r="W39" i="90"/>
  <c r="X39" i="90"/>
  <c r="V40" i="90"/>
  <c r="Q38" i="90" l="1"/>
  <c r="P38" i="90"/>
  <c r="O39" i="90"/>
  <c r="T40" i="90"/>
  <c r="U40" i="90"/>
  <c r="I40" i="91"/>
  <c r="J40" i="91"/>
  <c r="W39" i="91"/>
  <c r="V40" i="91"/>
  <c r="X39" i="91"/>
  <c r="E39" i="91"/>
  <c r="D40" i="91"/>
  <c r="P39" i="91"/>
  <c r="Q39" i="91"/>
  <c r="L40" i="91"/>
  <c r="K41" i="91"/>
  <c r="M39" i="91"/>
  <c r="N39" i="91"/>
  <c r="S39" i="91"/>
  <c r="R40" i="91"/>
  <c r="G38" i="91"/>
  <c r="F38" i="91"/>
  <c r="A41" i="91"/>
  <c r="C40" i="91"/>
  <c r="O42" i="91"/>
  <c r="H54" i="91"/>
  <c r="T38" i="91"/>
  <c r="U38" i="91"/>
  <c r="M38" i="90"/>
  <c r="N38" i="90"/>
  <c r="A42" i="90"/>
  <c r="C41" i="90"/>
  <c r="L39" i="90"/>
  <c r="K40" i="90"/>
  <c r="X40" i="90"/>
  <c r="V41" i="90"/>
  <c r="W40" i="90"/>
  <c r="D40" i="90"/>
  <c r="E39" i="90"/>
  <c r="R45" i="90"/>
  <c r="S44" i="90"/>
  <c r="F38" i="90"/>
  <c r="G38" i="90"/>
  <c r="H54" i="90"/>
  <c r="J39" i="90"/>
  <c r="I39" i="90"/>
  <c r="U41" i="90" l="1"/>
  <c r="T41" i="90"/>
  <c r="O40" i="90"/>
  <c r="Q39" i="90"/>
  <c r="P39" i="90"/>
  <c r="C41" i="91"/>
  <c r="A42" i="91"/>
  <c r="S40" i="91"/>
  <c r="R41" i="91"/>
  <c r="L41" i="91"/>
  <c r="K42" i="91"/>
  <c r="M40" i="91"/>
  <c r="N40" i="91"/>
  <c r="Q40" i="91"/>
  <c r="P40" i="91"/>
  <c r="D41" i="91"/>
  <c r="E40" i="91"/>
  <c r="O43" i="91"/>
  <c r="T39" i="91"/>
  <c r="U39" i="91"/>
  <c r="G39" i="91"/>
  <c r="F39" i="91"/>
  <c r="H55" i="91"/>
  <c r="W40" i="91"/>
  <c r="X40" i="91"/>
  <c r="V41" i="91"/>
  <c r="J41" i="91"/>
  <c r="I41" i="91"/>
  <c r="M39" i="90"/>
  <c r="N39" i="90"/>
  <c r="G39" i="90"/>
  <c r="F39" i="90"/>
  <c r="V42" i="90"/>
  <c r="W41" i="90"/>
  <c r="X41" i="90"/>
  <c r="A43" i="90"/>
  <c r="C42" i="90"/>
  <c r="S45" i="90"/>
  <c r="R46" i="90"/>
  <c r="E40" i="90"/>
  <c r="D41" i="90"/>
  <c r="L40" i="90"/>
  <c r="K41" i="90"/>
  <c r="J40" i="90"/>
  <c r="I40" i="90"/>
  <c r="H55" i="90"/>
  <c r="Q40" i="90" l="1"/>
  <c r="P40" i="90"/>
  <c r="O41" i="90"/>
  <c r="U42" i="90"/>
  <c r="T42" i="90"/>
  <c r="F40" i="91"/>
  <c r="G40" i="91"/>
  <c r="P41" i="91"/>
  <c r="Q41" i="91"/>
  <c r="J42" i="91"/>
  <c r="I42" i="91"/>
  <c r="K43" i="91"/>
  <c r="L42" i="91"/>
  <c r="W41" i="91"/>
  <c r="X41" i="91"/>
  <c r="V42" i="91"/>
  <c r="O44" i="91"/>
  <c r="M41" i="91"/>
  <c r="N41" i="91"/>
  <c r="S41" i="91"/>
  <c r="R42" i="91"/>
  <c r="H56" i="91"/>
  <c r="C42" i="91"/>
  <c r="A43" i="91"/>
  <c r="D42" i="91"/>
  <c r="E41" i="91"/>
  <c r="T40" i="91"/>
  <c r="U40" i="91"/>
  <c r="K42" i="90"/>
  <c r="L41" i="90"/>
  <c r="H56" i="90"/>
  <c r="G40" i="90"/>
  <c r="F40" i="90"/>
  <c r="M40" i="90"/>
  <c r="N40" i="90"/>
  <c r="E41" i="90"/>
  <c r="D42" i="90"/>
  <c r="R47" i="90"/>
  <c r="S46" i="90"/>
  <c r="A44" i="90"/>
  <c r="C43" i="90"/>
  <c r="W42" i="90"/>
  <c r="X42" i="90"/>
  <c r="V43" i="90"/>
  <c r="I41" i="90"/>
  <c r="J41" i="90"/>
  <c r="U43" i="90" l="1"/>
  <c r="T43" i="90"/>
  <c r="P41" i="90"/>
  <c r="Q41" i="90"/>
  <c r="O42" i="90"/>
  <c r="O45" i="91"/>
  <c r="W42" i="91"/>
  <c r="X42" i="91"/>
  <c r="V43" i="91"/>
  <c r="T41" i="91"/>
  <c r="U41" i="91"/>
  <c r="M42" i="91"/>
  <c r="N42" i="91"/>
  <c r="L43" i="91"/>
  <c r="K44" i="91"/>
  <c r="J43" i="91"/>
  <c r="I43" i="91"/>
  <c r="S42" i="91"/>
  <c r="R43" i="91"/>
  <c r="F41" i="91"/>
  <c r="G41" i="91"/>
  <c r="D43" i="91"/>
  <c r="E42" i="91"/>
  <c r="A44" i="91"/>
  <c r="C43" i="91"/>
  <c r="Q42" i="91"/>
  <c r="P42" i="91"/>
  <c r="H57" i="91"/>
  <c r="C44" i="90"/>
  <c r="A45" i="90"/>
  <c r="R48" i="90"/>
  <c r="S47" i="90"/>
  <c r="E42" i="90"/>
  <c r="D43" i="90"/>
  <c r="M41" i="90"/>
  <c r="N41" i="90"/>
  <c r="F41" i="90"/>
  <c r="G41" i="90"/>
  <c r="H57" i="90"/>
  <c r="J42" i="90"/>
  <c r="I42" i="90"/>
  <c r="X43" i="90"/>
  <c r="W43" i="90"/>
  <c r="V44" i="90"/>
  <c r="K43" i="90"/>
  <c r="L42" i="90"/>
  <c r="P42" i="90" l="1"/>
  <c r="Q42" i="90"/>
  <c r="O43" i="90"/>
  <c r="U44" i="90"/>
  <c r="T44" i="90"/>
  <c r="F42" i="91"/>
  <c r="G42" i="91"/>
  <c r="T42" i="91"/>
  <c r="U42" i="91"/>
  <c r="N43" i="91"/>
  <c r="M43" i="91"/>
  <c r="X43" i="91"/>
  <c r="V44" i="91"/>
  <c r="W43" i="91"/>
  <c r="H58" i="91"/>
  <c r="P43" i="91"/>
  <c r="Q43" i="91"/>
  <c r="O46" i="91"/>
  <c r="E43" i="91"/>
  <c r="D44" i="91"/>
  <c r="R44" i="91"/>
  <c r="S43" i="91"/>
  <c r="I44" i="91"/>
  <c r="J44" i="91"/>
  <c r="L44" i="91"/>
  <c r="K45" i="91"/>
  <c r="C44" i="91"/>
  <c r="A45" i="91"/>
  <c r="I43" i="90"/>
  <c r="J43" i="90"/>
  <c r="F42" i="90"/>
  <c r="G42" i="90"/>
  <c r="R49" i="90"/>
  <c r="S48" i="90"/>
  <c r="H58" i="90"/>
  <c r="L43" i="90"/>
  <c r="K44" i="90"/>
  <c r="A46" i="90"/>
  <c r="C45" i="90"/>
  <c r="E43" i="90"/>
  <c r="D44" i="90"/>
  <c r="N42" i="90"/>
  <c r="M42" i="90"/>
  <c r="W44" i="90"/>
  <c r="X44" i="90"/>
  <c r="V45" i="90"/>
  <c r="T45" i="90" l="1"/>
  <c r="U45" i="90"/>
  <c r="O44" i="90"/>
  <c r="P43" i="90"/>
  <c r="Q43" i="90"/>
  <c r="R45" i="91"/>
  <c r="S44" i="91"/>
  <c r="F43" i="91"/>
  <c r="G43" i="91"/>
  <c r="L45" i="91"/>
  <c r="K46" i="91"/>
  <c r="P44" i="91"/>
  <c r="Q44" i="91"/>
  <c r="H59" i="91"/>
  <c r="A46" i="91"/>
  <c r="C45" i="91"/>
  <c r="M44" i="91"/>
  <c r="N44" i="91"/>
  <c r="J45" i="91"/>
  <c r="I45" i="91"/>
  <c r="D45" i="91"/>
  <c r="E44" i="91"/>
  <c r="O47" i="91"/>
  <c r="V45" i="91"/>
  <c r="W44" i="91"/>
  <c r="X44" i="91"/>
  <c r="T43" i="91"/>
  <c r="U43" i="91"/>
  <c r="D45" i="90"/>
  <c r="E44" i="90"/>
  <c r="A47" i="90"/>
  <c r="C46" i="90"/>
  <c r="K45" i="90"/>
  <c r="L44" i="90"/>
  <c r="M43" i="90"/>
  <c r="N43" i="90"/>
  <c r="H59" i="90"/>
  <c r="S49" i="90"/>
  <c r="R50" i="90"/>
  <c r="F43" i="90"/>
  <c r="G43" i="90"/>
  <c r="X45" i="90"/>
  <c r="V46" i="90"/>
  <c r="W45" i="90"/>
  <c r="I44" i="90"/>
  <c r="J44" i="90"/>
  <c r="Q44" i="90" l="1"/>
  <c r="P44" i="90"/>
  <c r="O45" i="90"/>
  <c r="U46" i="90"/>
  <c r="T46" i="90"/>
  <c r="H60" i="91"/>
  <c r="Q45" i="91"/>
  <c r="P45" i="91"/>
  <c r="L46" i="91"/>
  <c r="K47" i="91"/>
  <c r="E45" i="91"/>
  <c r="D46" i="91"/>
  <c r="M45" i="91"/>
  <c r="N45" i="91"/>
  <c r="X45" i="91"/>
  <c r="V46" i="91"/>
  <c r="W45" i="91"/>
  <c r="G44" i="91"/>
  <c r="F44" i="91"/>
  <c r="I46" i="91"/>
  <c r="J46" i="91"/>
  <c r="A47" i="91"/>
  <c r="C46" i="91"/>
  <c r="T44" i="91"/>
  <c r="U44" i="91"/>
  <c r="O48" i="91"/>
  <c r="S45" i="91"/>
  <c r="R46" i="91"/>
  <c r="N44" i="90"/>
  <c r="M44" i="90"/>
  <c r="S50" i="90"/>
  <c r="R51" i="90"/>
  <c r="H60" i="90"/>
  <c r="L45" i="90"/>
  <c r="K46" i="90"/>
  <c r="A48" i="90"/>
  <c r="C47" i="90"/>
  <c r="J45" i="90"/>
  <c r="I45" i="90"/>
  <c r="V47" i="90"/>
  <c r="W46" i="90"/>
  <c r="X46" i="90"/>
  <c r="F44" i="90"/>
  <c r="G44" i="90"/>
  <c r="E45" i="90"/>
  <c r="D46" i="90"/>
  <c r="T47" i="90" l="1"/>
  <c r="U47" i="90"/>
  <c r="Q45" i="90"/>
  <c r="P45" i="90"/>
  <c r="O46" i="90"/>
  <c r="U45" i="91"/>
  <c r="T45" i="91"/>
  <c r="A48" i="91"/>
  <c r="C47" i="91"/>
  <c r="F45" i="91"/>
  <c r="G45" i="91"/>
  <c r="R47" i="91"/>
  <c r="S46" i="91"/>
  <c r="L47" i="91"/>
  <c r="K48" i="91"/>
  <c r="I47" i="91"/>
  <c r="J47" i="91"/>
  <c r="X46" i="91"/>
  <c r="W46" i="91"/>
  <c r="V47" i="91"/>
  <c r="D47" i="91"/>
  <c r="E46" i="91"/>
  <c r="M46" i="91"/>
  <c r="N46" i="91"/>
  <c r="O49" i="91"/>
  <c r="P46" i="91"/>
  <c r="Q46" i="91"/>
  <c r="H61" i="91"/>
  <c r="X47" i="90"/>
  <c r="W47" i="90"/>
  <c r="V48" i="90"/>
  <c r="C48" i="90"/>
  <c r="A49" i="90"/>
  <c r="K47" i="90"/>
  <c r="L46" i="90"/>
  <c r="M45" i="90"/>
  <c r="N45" i="90"/>
  <c r="H61" i="90"/>
  <c r="F45" i="90"/>
  <c r="G45" i="90"/>
  <c r="S51" i="90"/>
  <c r="R52" i="90"/>
  <c r="I46" i="90"/>
  <c r="J46" i="90"/>
  <c r="E46" i="90"/>
  <c r="D47" i="90"/>
  <c r="P46" i="90" l="1"/>
  <c r="Q46" i="90"/>
  <c r="O47" i="90"/>
  <c r="U48" i="90"/>
  <c r="T48" i="90"/>
  <c r="O50" i="91"/>
  <c r="T46" i="91"/>
  <c r="U46" i="91"/>
  <c r="M47" i="91"/>
  <c r="N47" i="91"/>
  <c r="F46" i="91"/>
  <c r="G46" i="91"/>
  <c r="D48" i="91"/>
  <c r="E47" i="91"/>
  <c r="W47" i="91"/>
  <c r="X47" i="91"/>
  <c r="V48" i="91"/>
  <c r="J48" i="91"/>
  <c r="I48" i="91"/>
  <c r="L48" i="91"/>
  <c r="K49" i="91"/>
  <c r="S47" i="91"/>
  <c r="R48" i="91"/>
  <c r="H62" i="91"/>
  <c r="P47" i="91"/>
  <c r="Q47" i="91"/>
  <c r="A49" i="91"/>
  <c r="C48" i="91"/>
  <c r="S52" i="90"/>
  <c r="R53" i="90"/>
  <c r="J47" i="90"/>
  <c r="I47" i="90"/>
  <c r="H62" i="90"/>
  <c r="K48" i="90"/>
  <c r="L47" i="90"/>
  <c r="E47" i="90"/>
  <c r="D48" i="90"/>
  <c r="W48" i="90"/>
  <c r="V49" i="90"/>
  <c r="X48" i="90"/>
  <c r="M46" i="90"/>
  <c r="N46" i="90"/>
  <c r="A50" i="90"/>
  <c r="C49" i="90"/>
  <c r="G46" i="90"/>
  <c r="F46" i="90"/>
  <c r="O48" i="90" l="1"/>
  <c r="Q47" i="90"/>
  <c r="P47" i="90"/>
  <c r="U49" i="90"/>
  <c r="T49" i="90"/>
  <c r="T47" i="91"/>
  <c r="U47" i="91"/>
  <c r="L49" i="91"/>
  <c r="K50" i="91"/>
  <c r="I49" i="91"/>
  <c r="J49" i="91"/>
  <c r="M48" i="91"/>
  <c r="N48" i="91"/>
  <c r="X48" i="91"/>
  <c r="V49" i="91"/>
  <c r="W48" i="91"/>
  <c r="E48" i="91"/>
  <c r="D49" i="91"/>
  <c r="R49" i="91"/>
  <c r="S48" i="91"/>
  <c r="F47" i="91"/>
  <c r="G47" i="91"/>
  <c r="A50" i="91"/>
  <c r="C49" i="91"/>
  <c r="P48" i="91"/>
  <c r="Q48" i="91"/>
  <c r="O51" i="91"/>
  <c r="H63" i="91"/>
  <c r="M47" i="90"/>
  <c r="N47" i="90"/>
  <c r="H63" i="90"/>
  <c r="F47" i="90"/>
  <c r="G47" i="90"/>
  <c r="L48" i="90"/>
  <c r="K49" i="90"/>
  <c r="J48" i="90"/>
  <c r="I48" i="90"/>
  <c r="X49" i="90"/>
  <c r="V50" i="90"/>
  <c r="W49" i="90"/>
  <c r="D49" i="90"/>
  <c r="E48" i="90"/>
  <c r="R54" i="90"/>
  <c r="S53" i="90"/>
  <c r="A51" i="90"/>
  <c r="C50" i="90"/>
  <c r="T50" i="90" l="1"/>
  <c r="U50" i="90"/>
  <c r="Q48" i="90"/>
  <c r="P48" i="90"/>
  <c r="O49" i="90"/>
  <c r="U48" i="91"/>
  <c r="T48" i="91"/>
  <c r="E49" i="91"/>
  <c r="D50" i="91"/>
  <c r="V50" i="91"/>
  <c r="W49" i="91"/>
  <c r="X49" i="91"/>
  <c r="L50" i="91"/>
  <c r="K51" i="91"/>
  <c r="C50" i="91"/>
  <c r="A51" i="91"/>
  <c r="R50" i="91"/>
  <c r="S49" i="91"/>
  <c r="H64" i="91"/>
  <c r="J50" i="91"/>
  <c r="I50" i="91"/>
  <c r="O52" i="91"/>
  <c r="Q49" i="91"/>
  <c r="P49" i="91"/>
  <c r="F48" i="91"/>
  <c r="G48" i="91"/>
  <c r="M49" i="91"/>
  <c r="N49" i="91"/>
  <c r="G48" i="90"/>
  <c r="F48" i="90"/>
  <c r="D50" i="90"/>
  <c r="E49" i="90"/>
  <c r="X50" i="90"/>
  <c r="V51" i="90"/>
  <c r="W50" i="90"/>
  <c r="J49" i="90"/>
  <c r="I49" i="90"/>
  <c r="K50" i="90"/>
  <c r="L49" i="90"/>
  <c r="C51" i="90"/>
  <c r="A52" i="90"/>
  <c r="H64" i="90"/>
  <c r="S54" i="90"/>
  <c r="R55" i="90"/>
  <c r="M48" i="90"/>
  <c r="N48" i="90"/>
  <c r="O50" i="90" l="1"/>
  <c r="P49" i="90"/>
  <c r="Q49" i="90"/>
  <c r="T51" i="90"/>
  <c r="U51" i="90"/>
  <c r="H65" i="91"/>
  <c r="O53" i="91"/>
  <c r="I51" i="91"/>
  <c r="J51" i="91"/>
  <c r="E50" i="91"/>
  <c r="D51" i="91"/>
  <c r="M50" i="91"/>
  <c r="N50" i="91"/>
  <c r="X50" i="91"/>
  <c r="V51" i="91"/>
  <c r="W50" i="91"/>
  <c r="P50" i="91"/>
  <c r="Q50" i="91"/>
  <c r="T49" i="91"/>
  <c r="U49" i="91"/>
  <c r="R51" i="91"/>
  <c r="S50" i="91"/>
  <c r="C51" i="91"/>
  <c r="A52" i="91"/>
  <c r="L51" i="91"/>
  <c r="K52" i="91"/>
  <c r="F49" i="91"/>
  <c r="G49" i="91"/>
  <c r="I50" i="90"/>
  <c r="J50" i="90"/>
  <c r="N49" i="90"/>
  <c r="M49" i="90"/>
  <c r="K51" i="90"/>
  <c r="L50" i="90"/>
  <c r="V52" i="90"/>
  <c r="W51" i="90"/>
  <c r="X51" i="90"/>
  <c r="R56" i="90"/>
  <c r="S55" i="90"/>
  <c r="H65" i="90"/>
  <c r="A53" i="90"/>
  <c r="C52" i="90"/>
  <c r="G49" i="90"/>
  <c r="F49" i="90"/>
  <c r="E50" i="90"/>
  <c r="D51" i="90"/>
  <c r="U52" i="90" l="1"/>
  <c r="T52" i="90"/>
  <c r="P50" i="90"/>
  <c r="Q50" i="90"/>
  <c r="O51" i="90"/>
  <c r="P51" i="91"/>
  <c r="Q51" i="91"/>
  <c r="M51" i="91"/>
  <c r="N51" i="91"/>
  <c r="W51" i="91"/>
  <c r="X51" i="91"/>
  <c r="V52" i="91"/>
  <c r="D52" i="91"/>
  <c r="E51" i="91"/>
  <c r="O54" i="91"/>
  <c r="K53" i="91"/>
  <c r="L52" i="91"/>
  <c r="A53" i="91"/>
  <c r="C52" i="91"/>
  <c r="S51" i="91"/>
  <c r="R52" i="91"/>
  <c r="F50" i="91"/>
  <c r="G50" i="91"/>
  <c r="I52" i="91"/>
  <c r="J52" i="91"/>
  <c r="U50" i="91"/>
  <c r="T50" i="91"/>
  <c r="H66" i="91"/>
  <c r="V53" i="90"/>
  <c r="W52" i="90"/>
  <c r="X52" i="90"/>
  <c r="K52" i="90"/>
  <c r="L51" i="90"/>
  <c r="I51" i="90"/>
  <c r="J51" i="90"/>
  <c r="C53" i="90"/>
  <c r="A54" i="90"/>
  <c r="M50" i="90"/>
  <c r="N50" i="90"/>
  <c r="E51" i="90"/>
  <c r="D52" i="90"/>
  <c r="H66" i="90"/>
  <c r="S56" i="90"/>
  <c r="R57" i="90"/>
  <c r="S57" i="90" s="1"/>
  <c r="F50" i="90"/>
  <c r="G50" i="90"/>
  <c r="U53" i="90" l="1"/>
  <c r="T53" i="90"/>
  <c r="Q51" i="90"/>
  <c r="O52" i="90"/>
  <c r="P51" i="90"/>
  <c r="M52" i="91"/>
  <c r="N52" i="91"/>
  <c r="R53" i="91"/>
  <c r="S52" i="91"/>
  <c r="F51" i="91"/>
  <c r="G51" i="91"/>
  <c r="T51" i="91"/>
  <c r="U51" i="91"/>
  <c r="A54" i="91"/>
  <c r="C53" i="91"/>
  <c r="K54" i="91"/>
  <c r="L53" i="91"/>
  <c r="O55" i="91"/>
  <c r="D53" i="91"/>
  <c r="E52" i="91"/>
  <c r="W52" i="91"/>
  <c r="X52" i="91"/>
  <c r="V53" i="91"/>
  <c r="H67" i="91"/>
  <c r="I53" i="91"/>
  <c r="J53" i="91"/>
  <c r="P52" i="91"/>
  <c r="Q52" i="91"/>
  <c r="E52" i="90"/>
  <c r="D53" i="90"/>
  <c r="A55" i="90"/>
  <c r="C54" i="90"/>
  <c r="G51" i="90"/>
  <c r="F51" i="90"/>
  <c r="J52" i="90"/>
  <c r="I52" i="90"/>
  <c r="K53" i="90"/>
  <c r="L52" i="90"/>
  <c r="W53" i="90"/>
  <c r="X53" i="90"/>
  <c r="V54" i="90"/>
  <c r="H67" i="90"/>
  <c r="M51" i="90"/>
  <c r="N51" i="90"/>
  <c r="P52" i="90" l="1"/>
  <c r="O53" i="90"/>
  <c r="Q52" i="90"/>
  <c r="U54" i="90"/>
  <c r="T54" i="90"/>
  <c r="F52" i="91"/>
  <c r="G52" i="91"/>
  <c r="O56" i="91"/>
  <c r="X53" i="91"/>
  <c r="V54" i="91"/>
  <c r="W53" i="91"/>
  <c r="E53" i="91"/>
  <c r="D54" i="91"/>
  <c r="K55" i="91"/>
  <c r="L54" i="91"/>
  <c r="A55" i="91"/>
  <c r="C54" i="91"/>
  <c r="Q53" i="91"/>
  <c r="P53" i="91"/>
  <c r="I54" i="91"/>
  <c r="J54" i="91"/>
  <c r="N53" i="91"/>
  <c r="M53" i="91"/>
  <c r="T52" i="91"/>
  <c r="U52" i="91"/>
  <c r="H68" i="91"/>
  <c r="S53" i="91"/>
  <c r="R54" i="91"/>
  <c r="M52" i="90"/>
  <c r="N52" i="90"/>
  <c r="L53" i="90"/>
  <c r="K54" i="90"/>
  <c r="I53" i="90"/>
  <c r="J53" i="90"/>
  <c r="C55" i="90"/>
  <c r="A56" i="90"/>
  <c r="E53" i="90"/>
  <c r="D54" i="90"/>
  <c r="H68" i="90"/>
  <c r="V55" i="90"/>
  <c r="W54" i="90"/>
  <c r="X54" i="90"/>
  <c r="F52" i="90"/>
  <c r="G52" i="90"/>
  <c r="T55" i="90" l="1"/>
  <c r="U55" i="90"/>
  <c r="O54" i="90"/>
  <c r="P53" i="90"/>
  <c r="Q53" i="90"/>
  <c r="P54" i="91"/>
  <c r="Q54" i="91"/>
  <c r="M54" i="91"/>
  <c r="N54" i="91"/>
  <c r="L55" i="91"/>
  <c r="K56" i="91"/>
  <c r="E54" i="91"/>
  <c r="D55" i="91"/>
  <c r="V55" i="91"/>
  <c r="X54" i="91"/>
  <c r="W54" i="91"/>
  <c r="G53" i="91"/>
  <c r="F53" i="91"/>
  <c r="R55" i="91"/>
  <c r="S54" i="91"/>
  <c r="C55" i="91"/>
  <c r="A56" i="91"/>
  <c r="J55" i="91"/>
  <c r="I55" i="91"/>
  <c r="T53" i="91"/>
  <c r="U53" i="91"/>
  <c r="O57" i="91"/>
  <c r="H69" i="91"/>
  <c r="X55" i="90"/>
  <c r="W55" i="90"/>
  <c r="V56" i="90"/>
  <c r="H69" i="90"/>
  <c r="D55" i="90"/>
  <c r="E54" i="90"/>
  <c r="F53" i="90"/>
  <c r="G53" i="90"/>
  <c r="A57" i="90"/>
  <c r="C56" i="90"/>
  <c r="J54" i="90"/>
  <c r="I54" i="90"/>
  <c r="L54" i="90"/>
  <c r="K55" i="90"/>
  <c r="N53" i="90"/>
  <c r="M53" i="90"/>
  <c r="Q54" i="90" l="1"/>
  <c r="O55" i="90"/>
  <c r="P54" i="90"/>
  <c r="T56" i="90"/>
  <c r="U56" i="90"/>
  <c r="T54" i="91"/>
  <c r="U54" i="91"/>
  <c r="X55" i="91"/>
  <c r="V56" i="91"/>
  <c r="W55" i="91"/>
  <c r="H70" i="91"/>
  <c r="S55" i="91"/>
  <c r="R56" i="91"/>
  <c r="E55" i="91"/>
  <c r="D56" i="91"/>
  <c r="N55" i="91"/>
  <c r="M55" i="91"/>
  <c r="I56" i="91"/>
  <c r="J56" i="91"/>
  <c r="A57" i="91"/>
  <c r="C56" i="91"/>
  <c r="F54" i="91"/>
  <c r="G54" i="91"/>
  <c r="L56" i="91"/>
  <c r="K57" i="91"/>
  <c r="O58" i="91"/>
  <c r="P55" i="91"/>
  <c r="Q55" i="91"/>
  <c r="L55" i="90"/>
  <c r="K56" i="90"/>
  <c r="J55" i="90"/>
  <c r="I55" i="90"/>
  <c r="F54" i="90"/>
  <c r="G54" i="90"/>
  <c r="N54" i="90"/>
  <c r="M54" i="90"/>
  <c r="A58" i="90"/>
  <c r="C57" i="90"/>
  <c r="D56" i="90"/>
  <c r="E55" i="90"/>
  <c r="H70" i="90"/>
  <c r="V57" i="90"/>
  <c r="X56" i="90"/>
  <c r="W56" i="90"/>
  <c r="T57" i="90" l="1"/>
  <c r="U57" i="90"/>
  <c r="P55" i="90"/>
  <c r="Q55" i="90"/>
  <c r="O56" i="90"/>
  <c r="F55" i="91"/>
  <c r="G55" i="91"/>
  <c r="P56" i="91"/>
  <c r="Q56" i="91"/>
  <c r="V57" i="91"/>
  <c r="W56" i="91"/>
  <c r="X56" i="91"/>
  <c r="D57" i="91"/>
  <c r="E56" i="91"/>
  <c r="S56" i="91"/>
  <c r="R57" i="91"/>
  <c r="S57" i="91" s="1"/>
  <c r="C57" i="91"/>
  <c r="A58" i="91"/>
  <c r="I57" i="91"/>
  <c r="J57" i="91"/>
  <c r="L57" i="91"/>
  <c r="K58" i="91"/>
  <c r="T55" i="91"/>
  <c r="U55" i="91"/>
  <c r="H71" i="91"/>
  <c r="O59" i="91"/>
  <c r="M56" i="91"/>
  <c r="N56" i="91"/>
  <c r="G55" i="90"/>
  <c r="F55" i="90"/>
  <c r="G6" i="90"/>
  <c r="H6" i="90" s="1"/>
  <c r="K6" i="90" s="1"/>
  <c r="L6" i="90" s="1"/>
  <c r="M55" i="90"/>
  <c r="N55" i="90"/>
  <c r="W57" i="90"/>
  <c r="X57" i="90"/>
  <c r="H71" i="90"/>
  <c r="D57" i="90"/>
  <c r="E56" i="90"/>
  <c r="C58" i="90"/>
  <c r="A59" i="90"/>
  <c r="I56" i="90"/>
  <c r="J56" i="90"/>
  <c r="L56" i="90"/>
  <c r="K57" i="90"/>
  <c r="P56" i="90" l="1"/>
  <c r="O57" i="90"/>
  <c r="Q56" i="90"/>
  <c r="M57" i="91"/>
  <c r="N57" i="91"/>
  <c r="I58" i="91"/>
  <c r="J58" i="91"/>
  <c r="C58" i="91"/>
  <c r="A59" i="91"/>
  <c r="L58" i="91"/>
  <c r="K59" i="91"/>
  <c r="F56" i="91"/>
  <c r="G56" i="91"/>
  <c r="T56" i="91"/>
  <c r="T57" i="91" s="1"/>
  <c r="U56" i="91"/>
  <c r="D58" i="91"/>
  <c r="E57" i="91"/>
  <c r="W57" i="91"/>
  <c r="X57" i="91"/>
  <c r="O60" i="91"/>
  <c r="P57" i="91"/>
  <c r="Q57" i="91"/>
  <c r="H72" i="91"/>
  <c r="M56" i="90"/>
  <c r="N56" i="90"/>
  <c r="J57" i="90"/>
  <c r="I57" i="90"/>
  <c r="A60" i="90"/>
  <c r="C59" i="90"/>
  <c r="G56" i="90"/>
  <c r="F56" i="90"/>
  <c r="H72" i="90"/>
  <c r="L57" i="90"/>
  <c r="K58" i="90"/>
  <c r="E57" i="90"/>
  <c r="D58" i="90"/>
  <c r="P57" i="90" l="1"/>
  <c r="O58" i="90"/>
  <c r="Q57" i="90"/>
  <c r="F57" i="91"/>
  <c r="G57" i="91"/>
  <c r="M58" i="91"/>
  <c r="N58" i="91"/>
  <c r="K60" i="91"/>
  <c r="L59" i="91"/>
  <c r="A60" i="91"/>
  <c r="C59" i="91"/>
  <c r="E58" i="91"/>
  <c r="D59" i="91"/>
  <c r="U57" i="91"/>
  <c r="G6" i="91" s="1"/>
  <c r="H6" i="91" s="1"/>
  <c r="H73" i="91"/>
  <c r="P58" i="91"/>
  <c r="Q58" i="91"/>
  <c r="J59" i="91"/>
  <c r="I59" i="91"/>
  <c r="O61" i="91"/>
  <c r="D59" i="90"/>
  <c r="E58" i="90"/>
  <c r="M57" i="90"/>
  <c r="N57" i="90"/>
  <c r="G57" i="90"/>
  <c r="F57" i="90"/>
  <c r="L58" i="90"/>
  <c r="K59" i="90"/>
  <c r="H73" i="90"/>
  <c r="A61" i="90"/>
  <c r="C60" i="90"/>
  <c r="I58" i="90"/>
  <c r="J58" i="90"/>
  <c r="P58" i="90" l="1"/>
  <c r="O59" i="90"/>
  <c r="Q58" i="90"/>
  <c r="G58" i="91"/>
  <c r="F58" i="91"/>
  <c r="L6" i="91"/>
  <c r="M6" i="91" s="1"/>
  <c r="I6" i="91"/>
  <c r="J60" i="91"/>
  <c r="I60" i="91"/>
  <c r="H74" i="91"/>
  <c r="D60" i="91"/>
  <c r="E59" i="91"/>
  <c r="C60" i="91"/>
  <c r="A61" i="91"/>
  <c r="O62" i="91"/>
  <c r="Q59" i="91"/>
  <c r="P59" i="91"/>
  <c r="M59" i="91"/>
  <c r="N59" i="91"/>
  <c r="K61" i="91"/>
  <c r="L60" i="91"/>
  <c r="I59" i="90"/>
  <c r="J59" i="90"/>
  <c r="H74" i="90"/>
  <c r="K60" i="90"/>
  <c r="L59" i="90"/>
  <c r="C61" i="90"/>
  <c r="A62" i="90"/>
  <c r="M58" i="90"/>
  <c r="N58" i="90"/>
  <c r="F58" i="90"/>
  <c r="G58" i="90"/>
  <c r="D60" i="90"/>
  <c r="E59" i="90"/>
  <c r="P59" i="90" l="1"/>
  <c r="O60" i="90"/>
  <c r="Q59" i="90"/>
  <c r="C61" i="91"/>
  <c r="A62" i="91"/>
  <c r="H75" i="91"/>
  <c r="P60" i="91"/>
  <c r="Q60" i="91"/>
  <c r="O63" i="91"/>
  <c r="D61" i="91"/>
  <c r="E60" i="91"/>
  <c r="I61" i="91"/>
  <c r="J61" i="91"/>
  <c r="G59" i="91"/>
  <c r="F59" i="91"/>
  <c r="M60" i="91"/>
  <c r="N60" i="91"/>
  <c r="K62" i="91"/>
  <c r="L61" i="91"/>
  <c r="E60" i="90"/>
  <c r="D61" i="90"/>
  <c r="F59" i="90"/>
  <c r="G59" i="90"/>
  <c r="C62" i="90"/>
  <c r="A63" i="90"/>
  <c r="N59" i="90"/>
  <c r="M59" i="90"/>
  <c r="K61" i="90"/>
  <c r="L60" i="90"/>
  <c r="H75" i="90"/>
  <c r="J60" i="90"/>
  <c r="I60" i="90"/>
  <c r="P60" i="90" l="1"/>
  <c r="Q60" i="90"/>
  <c r="O61" i="90"/>
  <c r="L62" i="91"/>
  <c r="K63" i="91"/>
  <c r="F60" i="91"/>
  <c r="G60" i="91"/>
  <c r="O64" i="91"/>
  <c r="P61" i="91"/>
  <c r="Q61" i="91"/>
  <c r="M61" i="91"/>
  <c r="N61" i="91"/>
  <c r="I62" i="91"/>
  <c r="J62" i="91"/>
  <c r="E61" i="91"/>
  <c r="D62" i="91"/>
  <c r="H76" i="91"/>
  <c r="A63" i="91"/>
  <c r="C62" i="91"/>
  <c r="J61" i="90"/>
  <c r="I61" i="90"/>
  <c r="H76" i="90"/>
  <c r="K62" i="90"/>
  <c r="L61" i="90"/>
  <c r="A64" i="90"/>
  <c r="C63" i="90"/>
  <c r="D62" i="90"/>
  <c r="E61" i="90"/>
  <c r="M60" i="90"/>
  <c r="N60" i="90"/>
  <c r="G60" i="90"/>
  <c r="F60" i="90"/>
  <c r="O62" i="90" l="1"/>
  <c r="Q61" i="90"/>
  <c r="P61" i="90"/>
  <c r="C63" i="91"/>
  <c r="A64" i="91"/>
  <c r="P62" i="91"/>
  <c r="Q62" i="91"/>
  <c r="I63" i="91"/>
  <c r="J63" i="91"/>
  <c r="O65" i="91"/>
  <c r="H77" i="91"/>
  <c r="D63" i="91"/>
  <c r="E62" i="91"/>
  <c r="L63" i="91"/>
  <c r="K64" i="91"/>
  <c r="F61" i="91"/>
  <c r="G61" i="91"/>
  <c r="N62" i="91"/>
  <c r="M62" i="91"/>
  <c r="G61" i="90"/>
  <c r="F61" i="90"/>
  <c r="D63" i="90"/>
  <c r="E62" i="90"/>
  <c r="A65" i="90"/>
  <c r="C64" i="90"/>
  <c r="N61" i="90"/>
  <c r="M61" i="90"/>
  <c r="L62" i="90"/>
  <c r="K63" i="90"/>
  <c r="H77" i="90"/>
  <c r="I62" i="90"/>
  <c r="J62" i="90"/>
  <c r="O63" i="90" l="1"/>
  <c r="P62" i="90"/>
  <c r="Q62" i="90"/>
  <c r="F62" i="91"/>
  <c r="G62" i="91"/>
  <c r="M63" i="91"/>
  <c r="N63" i="91"/>
  <c r="O66" i="91"/>
  <c r="L64" i="91"/>
  <c r="K65" i="91"/>
  <c r="E63" i="91"/>
  <c r="D64" i="91"/>
  <c r="H78" i="91"/>
  <c r="J64" i="91"/>
  <c r="I64" i="91"/>
  <c r="Q63" i="91"/>
  <c r="P63" i="91"/>
  <c r="C64" i="91"/>
  <c r="A65" i="91"/>
  <c r="J63" i="90"/>
  <c r="I63" i="90"/>
  <c r="H78" i="90"/>
  <c r="L63" i="90"/>
  <c r="K64" i="90"/>
  <c r="M62" i="90"/>
  <c r="N62" i="90"/>
  <c r="A66" i="90"/>
  <c r="C65" i="90"/>
  <c r="D64" i="90"/>
  <c r="E63" i="90"/>
  <c r="G62" i="90"/>
  <c r="F62" i="90"/>
  <c r="O64" i="90" l="1"/>
  <c r="P63" i="90"/>
  <c r="Q63" i="90"/>
  <c r="C65" i="91"/>
  <c r="A66" i="91"/>
  <c r="D65" i="91"/>
  <c r="E64" i="91"/>
  <c r="P64" i="91"/>
  <c r="Q64" i="91"/>
  <c r="J65" i="91"/>
  <c r="I65" i="91"/>
  <c r="H79" i="91"/>
  <c r="M64" i="91"/>
  <c r="N64" i="91"/>
  <c r="F63" i="91"/>
  <c r="G63" i="91"/>
  <c r="K66" i="91"/>
  <c r="L65" i="91"/>
  <c r="O67" i="91"/>
  <c r="G63" i="90"/>
  <c r="F63" i="90"/>
  <c r="E64" i="90"/>
  <c r="D65" i="90"/>
  <c r="A67" i="90"/>
  <c r="C66" i="90"/>
  <c r="K65" i="90"/>
  <c r="L64" i="90"/>
  <c r="M63" i="90"/>
  <c r="N63" i="90"/>
  <c r="H79" i="90"/>
  <c r="J64" i="90"/>
  <c r="I64" i="90"/>
  <c r="Q64" i="90" l="1"/>
  <c r="O65" i="90"/>
  <c r="P64" i="90"/>
  <c r="K67" i="91"/>
  <c r="L66" i="91"/>
  <c r="M65" i="91"/>
  <c r="N65" i="91"/>
  <c r="H80" i="91"/>
  <c r="I66" i="91"/>
  <c r="J66" i="91"/>
  <c r="Q65" i="91"/>
  <c r="P65" i="91"/>
  <c r="O68" i="91"/>
  <c r="F64" i="91"/>
  <c r="G64" i="91"/>
  <c r="E65" i="91"/>
  <c r="D66" i="91"/>
  <c r="A67" i="91"/>
  <c r="C66" i="91"/>
  <c r="N64" i="90"/>
  <c r="M64" i="90"/>
  <c r="K66" i="90"/>
  <c r="L65" i="90"/>
  <c r="A68" i="90"/>
  <c r="C67" i="90"/>
  <c r="I65" i="90"/>
  <c r="J65" i="90"/>
  <c r="H80" i="90"/>
  <c r="E65" i="90"/>
  <c r="D66" i="90"/>
  <c r="G64" i="90"/>
  <c r="F64" i="90"/>
  <c r="O66" i="90" l="1"/>
  <c r="Q65" i="90"/>
  <c r="P65" i="90"/>
  <c r="P66" i="91"/>
  <c r="Q66" i="91"/>
  <c r="F65" i="91"/>
  <c r="G65" i="91"/>
  <c r="I67" i="91"/>
  <c r="J67" i="91"/>
  <c r="C67" i="91"/>
  <c r="A68" i="91"/>
  <c r="O69" i="91"/>
  <c r="H81" i="91"/>
  <c r="E66" i="91"/>
  <c r="D67" i="91"/>
  <c r="M66" i="91"/>
  <c r="N66" i="91"/>
  <c r="L67" i="91"/>
  <c r="K68" i="91"/>
  <c r="G65" i="90"/>
  <c r="F65" i="90"/>
  <c r="H81" i="90"/>
  <c r="J66" i="90"/>
  <c r="I66" i="90"/>
  <c r="E66" i="90"/>
  <c r="D67" i="90"/>
  <c r="C68" i="90"/>
  <c r="A69" i="90"/>
  <c r="M65" i="90"/>
  <c r="N65" i="90"/>
  <c r="K67" i="90"/>
  <c r="L66" i="90"/>
  <c r="P66" i="90" l="1"/>
  <c r="Q66" i="90"/>
  <c r="O67" i="90"/>
  <c r="L68" i="91"/>
  <c r="K69" i="91"/>
  <c r="L69" i="91" s="1"/>
  <c r="D68" i="91"/>
  <c r="E67" i="91"/>
  <c r="M67" i="91"/>
  <c r="N67" i="91"/>
  <c r="F66" i="91"/>
  <c r="G66" i="91"/>
  <c r="H82" i="91"/>
  <c r="A69" i="91"/>
  <c r="C68" i="91"/>
  <c r="J68" i="91"/>
  <c r="I68" i="91"/>
  <c r="P67" i="91"/>
  <c r="Q67" i="91"/>
  <c r="K68" i="90"/>
  <c r="L67" i="90"/>
  <c r="M66" i="90"/>
  <c r="N66" i="90"/>
  <c r="A70" i="90"/>
  <c r="C69" i="90"/>
  <c r="D68" i="90"/>
  <c r="E67" i="90"/>
  <c r="G66" i="90"/>
  <c r="F66" i="90"/>
  <c r="J67" i="90"/>
  <c r="I67" i="90"/>
  <c r="H82" i="90"/>
  <c r="P67" i="90" l="1"/>
  <c r="Q67" i="90"/>
  <c r="O68" i="90"/>
  <c r="F67" i="91"/>
  <c r="G67" i="91"/>
  <c r="I69" i="91"/>
  <c r="J69" i="91"/>
  <c r="A70" i="91"/>
  <c r="C69" i="91"/>
  <c r="H83" i="91"/>
  <c r="E68" i="91"/>
  <c r="D69" i="91"/>
  <c r="Q68" i="91"/>
  <c r="P68" i="91"/>
  <c r="N68" i="91"/>
  <c r="M68" i="91"/>
  <c r="N69" i="91" s="1"/>
  <c r="H83" i="90"/>
  <c r="G67" i="90"/>
  <c r="F67" i="90"/>
  <c r="D69" i="90"/>
  <c r="E68" i="90"/>
  <c r="C70" i="90"/>
  <c r="A71" i="90"/>
  <c r="I68" i="90"/>
  <c r="J68" i="90"/>
  <c r="M67" i="90"/>
  <c r="N67" i="90"/>
  <c r="K69" i="90"/>
  <c r="L69" i="90" s="1"/>
  <c r="L68" i="90"/>
  <c r="Q68" i="90" l="1"/>
  <c r="O69" i="90"/>
  <c r="P68" i="90"/>
  <c r="M69" i="91"/>
  <c r="Q69" i="91"/>
  <c r="P69" i="91"/>
  <c r="E69" i="91"/>
  <c r="D70" i="91"/>
  <c r="G68" i="91"/>
  <c r="F68" i="91"/>
  <c r="H84" i="91"/>
  <c r="G5" i="91"/>
  <c r="C70" i="91"/>
  <c r="A71" i="91"/>
  <c r="I70" i="91"/>
  <c r="J70" i="91"/>
  <c r="M68" i="90"/>
  <c r="M69" i="90" s="1"/>
  <c r="N68" i="90"/>
  <c r="I69" i="90"/>
  <c r="J69" i="90"/>
  <c r="C71" i="90"/>
  <c r="A72" i="90"/>
  <c r="E69" i="90"/>
  <c r="D70" i="90"/>
  <c r="F68" i="90"/>
  <c r="G68" i="90"/>
  <c r="H84" i="90"/>
  <c r="N69" i="90" l="1"/>
  <c r="P69" i="90"/>
  <c r="Q69" i="90"/>
  <c r="J71" i="91"/>
  <c r="I71" i="91"/>
  <c r="H85" i="91"/>
  <c r="A72" i="91"/>
  <c r="C71" i="91"/>
  <c r="H5" i="91"/>
  <c r="G8" i="91"/>
  <c r="E70" i="91"/>
  <c r="D71" i="91"/>
  <c r="F69" i="91"/>
  <c r="G69" i="91"/>
  <c r="F69" i="90"/>
  <c r="G69" i="90"/>
  <c r="C72" i="90"/>
  <c r="A73" i="90"/>
  <c r="I70" i="90"/>
  <c r="J70" i="90"/>
  <c r="H85" i="90"/>
  <c r="E70" i="90"/>
  <c r="D71" i="90"/>
  <c r="G5" i="90" l="1"/>
  <c r="H5" i="90" s="1"/>
  <c r="K5" i="90" s="1"/>
  <c r="L5" i="90" s="1"/>
  <c r="D72" i="91"/>
  <c r="E71" i="91"/>
  <c r="F70" i="91"/>
  <c r="G70" i="91"/>
  <c r="L5" i="91"/>
  <c r="H8" i="91"/>
  <c r="C72" i="91"/>
  <c r="A73" i="91"/>
  <c r="I72" i="91"/>
  <c r="J72" i="91"/>
  <c r="E71" i="90"/>
  <c r="D72" i="90"/>
  <c r="A74" i="90"/>
  <c r="C73" i="90"/>
  <c r="F70" i="90"/>
  <c r="G70" i="90"/>
  <c r="I71" i="90"/>
  <c r="J71" i="90"/>
  <c r="I5" i="91" l="1"/>
  <c r="J73" i="91"/>
  <c r="I73" i="91"/>
  <c r="A74" i="91"/>
  <c r="C73" i="91"/>
  <c r="M5" i="91"/>
  <c r="M8" i="91" s="1"/>
  <c r="L8" i="91"/>
  <c r="G71" i="91"/>
  <c r="F71" i="91"/>
  <c r="E72" i="91"/>
  <c r="D73" i="91"/>
  <c r="I72" i="90"/>
  <c r="J72" i="90"/>
  <c r="C74" i="90"/>
  <c r="A75" i="90"/>
  <c r="E72" i="90"/>
  <c r="D73" i="90"/>
  <c r="G71" i="90"/>
  <c r="F71" i="90"/>
  <c r="E73" i="91" l="1"/>
  <c r="D74" i="91"/>
  <c r="G72" i="91"/>
  <c r="F72" i="91"/>
  <c r="A75" i="91"/>
  <c r="C74" i="91"/>
  <c r="J74" i="91"/>
  <c r="I74" i="91"/>
  <c r="E73" i="90"/>
  <c r="D74" i="90"/>
  <c r="C75" i="90"/>
  <c r="A76" i="90"/>
  <c r="F72" i="90"/>
  <c r="G72" i="90"/>
  <c r="I73" i="90"/>
  <c r="J73" i="90"/>
  <c r="A76" i="91" l="1"/>
  <c r="C75" i="91"/>
  <c r="D75" i="91"/>
  <c r="E74" i="91"/>
  <c r="I75" i="91"/>
  <c r="J75" i="91"/>
  <c r="F73" i="91"/>
  <c r="G73" i="91"/>
  <c r="I74" i="90"/>
  <c r="J74" i="90"/>
  <c r="A77" i="90"/>
  <c r="C76" i="90"/>
  <c r="E74" i="90"/>
  <c r="D75" i="90"/>
  <c r="G73" i="90"/>
  <c r="F73" i="90"/>
  <c r="J76" i="91" l="1"/>
  <c r="I76" i="91"/>
  <c r="G74" i="91"/>
  <c r="F74" i="91"/>
  <c r="E75" i="91"/>
  <c r="D76" i="91"/>
  <c r="C76" i="91"/>
  <c r="A77" i="91"/>
  <c r="E75" i="90"/>
  <c r="D76" i="90"/>
  <c r="F74" i="90"/>
  <c r="G74" i="90"/>
  <c r="A78" i="90"/>
  <c r="C77" i="90"/>
  <c r="I75" i="90"/>
  <c r="J75" i="90"/>
  <c r="A78" i="91" l="1"/>
  <c r="C77" i="91"/>
  <c r="D77" i="91"/>
  <c r="E76" i="91"/>
  <c r="G75" i="91"/>
  <c r="F75" i="91"/>
  <c r="J77" i="91"/>
  <c r="I77" i="91"/>
  <c r="I76" i="90"/>
  <c r="J76" i="90"/>
  <c r="C78" i="90"/>
  <c r="A79" i="90"/>
  <c r="E76" i="90"/>
  <c r="D77" i="90"/>
  <c r="G75" i="90"/>
  <c r="F75" i="90"/>
  <c r="I78" i="91" l="1"/>
  <c r="J78" i="91"/>
  <c r="D78" i="91"/>
  <c r="E77" i="91"/>
  <c r="F76" i="91"/>
  <c r="G76" i="91"/>
  <c r="C78" i="91"/>
  <c r="A79" i="91"/>
  <c r="E77" i="90"/>
  <c r="D78" i="90"/>
  <c r="A80" i="90"/>
  <c r="C79" i="90"/>
  <c r="G76" i="90"/>
  <c r="F76" i="90"/>
  <c r="I77" i="90"/>
  <c r="J77" i="90"/>
  <c r="A80" i="91" l="1"/>
  <c r="C79" i="91"/>
  <c r="F77" i="91"/>
  <c r="G77" i="91"/>
  <c r="D79" i="91"/>
  <c r="E78" i="91"/>
  <c r="J79" i="91"/>
  <c r="I79" i="91"/>
  <c r="I78" i="90"/>
  <c r="J78" i="90"/>
  <c r="C80" i="90"/>
  <c r="A81" i="90"/>
  <c r="E78" i="90"/>
  <c r="D79" i="90"/>
  <c r="G77" i="90"/>
  <c r="F77" i="90"/>
  <c r="I80" i="91" l="1"/>
  <c r="J80" i="91"/>
  <c r="G78" i="91"/>
  <c r="F78" i="91"/>
  <c r="E79" i="91"/>
  <c r="D80" i="91"/>
  <c r="A81" i="91"/>
  <c r="C80" i="91"/>
  <c r="E79" i="90"/>
  <c r="D80" i="90"/>
  <c r="C81" i="90"/>
  <c r="A82" i="90"/>
  <c r="F78" i="90"/>
  <c r="G78" i="90"/>
  <c r="J79" i="90"/>
  <c r="I79" i="90"/>
  <c r="A82" i="91" l="1"/>
  <c r="C81" i="91"/>
  <c r="D81" i="91"/>
  <c r="E80" i="91"/>
  <c r="F79" i="91"/>
  <c r="G79" i="91"/>
  <c r="J81" i="91"/>
  <c r="I81" i="91"/>
  <c r="A83" i="90"/>
  <c r="C82" i="90"/>
  <c r="I80" i="90"/>
  <c r="J80" i="90"/>
  <c r="E80" i="90"/>
  <c r="D81" i="90"/>
  <c r="G79" i="90"/>
  <c r="F79" i="90"/>
  <c r="I82" i="91" l="1"/>
  <c r="J82" i="91"/>
  <c r="G80" i="91"/>
  <c r="F80" i="91"/>
  <c r="E81" i="91"/>
  <c r="D82" i="91"/>
  <c r="A83" i="91"/>
  <c r="C82" i="91"/>
  <c r="F80" i="90"/>
  <c r="G80" i="90"/>
  <c r="D82" i="90"/>
  <c r="E81" i="90"/>
  <c r="J81" i="90"/>
  <c r="I81" i="90"/>
  <c r="C83" i="90"/>
  <c r="A84" i="90"/>
  <c r="A84" i="91" l="1"/>
  <c r="C83" i="91"/>
  <c r="D83" i="91"/>
  <c r="E82" i="91"/>
  <c r="F81" i="91"/>
  <c r="G81" i="91"/>
  <c r="J83" i="91"/>
  <c r="I83" i="91"/>
  <c r="A85" i="90"/>
  <c r="C85" i="90" s="1"/>
  <c r="C84" i="90"/>
  <c r="I82" i="90"/>
  <c r="J82" i="90"/>
  <c r="G81" i="90"/>
  <c r="F81" i="90"/>
  <c r="D83" i="90"/>
  <c r="E82" i="90"/>
  <c r="I84" i="91" l="1"/>
  <c r="J84" i="91"/>
  <c r="F82" i="91"/>
  <c r="G82" i="91"/>
  <c r="D84" i="91"/>
  <c r="E83" i="91"/>
  <c r="C84" i="91"/>
  <c r="A85" i="91"/>
  <c r="C85" i="91" s="1"/>
  <c r="F82" i="90"/>
  <c r="G82" i="90"/>
  <c r="J83" i="90"/>
  <c r="I83" i="90"/>
  <c r="E83" i="90"/>
  <c r="D84" i="90"/>
  <c r="F83" i="91" l="1"/>
  <c r="G83" i="91"/>
  <c r="E84" i="91"/>
  <c r="D85" i="91"/>
  <c r="E85" i="91" s="1"/>
  <c r="I85" i="91"/>
  <c r="J85" i="91"/>
  <c r="E84" i="90"/>
  <c r="D85" i="90"/>
  <c r="E85" i="90" s="1"/>
  <c r="G83" i="90"/>
  <c r="F83" i="90"/>
  <c r="I84" i="90"/>
  <c r="J84" i="90"/>
  <c r="F84" i="91" l="1"/>
  <c r="G85" i="91" s="1"/>
  <c r="G84" i="91"/>
  <c r="J85" i="90"/>
  <c r="I85" i="90"/>
  <c r="F84" i="90"/>
  <c r="G85" i="90" s="1"/>
  <c r="G84" i="90"/>
  <c r="G4" i="90" l="1"/>
  <c r="I4" i="90" s="1"/>
  <c r="F85" i="91"/>
  <c r="F85" i="90"/>
  <c r="H4" i="90" l="1"/>
  <c r="I4" i="91" s="1"/>
  <c r="I8" i="91" s="1"/>
  <c r="G8" i="90"/>
  <c r="I8" i="90"/>
  <c r="H8" i="90" l="1"/>
  <c r="K4" i="90"/>
  <c r="K8" i="90" s="1"/>
  <c r="L4" i="90" l="1"/>
  <c r="L8" i="90" s="1"/>
  <c r="E43" i="85"/>
  <c r="E60" i="85"/>
  <c r="K27" i="86"/>
  <c r="G27" i="86"/>
  <c r="C27" i="86"/>
  <c r="C23" i="87"/>
  <c r="C8" i="87"/>
  <c r="C7" i="87"/>
  <c r="C6" i="87"/>
  <c r="E5" i="89" l="1"/>
  <c r="E8" i="89" s="1"/>
  <c r="E6" i="89"/>
  <c r="E9" i="89" s="1"/>
  <c r="E14" i="89"/>
  <c r="E15" i="89"/>
  <c r="E17" i="89"/>
  <c r="E22" i="89" s="1"/>
  <c r="E10" i="89" l="1"/>
  <c r="E24" i="89"/>
  <c r="E29" i="89" s="1"/>
  <c r="K9" i="66"/>
  <c r="K17" i="66"/>
  <c r="K22" i="66" s="1"/>
  <c r="G9" i="66"/>
  <c r="G17" i="66"/>
  <c r="C9" i="66"/>
  <c r="C17" i="66"/>
  <c r="C22" i="66" l="1"/>
  <c r="G22" i="66"/>
  <c r="C16" i="87" l="1"/>
  <c r="C15" i="87"/>
  <c r="C14" i="87"/>
  <c r="K16" i="86"/>
  <c r="G16" i="86"/>
  <c r="C16" i="86"/>
  <c r="K15" i="86"/>
  <c r="G15" i="86"/>
  <c r="C15" i="86"/>
  <c r="K14" i="86"/>
  <c r="K17" i="86" s="1"/>
  <c r="G14" i="86"/>
  <c r="C14" i="86"/>
  <c r="K8" i="86"/>
  <c r="G8" i="86"/>
  <c r="C8" i="86"/>
  <c r="K7" i="86"/>
  <c r="G7" i="86"/>
  <c r="C7" i="86"/>
  <c r="K6" i="86"/>
  <c r="G6" i="86"/>
  <c r="C6" i="86"/>
  <c r="C9" i="87" l="1"/>
  <c r="G17" i="86"/>
  <c r="C17" i="86"/>
  <c r="K9" i="86"/>
  <c r="K22" i="86" s="1"/>
  <c r="G9" i="86"/>
  <c r="C17" i="87"/>
  <c r="G22" i="86"/>
  <c r="C9" i="86"/>
  <c r="C22" i="86" s="1"/>
  <c r="G23" i="86" s="1"/>
  <c r="G24" i="86" s="1"/>
  <c r="C22" i="87" l="1"/>
  <c r="C24" i="87" s="1"/>
  <c r="C27" i="87" s="1"/>
  <c r="K23" i="86"/>
  <c r="K24" i="86" s="1"/>
  <c r="J5" i="85" l="1"/>
  <c r="I7" i="85"/>
  <c r="H5" i="85"/>
  <c r="G5" i="85"/>
  <c r="E25" i="85"/>
  <c r="F24" i="85"/>
  <c r="G24" i="85" s="1"/>
  <c r="H24" i="85" s="1"/>
  <c r="I24" i="85" s="1"/>
  <c r="J24" i="85" s="1"/>
  <c r="K24" i="85" s="1"/>
  <c r="L24" i="85" s="1"/>
  <c r="M24" i="85" s="1"/>
  <c r="N24" i="85" s="1"/>
  <c r="F9" i="85"/>
  <c r="G9" i="85" s="1"/>
  <c r="N8" i="85"/>
  <c r="M8" i="85"/>
  <c r="L8" i="85"/>
  <c r="K8" i="85"/>
  <c r="J8" i="85"/>
  <c r="I8" i="85"/>
  <c r="H8" i="85"/>
  <c r="G8" i="85"/>
  <c r="F8" i="85"/>
  <c r="E8" i="85"/>
  <c r="E44" i="85" s="1"/>
  <c r="G7" i="85"/>
  <c r="F7" i="85"/>
  <c r="E7" i="85"/>
  <c r="E46" i="85" s="1"/>
  <c r="E52" i="85" s="1"/>
  <c r="N6" i="85"/>
  <c r="M6" i="85"/>
  <c r="L6" i="85"/>
  <c r="K6" i="85"/>
  <c r="J6" i="85"/>
  <c r="I6" i="85"/>
  <c r="H6" i="85"/>
  <c r="G6" i="85"/>
  <c r="F6" i="85"/>
  <c r="E6" i="85"/>
  <c r="E45" i="85" s="1"/>
  <c r="E51" i="85" s="1"/>
  <c r="F5" i="85"/>
  <c r="E5" i="85"/>
  <c r="N4" i="85"/>
  <c r="N25" i="85" s="1"/>
  <c r="N26" i="85" s="1"/>
  <c r="M4" i="85"/>
  <c r="M25" i="85" s="1"/>
  <c r="M26" i="85" s="1"/>
  <c r="L4" i="85"/>
  <c r="L25" i="85" s="1"/>
  <c r="L26" i="85" s="1"/>
  <c r="K4" i="85"/>
  <c r="K25" i="85" s="1"/>
  <c r="K26" i="85" s="1"/>
  <c r="J4" i="85"/>
  <c r="J25" i="85" s="1"/>
  <c r="J26" i="85" s="1"/>
  <c r="I4" i="85"/>
  <c r="I25" i="85" s="1"/>
  <c r="H4" i="85"/>
  <c r="H25" i="85" s="1"/>
  <c r="G4" i="85"/>
  <c r="G25" i="85" s="1"/>
  <c r="F4" i="85"/>
  <c r="F25" i="85" s="1"/>
  <c r="E4" i="85"/>
  <c r="F3" i="85"/>
  <c r="G3" i="85" s="1"/>
  <c r="H3" i="85" s="1"/>
  <c r="I3" i="85" s="1"/>
  <c r="J3" i="85" s="1"/>
  <c r="K3" i="85" s="1"/>
  <c r="L3" i="85" s="1"/>
  <c r="M3" i="85" s="1"/>
  <c r="N3" i="85" s="1"/>
  <c r="N7" i="85"/>
  <c r="M7" i="85"/>
  <c r="L7" i="85"/>
  <c r="K5" i="85"/>
  <c r="E59" i="85" l="1"/>
  <c r="E26" i="85"/>
  <c r="H26" i="85"/>
  <c r="F10" i="85"/>
  <c r="H9" i="85"/>
  <c r="F26" i="85"/>
  <c r="G26" i="85"/>
  <c r="I26" i="85"/>
  <c r="E54" i="85"/>
  <c r="H7" i="85"/>
  <c r="I5" i="85"/>
  <c r="J7" i="85"/>
  <c r="K7" i="85"/>
  <c r="L5" i="85"/>
  <c r="M5" i="85"/>
  <c r="N5" i="85"/>
  <c r="E10" i="85"/>
  <c r="G10" i="85" l="1"/>
  <c r="I9" i="85"/>
  <c r="H10" i="85" l="1"/>
  <c r="J9" i="85"/>
  <c r="I10" i="85" l="1"/>
  <c r="K9" i="85"/>
  <c r="L9" i="85" l="1"/>
  <c r="J10" i="85"/>
  <c r="M9" i="85" l="1"/>
  <c r="K10" i="85"/>
  <c r="L10" i="85" l="1"/>
  <c r="N9" i="85"/>
  <c r="M10" i="85" l="1"/>
  <c r="N10" i="85" s="1"/>
  <c r="E14" i="85" s="1"/>
  <c r="E16" i="85"/>
  <c r="H15" i="85" s="1"/>
  <c r="E36" i="85" s="1"/>
  <c r="E15" i="85"/>
  <c r="E13" i="85"/>
  <c r="H14" i="85" l="1"/>
  <c r="E35" i="85" s="1"/>
  <c r="E17" i="85"/>
  <c r="E18" i="85" l="1"/>
  <c r="E28" i="85" l="1"/>
  <c r="H16" i="85"/>
  <c r="E37" i="85" s="1"/>
  <c r="E38" i="85" s="1"/>
  <c r="E61" i="85" s="1"/>
  <c r="E19" i="85"/>
  <c r="E29" i="85" l="1"/>
  <c r="E30" i="85" l="1"/>
  <c r="E48" i="85" s="1"/>
  <c r="E63" i="85" s="1"/>
  <c r="E31" i="85" l="1"/>
  <c r="F28" i="85" s="1"/>
  <c r="F29" i="85" l="1"/>
  <c r="F30" i="85" s="1"/>
  <c r="F31" i="85" l="1"/>
  <c r="G28" i="85" s="1"/>
  <c r="G29" i="85" s="1"/>
  <c r="G30" i="85" l="1"/>
  <c r="G31" i="85" s="1"/>
  <c r="H28" i="85" s="1"/>
  <c r="H29" i="85" s="1"/>
  <c r="H30" i="85" l="1"/>
  <c r="H31" i="85" s="1"/>
  <c r="I28" i="85" s="1"/>
  <c r="I29" i="85" s="1"/>
  <c r="I30" i="85" l="1"/>
  <c r="I31" i="85" s="1"/>
  <c r="J28" i="85" s="1"/>
  <c r="J29" i="85" l="1"/>
  <c r="J30" i="85" l="1"/>
  <c r="J31" i="85" s="1"/>
  <c r="K28" i="85" s="1"/>
  <c r="K29" i="85" l="1"/>
  <c r="K30" i="85" s="1"/>
  <c r="K31" i="85" s="1"/>
  <c r="L28" i="85" s="1"/>
  <c r="L29" i="85" l="1"/>
  <c r="L30" i="85" s="1"/>
  <c r="L31" i="85" l="1"/>
  <c r="M28" i="85" s="1"/>
  <c r="M29" i="85" s="1"/>
  <c r="M30" i="85" s="1"/>
  <c r="C25" i="83"/>
  <c r="C8" i="83"/>
  <c r="C12" i="83"/>
  <c r="C62" i="83"/>
  <c r="C49" i="83"/>
  <c r="C50" i="83"/>
  <c r="C51" i="83"/>
  <c r="C52" i="83"/>
  <c r="C53" i="83"/>
  <c r="C54" i="83"/>
  <c r="C55" i="83"/>
  <c r="C57" i="83"/>
  <c r="C7" i="83"/>
  <c r="C6" i="83"/>
  <c r="C5" i="83"/>
  <c r="C33" i="83"/>
  <c r="C24" i="83"/>
  <c r="C40" i="83"/>
  <c r="C39" i="83"/>
  <c r="C15" i="83"/>
  <c r="C14" i="83"/>
  <c r="C13" i="83"/>
  <c r="M31" i="85" l="1"/>
  <c r="N28" i="85" s="1"/>
  <c r="N29" i="85" s="1"/>
  <c r="C41" i="83"/>
  <c r="C63" i="83" s="1"/>
  <c r="C69" i="83"/>
  <c r="C26" i="83"/>
  <c r="C34" i="83" s="1"/>
  <c r="C9" i="83"/>
  <c r="C19" i="83" s="1"/>
  <c r="C56" i="83"/>
  <c r="C58" i="83" s="1"/>
  <c r="C16" i="83"/>
  <c r="C20" i="83" s="1"/>
  <c r="N30" i="85" l="1"/>
  <c r="N31" i="85" s="1"/>
  <c r="C32" i="83"/>
  <c r="C21" i="83"/>
  <c r="C44" i="83" s="1"/>
  <c r="C70" i="83"/>
  <c r="C71" i="83"/>
  <c r="C64" i="83"/>
  <c r="C36" i="83" l="1"/>
  <c r="C45" i="83" s="1"/>
  <c r="C46" i="83" s="1"/>
  <c r="C61" i="83" s="1"/>
  <c r="C65" i="83" s="1"/>
  <c r="C68" i="83"/>
  <c r="C72" i="83" s="1"/>
  <c r="C13" i="81" l="1"/>
  <c r="C12" i="81"/>
  <c r="C11" i="81"/>
  <c r="C10" i="81"/>
  <c r="C9" i="81"/>
  <c r="C8" i="81"/>
  <c r="B8" i="82"/>
  <c r="B7" i="82"/>
  <c r="B19" i="82" l="1"/>
  <c r="B18" i="82"/>
  <c r="C48" i="82" s="1"/>
  <c r="D34" i="82"/>
  <c r="C55" i="82"/>
  <c r="D55" i="82"/>
  <c r="E55" i="82" s="1"/>
  <c r="C58" i="82"/>
  <c r="C59" i="82"/>
  <c r="C19" i="81"/>
  <c r="D19" i="81"/>
  <c r="E19" i="81" l="1"/>
  <c r="C34" i="82"/>
  <c r="E34" i="82" s="1"/>
  <c r="D48" i="82" s="1"/>
  <c r="C47" i="82"/>
  <c r="D59" i="82"/>
  <c r="D58" i="82"/>
  <c r="D47" i="8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Boutin, Nicolas</author>
  </authors>
  <commentList>
    <comment ref="A12" authorId="0" shapeId="0" xr:uid="{55F28216-B357-4C84-9545-047BD7EEA9B8}">
      <text>
        <r>
          <rPr>
            <sz val="9"/>
            <color indexed="81"/>
            <rFont val="Tahoma"/>
            <family val="2"/>
          </rPr>
          <t>Year 2024 corresponds to the year 20X1 and so 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Boutin, Nicolas</author>
  </authors>
  <commentList>
    <comment ref="A12" authorId="0" shapeId="0" xr:uid="{A512C5CD-5D19-4BDC-B5BA-63FE1E3A390C}">
      <text>
        <r>
          <rPr>
            <sz val="9"/>
            <color indexed="81"/>
            <rFont val="Tahoma"/>
            <family val="2"/>
          </rPr>
          <t>Year 2024 corresponds to the year 20X1 and so 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<sst xmlns="http://schemas.openxmlformats.org/spreadsheetml/2006/main" count="794" uniqueCount="487">
  <si>
    <t>Question 3</t>
  </si>
  <si>
    <t>Question 4</t>
  </si>
  <si>
    <t>Question 5</t>
  </si>
  <si>
    <t>Question 2</t>
  </si>
  <si>
    <t>State any assumptions and show your work.</t>
  </si>
  <si>
    <t>Age</t>
  </si>
  <si>
    <t>Question 7</t>
  </si>
  <si>
    <t>None</t>
  </si>
  <si>
    <t>Count</t>
  </si>
  <si>
    <t>Discount rate</t>
  </si>
  <si>
    <t>Taxes</t>
  </si>
  <si>
    <t>Mortality rates</t>
  </si>
  <si>
    <t>0-44</t>
  </si>
  <si>
    <t>Benefit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</si>
  <si>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 xml:space="preserve">Short-Term Disability (STD) and Long-Term Disability (LTD) plan provisions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</si>
  <si>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Details regarding the disabilities of the two employees</t>
    </r>
  </si>
  <si>
    <t>Offsets</t>
  </si>
  <si>
    <t>Short Term Disability</t>
  </si>
  <si>
    <t>Management</t>
  </si>
  <si>
    <t>90% of weekly earnings</t>
  </si>
  <si>
    <t>26 weeks</t>
  </si>
  <si>
    <t>Standard government program offsets</t>
  </si>
  <si>
    <t>Long Term Disability</t>
  </si>
  <si>
    <t>Management and Union</t>
  </si>
  <si>
    <t>66.67% of monthly earnings</t>
  </si>
  <si>
    <t>Employee</t>
  </si>
  <si>
    <t>Class</t>
  </si>
  <si>
    <t>Annual Salary</t>
  </si>
  <si>
    <t>Birthdate</t>
  </si>
  <si>
    <t>CPP Retirement Pension</t>
  </si>
  <si>
    <t>Expected duration</t>
  </si>
  <si>
    <t>Disability prognosis</t>
  </si>
  <si>
    <t>Disability Notes</t>
  </si>
  <si>
    <t>#1</t>
  </si>
  <si>
    <t>52 weeks</t>
  </si>
  <si>
    <t>#2</t>
  </si>
  <si>
    <t>Union</t>
  </si>
  <si>
    <t>Lifetime</t>
  </si>
  <si>
    <t xml:space="preserve">CPP Disability </t>
  </si>
  <si>
    <t>Year</t>
  </si>
  <si>
    <t>In the Excel spreadsheet, you are provided with the following information: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</si>
  <si>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Plan provisions</t>
    </r>
  </si>
  <si>
    <t>(i)              Defined Benefit Obligation (DBO) as of December 31, 20X1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</si>
  <si>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New employees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</si>
  <si>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Employees who are not fully eligible to retire</t>
    </r>
  </si>
  <si>
    <t>(i)              Past Service Cost as of December 31, 20X1</t>
  </si>
  <si>
    <t>(ii)              Current Service Cost for the year 20X2</t>
  </si>
  <si>
    <t>(iii)              Estimated Defined Benefit Cost for the year 20X2</t>
  </si>
  <si>
    <t>Assumptions as of December 31, 20X1:</t>
  </si>
  <si>
    <t>Average Age</t>
  </si>
  <si>
    <t>Average Years of Service</t>
  </si>
  <si>
    <t>20X1 Retiree Claim Cost</t>
  </si>
  <si>
    <t>Active employees – Not fully eligible to benefit</t>
  </si>
  <si>
    <t>Insurer Fees</t>
  </si>
  <si>
    <t>Cost-sharing</t>
  </si>
  <si>
    <t>100% employer paid benefit </t>
  </si>
  <si>
    <t>Active employees – Fully eligible to benefit</t>
  </si>
  <si>
    <t>Retired employees</t>
  </si>
  <si>
    <t>Not Applicable</t>
  </si>
  <si>
    <t>Benefits are paid uniformly throughout the year</t>
  </si>
  <si>
    <t>Claim Cost Trend Rate</t>
  </si>
  <si>
    <t>- In 20X2</t>
  </si>
  <si>
    <t>- In 20X3</t>
  </si>
  <si>
    <t>- In 20X4 and after</t>
  </si>
  <si>
    <t>Retirement Age</t>
  </si>
  <si>
    <t>See table to the right</t>
  </si>
  <si>
    <t>Annual Termination Rates</t>
  </si>
  <si>
    <t>Rates</t>
  </si>
  <si>
    <t>45-54</t>
  </si>
  <si>
    <t>55+</t>
  </si>
  <si>
    <t>Quebec</t>
  </si>
  <si>
    <t>Under 60</t>
  </si>
  <si>
    <t>Age 65+</t>
  </si>
  <si>
    <t>Public</t>
  </si>
  <si>
    <t>Private</t>
  </si>
  <si>
    <t>Quebec:</t>
  </si>
  <si>
    <t>Dispensing fees per refill:</t>
  </si>
  <si>
    <t>Generic</t>
  </si>
  <si>
    <t>Insurer target loss ratio:</t>
  </si>
  <si>
    <t>Refill frequency:</t>
  </si>
  <si>
    <t>Monthly</t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</si>
  <si>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rFont val="Times New Roman"/>
        <family val="1"/>
      </rPr>
      <t>Did not adjust their Trust Income Tax and Information Returns for 2021 to 2023 following the conversion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</si>
  <si>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rFont val="Times New Roman"/>
        <family val="1"/>
      </rPr>
      <t>Under-reported benefits paid to beneficiaries</t>
    </r>
    <r>
      <rPr>
        <sz val="12"/>
        <color rgb="FF000000"/>
        <rFont val="Calibri"/>
        <family val="2"/>
        <scheme val="minor"/>
      </rPr>
      <t xml:space="preserve"> in the amount of:</t>
    </r>
  </si>
  <si>
    <t>2021 TAX RETURN</t>
  </si>
  <si>
    <t>2022 TAX RETURN</t>
  </si>
  <si>
    <t>2023 TAX RETURN</t>
  </si>
  <si>
    <t>Step 1 - Calculate total income</t>
  </si>
  <si>
    <t>Taxable capital gains</t>
  </si>
  <si>
    <t>Foreign investment income</t>
  </si>
  <si>
    <t>Other investment income</t>
  </si>
  <si>
    <t>Total income</t>
  </si>
  <si>
    <t>Step 2 - Calculate expenses</t>
  </si>
  <si>
    <t>Carrying charges and interest expenses</t>
  </si>
  <si>
    <t>Plan administration expenses</t>
  </si>
  <si>
    <t>Amounts paid or payable to beneficiaries</t>
  </si>
  <si>
    <t>Total expenses</t>
  </si>
  <si>
    <t>Step 3 - Calculate net income</t>
  </si>
  <si>
    <t>Net income</t>
  </si>
  <si>
    <t>Step 4 - Determine tax owing</t>
  </si>
  <si>
    <t>Tax owing</t>
  </si>
  <si>
    <t>increase over 2023</t>
  </si>
  <si>
    <t>of projected costs</t>
  </si>
  <si>
    <t>Projected HCSA</t>
  </si>
  <si>
    <t xml:space="preserve">with these two employees. </t>
  </si>
  <si>
    <t>(e)             (2 points)  Construct the Statement of Expected Profit or Loss for the year 2023.</t>
  </si>
  <si>
    <t>(d)             (1 point)  Calculate the components of the Insurance Financial Expense for the year 2023.</t>
  </si>
  <si>
    <t>(c)             (2 points)  Construct the CSM Amortization Schedule for years 2023 to 2032.</t>
  </si>
  <si>
    <t>(b)             (3 points)  Calculate the components of the liability on initial recognition as of January 1, 2023.</t>
  </si>
  <si>
    <t>Expected claims</t>
  </si>
  <si>
    <t>Expected premiums</t>
  </si>
  <si>
    <t>Sum insured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</si>
  <si>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Times New Roman"/>
        <family val="1"/>
      </rPr>
      <t>Claims are assumed to be paid at the end of each year.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</si>
  <si>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Times New Roman"/>
        <family val="1"/>
      </rPr>
      <t>Premiums are assumed to be paid at the beginning of each year</t>
    </r>
  </si>
  <si>
    <t>Cashflow timings</t>
  </si>
  <si>
    <t>Acquisition expense</t>
  </si>
  <si>
    <t>Asset earned rate</t>
  </si>
  <si>
    <t>of sum insured</t>
  </si>
  <si>
    <t>Mortality risk adjustment</t>
  </si>
  <si>
    <t>of premium</t>
  </si>
  <si>
    <t>Commissions</t>
  </si>
  <si>
    <t>2023 discount rate</t>
  </si>
  <si>
    <t>(ii)              Core Ratio</t>
  </si>
  <si>
    <t>(i)              Total Ratio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</si>
  <si>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Scalar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</si>
  <si>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Risk Components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</si>
  <si>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Balance Sheet</t>
    </r>
  </si>
  <si>
    <t>In the Excel spreadsheet, you are provided the following financial information for XYZ:</t>
  </si>
  <si>
    <t>Question 6</t>
  </si>
  <si>
    <t>Scalar</t>
  </si>
  <si>
    <t>Diversification benefit</t>
  </si>
  <si>
    <t>Participating &amp; Adjustable Credit</t>
  </si>
  <si>
    <t>Operational risk</t>
  </si>
  <si>
    <t>Segregated funds guarantee</t>
  </si>
  <si>
    <t>Insurance risk</t>
  </si>
  <si>
    <t>Market risk</t>
  </si>
  <si>
    <t>Credit risk</t>
  </si>
  <si>
    <t>Risk components ('000)</t>
  </si>
  <si>
    <t>Surplus Allowance</t>
  </si>
  <si>
    <t>Excess deposits from unregistered reinsurance</t>
  </si>
  <si>
    <t>Claim Fluctuation Reserves (CFR)</t>
  </si>
  <si>
    <t>Tier 2 Capital Instruments</t>
  </si>
  <si>
    <t>Policy-by-policy negative reserves</t>
  </si>
  <si>
    <t>Cash Surrender Value (CSV) Deficiencies</t>
  </si>
  <si>
    <t>Net defined benefit pension plan assets</t>
  </si>
  <si>
    <t>Goodwill and other intangible assets</t>
  </si>
  <si>
    <t>Adjusted accumulated Other Comprehenve Income (AOCI)</t>
  </si>
  <si>
    <t>Adjusted Retained earnings</t>
  </si>
  <si>
    <t>Contributed surplus</t>
  </si>
  <si>
    <t>Common shares</t>
  </si>
  <si>
    <t>Balance sheet ('000)</t>
  </si>
  <si>
    <t>Claimant Information:</t>
  </si>
  <si>
    <t>In the Excel spreadsheet, you are provided with the following information as of December 31, 20X1: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</si>
  <si>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Employee census data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</si>
  <si>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Valuation assumptions</t>
    </r>
  </si>
  <si>
    <t>Pricing information:</t>
  </si>
  <si>
    <t>Ingredient costs of the brand name drug per refill:</t>
  </si>
  <si>
    <t>Inflation on ingredient costs:</t>
  </si>
  <si>
    <t>per year</t>
  </si>
  <si>
    <t>Brand name</t>
  </si>
  <si>
    <t>Inflation on dispensing fees:</t>
  </si>
  <si>
    <t>In the Excel spreadsheet, you are provided with the tax returns filed for years 2021 to 2023.</t>
  </si>
  <si>
    <t>(d)             (2 points) Construct the projected tax return for 2024.</t>
  </si>
  <si>
    <t>Assumptions and projections for 2024:</t>
  </si>
  <si>
    <t>Valuation assumptions</t>
  </si>
  <si>
    <t>2023 Term Life Business - Figures in $ Million CAD</t>
  </si>
  <si>
    <t>Plan Provisions:</t>
  </si>
  <si>
    <t>Two employees became disabled January 1, 2024. Company ABC would like to understand the total disability costs associated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</si>
  <si>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Annual maximums under CPP</t>
    </r>
  </si>
  <si>
    <t xml:space="preserve">(b)             (3 points)  Calculate the total STD and LTD benefit costs for each employee at January 1, 2024. </t>
  </si>
  <si>
    <t>(a)             (4 points)  Calculate the following:</t>
  </si>
  <si>
    <t>The CFO has decided to implement the amendment effective December 31, 20X1 for:</t>
  </si>
  <si>
    <t>(c)             (3 points)  Calculate the following:</t>
  </si>
  <si>
    <t>XYZ has contacted you, a benefits consultant, to help determine its projected savings due to the patent expiry.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</si>
  <si>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Pricing information regarding the brand name drug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</si>
  <si>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current distribution of XYZ employees taking the brand name drug</t>
    </r>
    <r>
      <rPr>
        <sz val="12"/>
        <color rgb="FF000000"/>
        <rFont val="Symbol"/>
        <family val="1"/>
        <charset val="2"/>
      </rPr>
      <t xml:space="preserve">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</si>
  <si>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Other assumptions</t>
    </r>
  </si>
  <si>
    <t xml:space="preserve">(b)             (1 point)  Calculate XYZ’s current year costs. </t>
  </si>
  <si>
    <t>(c)             (6 points)  Calculate XYZ’s projected costs next year if:</t>
  </si>
  <si>
    <t>Other assumptions: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</si>
  <si>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Employees will neither retire nor leave the group next year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</si>
  <si>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No new employees will be prescribed the drug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</si>
  <si>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brand name drug will remain on Quebec’s public drug formulary following the patent expiry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</si>
  <si>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XYZ covers 100% of all costs at all ages</t>
    </r>
  </si>
  <si>
    <t>Current year employee distribution: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</si>
  <si>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 summary of projections for term life business to be issued in 2023</t>
    </r>
  </si>
  <si>
    <t>XYZ’s term life block of business will be assessed using the GMA.</t>
  </si>
  <si>
    <t>Upon a recent internal audit, it was discovered that ABC:</t>
  </si>
  <si>
    <t>(c)             (4 points) Revise ABC's tax returns for 2021 to 2023 reflecting the results of the internal audit.</t>
  </si>
  <si>
    <t>Due to benefit cost increases in recent years, ABC will reduce plan costs by 60% in 2024 in exchange</t>
  </si>
  <si>
    <t>for a Health Care Spending Account (HCSA).</t>
  </si>
  <si>
    <t>In the Excel spreadsheet, you are given assumptions and projections for 2024.</t>
  </si>
  <si>
    <t>EMC previously only sold large group major medical policies but has expanded its offerings to include small group major medical policies beginning January 20X2.</t>
  </si>
  <si>
    <t>You are given the following methodology to calculate IBNR for the small group block: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</si>
  <si>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 xml:space="preserve">Use the development method for payment for all other incurred months.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</si>
  <si>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small group pricing loss ratio is 80%.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</si>
  <si>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large group pricing loss ratio is 85%.</t>
    </r>
  </si>
  <si>
    <t>Question 1</t>
  </si>
  <si>
    <t>Table 1:  Large group claims ($000s)</t>
  </si>
  <si>
    <t>Incurral Month</t>
  </si>
  <si>
    <t>Paid Month</t>
  </si>
  <si>
    <t>Jan 20X1</t>
  </si>
  <si>
    <t>Feb 20X1</t>
  </si>
  <si>
    <t>Mar 20X1</t>
  </si>
  <si>
    <t>Apr 20X1</t>
  </si>
  <si>
    <t>May 20X1</t>
  </si>
  <si>
    <t>Jun 20X1</t>
  </si>
  <si>
    <t>Jul 20X1</t>
  </si>
  <si>
    <t>Aug 20X1</t>
  </si>
  <si>
    <t>Sep 20X1</t>
  </si>
  <si>
    <t>Oct 20X1</t>
  </si>
  <si>
    <t>Nov 20X1</t>
  </si>
  <si>
    <t>Dec 20X1</t>
  </si>
  <si>
    <t>Jan 20X2</t>
  </si>
  <si>
    <t>Feb 20X2</t>
  </si>
  <si>
    <t>Mar 20X2</t>
  </si>
  <si>
    <t>Apr 20X2</t>
  </si>
  <si>
    <t>Table 2:  Small group cumulative claims ($000s)</t>
  </si>
  <si>
    <t>May 20X2</t>
  </si>
  <si>
    <t>Table 3:  Small group membership and premium – 20X2</t>
  </si>
  <si>
    <t>January</t>
  </si>
  <si>
    <t>February</t>
  </si>
  <si>
    <t>March</t>
  </si>
  <si>
    <t>April</t>
  </si>
  <si>
    <t>May</t>
  </si>
  <si>
    <t>Members</t>
  </si>
  <si>
    <t>Premium PMPM</t>
  </si>
  <si>
    <t xml:space="preserve">(b)             (3 points)  Calculate the incurred but not reported (IBNR) claims on the emerging small group block as of June 20X2. </t>
  </si>
  <si>
    <t xml:space="preserve">Show your work. </t>
  </si>
  <si>
    <t>In the Excel spreadsheet, you are provided claim and membership information for the small and large group blocks.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</si>
  <si>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Use the loss ratio method for the two most recent incurred months</t>
    </r>
    <r>
      <rPr>
        <sz val="12"/>
        <color theme="1"/>
        <rFont val="Symbol"/>
        <family val="1"/>
        <charset val="2"/>
      </rPr>
      <t>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</si>
  <si>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Factors should be based on the arithmetic average of the large group development factors from claims incurred in calendar 20X1</t>
    </r>
    <r>
      <rPr>
        <sz val="12"/>
        <color theme="1"/>
        <rFont val="Symbol"/>
        <family val="1"/>
        <charset val="2"/>
      </rPr>
      <t>.</t>
    </r>
  </si>
  <si>
    <t>Classes Eligible</t>
  </si>
  <si>
    <t>Elimination Period</t>
  </si>
  <si>
    <t>Benefit Level</t>
  </si>
  <si>
    <t>Maximum Benefit Level</t>
  </si>
  <si>
    <t>Max Benefit Duration</t>
  </si>
  <si>
    <t>To age 65</t>
  </si>
  <si>
    <t>Disability Date</t>
  </si>
  <si>
    <t>Temporary</t>
  </si>
  <si>
    <t>Severe and prolonged</t>
  </si>
  <si>
    <t>Stroke over the holidays</t>
  </si>
  <si>
    <t>Spinal cord injury from falling down stairs at home</t>
  </si>
  <si>
    <t>Flat Amount</t>
  </si>
  <si>
    <t>Maximum Monthly Benefit</t>
  </si>
  <si>
    <t>You are a consulting actuary for Company XYZ which has a non-unionized workforce and provides health and dental benefits to its employees</t>
  </si>
  <si>
    <t>during retirement.</t>
  </si>
  <si>
    <t>You are preparing the 20X1 year-end actuarial valuation for XYZ’s retiree benefits plan under IAS 19.</t>
  </si>
  <si>
    <t>Eligibility Provision</t>
  </si>
  <si>
    <t>At least age 55 years</t>
  </si>
  <si>
    <t>Lifetime coverage</t>
  </si>
  <si>
    <t>Benefit Termination Age</t>
  </si>
  <si>
    <t>Dependent Coverage</t>
  </si>
  <si>
    <t>Employee Group</t>
  </si>
  <si>
    <t>No fully eligible active employees are expected to retire in 20X2</t>
  </si>
  <si>
    <t>Employee Census Data as of December 31, 20X1:</t>
  </si>
  <si>
    <t>(d)             (3 points)  Calculate the following:</t>
  </si>
  <si>
    <t>In the Excel spreadsheet, you are provided with the following:</t>
  </si>
  <si>
    <t>(i)              A physician prescribes the generic drug</t>
  </si>
  <si>
    <t>(ii)              A physician prescribes the brand name drug and indicates “no substitution”</t>
  </si>
  <si>
    <t>ABC’s tax rate is 30%.</t>
  </si>
  <si>
    <t>Taxable Capital Gains</t>
  </si>
  <si>
    <t>Investment Income</t>
  </si>
  <si>
    <t>Carrying Charges and Interest Expenses</t>
  </si>
  <si>
    <t>Plan Administration Expenses</t>
  </si>
  <si>
    <t>Projected Benefits Paid to Beneficiaries (Base Plan Prior to Changes)</t>
  </si>
  <si>
    <t>this is the net LTD benefit (gross minus CPP offset)</t>
  </si>
  <si>
    <t>Total amount paid by plan</t>
  </si>
  <si>
    <t>assumption (with proper justification)</t>
  </si>
  <si>
    <t>disability benefit begins), points are given to any resonable</t>
  </si>
  <si>
    <t>while the typical assumption is 24 months (when CPP</t>
  </si>
  <si>
    <t>this is the CPP offset durign the LTD benefit period</t>
  </si>
  <si>
    <t>Months 25 to 360</t>
  </si>
  <si>
    <t>this is LTD benefit amount times number of months</t>
  </si>
  <si>
    <t>Months 6 to 360</t>
  </si>
  <si>
    <t>weeks 2 and 27</t>
  </si>
  <si>
    <t>there is one week waiting period, and EI pays between</t>
  </si>
  <si>
    <t>Weeks 1 - 27</t>
  </si>
  <si>
    <t>Months remaining to age 65</t>
  </si>
  <si>
    <r>
      <rPr>
        <sz val="11"/>
        <color theme="0"/>
        <rFont val="Calibri"/>
        <family val="2"/>
        <scheme val="minor"/>
      </rPr>
      <t>=</t>
    </r>
    <r>
      <rPr>
        <sz val="11"/>
        <rFont val="Calibri"/>
        <family val="2"/>
        <scheme val="minor"/>
      </rPr>
      <t xml:space="preserve"> disability benefits amount for 2024</t>
    </r>
  </si>
  <si>
    <t xml:space="preserve">= 75% of CPP Pension amount, plus the flat CPP </t>
  </si>
  <si>
    <t>CPP Offset</t>
  </si>
  <si>
    <t>= $57,000 / 12 * 66.67%</t>
  </si>
  <si>
    <t>LTD Benefit</t>
  </si>
  <si>
    <t>since the disability is not sever or prolonged</t>
  </si>
  <si>
    <t>this is the sum of STD and LTD benefits; there is no CPP offset</t>
  </si>
  <si>
    <t>this is essentially 26 weeks, or 6 months, of LTD benefit</t>
  </si>
  <si>
    <t>Weeks 27 - 52</t>
  </si>
  <si>
    <t>this is 26 weeks of STD benefit, there is no offset</t>
  </si>
  <si>
    <t>Weeks 1 - 26</t>
  </si>
  <si>
    <t>= $91,800 / 12 * 66.67%</t>
  </si>
  <si>
    <t>Monthly LTD benefit</t>
  </si>
  <si>
    <t>= $91,800 / 52 * 90%</t>
  </si>
  <si>
    <t>Weekly STD benefit</t>
  </si>
  <si>
    <t>Mid-year</t>
  </si>
  <si>
    <t>Cumulative Continuation</t>
  </si>
  <si>
    <t>Termination</t>
  </si>
  <si>
    <t>Cumulative Survival</t>
  </si>
  <si>
    <t>Mortality</t>
  </si>
  <si>
    <t>Discount</t>
  </si>
  <si>
    <t>Claim Cost</t>
  </si>
  <si>
    <t>Retired Employees</t>
  </si>
  <si>
    <t>Active Employees - Fully Eligible to Retiree Benefits</t>
  </si>
  <si>
    <t>Active Employees - Not Fully Eligible to Retiree Benefits</t>
  </si>
  <si>
    <t>Total</t>
  </si>
  <si>
    <t>-</t>
  </si>
  <si>
    <t>Retirees</t>
  </si>
  <si>
    <t>Active Employees - Fully Eligible</t>
  </si>
  <si>
    <t xml:space="preserve"> </t>
  </si>
  <si>
    <t>Active Employees - Not Fully Eligible</t>
  </si>
  <si>
    <t>Expected Defined Benefit Cost = Current Service Cost + Interest Cost</t>
  </si>
  <si>
    <t>Interest Cost = irate x [ DBOboy + Current Service Cost – Benefit Payments / 2 ]</t>
  </si>
  <si>
    <t>2025 Expected Benefit Payments</t>
  </si>
  <si>
    <t>Current Service Cost = PV of Payment at Retirement / Attribution Period</t>
  </si>
  <si>
    <t>DBO = PV of Payment at Retirement x Attribution</t>
  </si>
  <si>
    <t>PV of Payment at Retirement</t>
  </si>
  <si>
    <t>Years of Service at Full Eligibility</t>
  </si>
  <si>
    <t>Years to Full Eligibility</t>
  </si>
  <si>
    <t>Current Years of Service</t>
  </si>
  <si>
    <t>Number of Employees</t>
  </si>
  <si>
    <t>a) iii)</t>
  </si>
  <si>
    <t>a) ii)</t>
  </si>
  <si>
    <t>a) i)</t>
  </si>
  <si>
    <t>Calculate the Defined Benefit Obligation as at December 31, 2024, the Service Cost for 2025 and the Components of the 2025 Defined Benefit Cost.</t>
  </si>
  <si>
    <t>Defined Benefit Cost = Current Service Cost + Interest Cost</t>
  </si>
  <si>
    <t>Past Service Cost - DBO (After Plan Change) - DBO (Before Plan Change)</t>
  </si>
  <si>
    <t>c) iii)</t>
  </si>
  <si>
    <t>c) ii)</t>
  </si>
  <si>
    <t>c) i)</t>
  </si>
  <si>
    <t>Calculate the Past Service Cost as at December 31, 2024, the Service Cost for 2025 and the Components of the 2025 Defined Benefit Cost after the plan change.</t>
  </si>
  <si>
    <t>Dispensing</t>
  </si>
  <si>
    <t>Ingredient</t>
  </si>
  <si>
    <t>The pricing is:</t>
  </si>
  <si>
    <t>Other items to note: 12 dispensing cycles in a year, TLR of 90%, need to apply sales taxes</t>
  </si>
  <si>
    <t>Employees:</t>
  </si>
  <si>
    <t>Determine current year's costs</t>
  </si>
  <si>
    <t>Assumption: All drugs filled at the same pharmacy chain.</t>
  </si>
  <si>
    <t>If employee does not:</t>
  </si>
  <si>
    <t>If employee opts out of RAMQ:</t>
  </si>
  <si>
    <t>For the individual at 65, it depends again on whether they opted out of RAMQ or not.</t>
  </si>
  <si>
    <t>Quebec: For the pre-65 individuals, the private plan pays for the brand-name.</t>
  </si>
  <si>
    <t>Step 5: Solve if a physician prescribes the brand name drug with no substitution.</t>
  </si>
  <si>
    <t>Therefore, the private plan's costs are:</t>
  </si>
  <si>
    <t>If the member entered RAMQ, the private plan would pick up the monthly deductible ($22.90), plus 33% of the remainder.</t>
  </si>
  <si>
    <t>Assume that the employee entered RAMQ at 65 because the employee wanted to minimize their taxable benefits burden. However, assume the plan will still pay for the deductible and coinsurance.</t>
  </si>
  <si>
    <t>Assume that the employee opted out of RAMQ at 65 because the employer does not require premium contributions, or</t>
  </si>
  <si>
    <t>For example:</t>
  </si>
  <si>
    <t>The writer will need to make an assumption and justify the assumption for full marks.</t>
  </si>
  <si>
    <t>In Quebec, what the employer pays for depends on whether the employee opted out of RAMQ or not.</t>
  </si>
  <si>
    <t>For the post-65 individual, consideration must be given to the public plans:</t>
  </si>
  <si>
    <t>For the pre-65 individuals, the costs are:</t>
  </si>
  <si>
    <t>Employees (everyone one year older; no one retired)</t>
  </si>
  <si>
    <t>Step 3: Solve if a physician prescribes the generic drug.</t>
  </si>
  <si>
    <t>Generic costs:</t>
  </si>
  <si>
    <t>Quebec: Capped at the lowest of the other provinces (18%)</t>
  </si>
  <si>
    <t>Assumption: Generic pricing will be at the capped levels.</t>
  </si>
  <si>
    <t>Step 2: Determine the generic's costs by applying generic pricing caps.</t>
  </si>
  <si>
    <t>Step 1: Determine next year's ingredient costs by applying trend.</t>
  </si>
  <si>
    <t>Calculation of Gross Tier 1 Capital</t>
  </si>
  <si>
    <t>+ Contributed surplus</t>
  </si>
  <si>
    <t>+ Adjusted Retained earnings</t>
  </si>
  <si>
    <t>+ Adjusted accumulated Other Comprehenve Income (AOCI)</t>
  </si>
  <si>
    <t>Gross Tier 1 Capital</t>
  </si>
  <si>
    <t>Calculation of Tier 1 Deduction</t>
  </si>
  <si>
    <t>+ Net defined benefit pension plan assets</t>
  </si>
  <si>
    <t>+ Cash Surrender Value (CSV) Deficiencies</t>
  </si>
  <si>
    <t>+ 70% x Policy-by-policy negative reserves</t>
  </si>
  <si>
    <t>Tier 1 Deduction</t>
  </si>
  <si>
    <t>Calculation of Net Tier 1 Capital</t>
  </si>
  <si>
    <t>- Tier 1 Deduction</t>
  </si>
  <si>
    <t>Net Tier 1 Capital</t>
  </si>
  <si>
    <t>Calculation of Gross Tier 2 Capital</t>
  </si>
  <si>
    <t>Gross Tier 2 Capital</t>
  </si>
  <si>
    <t>Calculation of Tier 2 Deduction</t>
  </si>
  <si>
    <t>Tier 2 Deduction</t>
  </si>
  <si>
    <t>- Tier 2 Deduction</t>
  </si>
  <si>
    <t>Net tier 2 Capital</t>
  </si>
  <si>
    <t>Since Tier 2 capital may not exceed 100% of Net Tier 1 capital, Tier 2 Capital is defined to be the lower of Net Tier 2 or Net Tier 1.</t>
  </si>
  <si>
    <t>Calculation of Eligible Deposits</t>
  </si>
  <si>
    <t>+ Excess deposits from unregistered reinsurance</t>
  </si>
  <si>
    <t>Eligible Deposits</t>
  </si>
  <si>
    <t>Calculation of Available Capital</t>
  </si>
  <si>
    <t>+ Net Tier 2 Capital</t>
  </si>
  <si>
    <t>Available Capital</t>
  </si>
  <si>
    <t>Calculation of Base Solvency Buffer (BSB)</t>
  </si>
  <si>
    <t>+ Market risk</t>
  </si>
  <si>
    <t>+ Insurance risk</t>
  </si>
  <si>
    <t>+ Segregated funds guarantee</t>
  </si>
  <si>
    <t>+ Operational risk</t>
  </si>
  <si>
    <t>+ Less Participating &amp; Adjustable Credit</t>
  </si>
  <si>
    <t>+ Less Diversification benefit</t>
  </si>
  <si>
    <t>x Scalar</t>
  </si>
  <si>
    <t>Base Solvency Buffer (BSB)</t>
  </si>
  <si>
    <t>Calculation of Total Ratio</t>
  </si>
  <si>
    <t>(Available Capital</t>
  </si>
  <si>
    <t>+ Surplus Allowance</t>
  </si>
  <si>
    <t>+ Eligible Deposits)</t>
  </si>
  <si>
    <t>/ BSB</t>
  </si>
  <si>
    <t>Total Ratio</t>
  </si>
  <si>
    <t>Calculation of Core Ratio</t>
  </si>
  <si>
    <t>(Net Tier 1 Capital</t>
  </si>
  <si>
    <t>+ 70% of Surplus Allowance</t>
  </si>
  <si>
    <t>+ 70% of Eligible Deposit)</t>
  </si>
  <si>
    <t>BSB</t>
  </si>
  <si>
    <t>Core Ratio</t>
  </si>
  <si>
    <t>2023 Term Business - Figures in $m CAD</t>
  </si>
  <si>
    <t>Sum Insured</t>
  </si>
  <si>
    <t>Expected Premiums</t>
  </si>
  <si>
    <t>Expected Claims</t>
  </si>
  <si>
    <t>Part B</t>
  </si>
  <si>
    <t>Expected Commissions</t>
  </si>
  <si>
    <t xml:space="preserve">Expected Risk Adjustment </t>
  </si>
  <si>
    <t>Discount factor (bgn year)</t>
  </si>
  <si>
    <t>Discount factor (end of year)</t>
  </si>
  <si>
    <t>Liability on Initial Recognition</t>
  </si>
  <si>
    <t>PV Premiums</t>
  </si>
  <si>
    <t xml:space="preserve">Opening balance </t>
  </si>
  <si>
    <t>PV Claims</t>
  </si>
  <si>
    <t>BEL</t>
  </si>
  <si>
    <t xml:space="preserve">PV Commissions </t>
  </si>
  <si>
    <t>RA</t>
  </si>
  <si>
    <t xml:space="preserve">PV Risk Adjustment CFs </t>
  </si>
  <si>
    <t>CSM</t>
  </si>
  <si>
    <t>CSM at initial recognition</t>
  </si>
  <si>
    <t>Liability on Initial  Recognition</t>
  </si>
  <si>
    <t>Part C</t>
  </si>
  <si>
    <t>CSM Amortization Schedule</t>
  </si>
  <si>
    <t>Coverage units = sum insured</t>
  </si>
  <si>
    <t xml:space="preserve">Amortization </t>
  </si>
  <si>
    <t>CSM Beginning of year</t>
  </si>
  <si>
    <t>Interest</t>
  </si>
  <si>
    <t xml:space="preserve">CSM Amortization </t>
  </si>
  <si>
    <t>CSM End of Year</t>
  </si>
  <si>
    <t>Part D</t>
  </si>
  <si>
    <t>Insurance Finance Expense (IFE)</t>
  </si>
  <si>
    <t>IFE on Best Estimate Liabilities</t>
  </si>
  <si>
    <t xml:space="preserve">  =(Opening balance BEL + year1 exp premiums - year1 exp commissions)*(2023 discount rate) </t>
  </si>
  <si>
    <t>IFE on Risk Adjustment</t>
  </si>
  <si>
    <t xml:space="preserve">  =(Opening balance risk adjustment)*(2023 discount rate) </t>
  </si>
  <si>
    <t>IFE on Contractual Service Margin</t>
  </si>
  <si>
    <t xml:space="preserve">  =(Opening balance CSM)*(2023 discount rate)</t>
  </si>
  <si>
    <t>Insurance Finance Expense</t>
  </si>
  <si>
    <t>Part E</t>
  </si>
  <si>
    <t>Statement of Profit or Loss</t>
  </si>
  <si>
    <t xml:space="preserve">Insurance Service Revenue </t>
  </si>
  <si>
    <t>Release of CSM</t>
  </si>
  <si>
    <t>Release of Risk Adjustment</t>
  </si>
  <si>
    <t>Expected Expenses</t>
  </si>
  <si>
    <t>Recovery of Acquisition Cash Flows</t>
  </si>
  <si>
    <t>Insurance Service Expense</t>
  </si>
  <si>
    <t>Claims Incurred</t>
  </si>
  <si>
    <t>Expenses Incurred</t>
  </si>
  <si>
    <t>Amortization of Acquisition Cash Flows</t>
  </si>
  <si>
    <t>Other expenses</t>
  </si>
  <si>
    <t>Financial Gain/Loss</t>
  </si>
  <si>
    <t xml:space="preserve">  =(Opening balance BEL + year1 exp premiums - year1 exp commissions)*(asset rate) </t>
  </si>
  <si>
    <t>Insurance Financial Expense</t>
  </si>
  <si>
    <t xml:space="preserve">(from part D) </t>
  </si>
  <si>
    <t>Expected Profit or Loss</t>
  </si>
  <si>
    <t xml:space="preserve">- Assume total sum insured used as coverage units. </t>
  </si>
  <si>
    <t>- As this is a 2023 cohort, the 2023 interest rate is used the CSM locked-in rate:</t>
  </si>
  <si>
    <t>Net income prior to carry-forward:</t>
  </si>
  <si>
    <t>Carry-forward of losses:</t>
  </si>
  <si>
    <t>Net income for tax purposes:</t>
  </si>
  <si>
    <t>2024 TAX RETURN (PROJECTED)</t>
  </si>
  <si>
    <t xml:space="preserve">(from part C) </t>
  </si>
  <si>
    <t>Small Group IBNR Estimate as of June 20X2</t>
  </si>
  <si>
    <t>.</t>
  </si>
  <si>
    <t>Use the Loss Ratio Method. The ultimate claims expected equals Membership * Premium * Pricing Loss Ratio.</t>
  </si>
  <si>
    <t>Use the development method, using the Lag 3 calculation</t>
  </si>
  <si>
    <t>Use the development method, using the Lag 4 calculation</t>
  </si>
  <si>
    <t>LG experience shows 100% completion at lag 5</t>
  </si>
  <si>
    <t>Comment</t>
  </si>
  <si>
    <t>IBNR</t>
  </si>
  <si>
    <t>Ultimate</t>
  </si>
  <si>
    <t>Completion Factor</t>
  </si>
  <si>
    <t>Total Paid</t>
  </si>
  <si>
    <t>Lag</t>
  </si>
  <si>
    <t>Calculate the ultimate for each small group cell as of June 20X2. Then subtract the ultimate by the paid to calucate IBNR.</t>
  </si>
  <si>
    <t>Lag 5 Completion / Lag 4 Development</t>
  </si>
  <si>
    <t>Lag 4 Completion / Lag 3 Development</t>
  </si>
  <si>
    <t>Calculate the completion factors for lags 3 and 4,  since lag 5 is 100% complete</t>
  </si>
  <si>
    <t>Arithmetic Avg</t>
  </si>
  <si>
    <t>Calculate the arithmetic average of the lag 3 and 4 development factors</t>
  </si>
  <si>
    <t>(b)             (3 points)  Calculate the incurred but not reported (IBNR) claims on the emerging small group block as of June 20X2.</t>
  </si>
  <si>
    <t>Provide anwser here for part (b).  Show and lable all work</t>
  </si>
  <si>
    <t>Group and Health Valuation and Regulation Exam</t>
  </si>
  <si>
    <t>Exam GHVRU: Fall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</si>
</sst>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%"/>
    <numFmt numFmtId="166" formatCode="0.00000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&quot;$&quot;#,##0.00"/>
    <numFmt numFmtId="170" formatCode="_-* #,##0_-;\-* #,##0_-;_-* &quot;-&quot;??_-;_-@_-"/>
    <numFmt numFmtId="171" formatCode="0.000"/>
    <numFmt numFmtId="172" formatCode="_(* #,##0.0000_);_(* \(#,##0.0000\);_(* &quot;-&quot;??_);_(@_)"/>
    <numFmt numFmtId="173" formatCode="_(* #,##0.0_);_(* \(#,##0.0\);_(* &quot;-&quot;??_);_(@_)"/>
    <numFmt numFmtId="174" formatCode="0.0"/>
    <numFmt numFmtId="175" formatCode="0.0000"/>
    <numFmt numFmtId="176" formatCode="#,##0.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7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Symbol"/>
      <family val="1"/>
      <charset val="2"/>
    </font>
    <font>
      <sz val="11"/>
      <color rgb="FF000000"/>
      <name val="Times New Roman"/>
      <family val="1"/>
    </font>
    <font>
      <u/>
      <sz val="11"/>
      <color theme="1"/>
      <name val="Calibri"/>
      <family val="2"/>
      <scheme val="minor"/>
    </font>
    <font>
      <sz val="12"/>
      <color rgb="FF000000"/>
      <name val="Symbol"/>
      <family val="1"/>
      <charset val="2"/>
    </font>
    <font>
      <sz val="7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sz val="11"/>
      <color theme="1"/>
      <name val="SwissReSans"/>
      <family val="2"/>
    </font>
    <font>
      <sz val="10"/>
      <color theme="1"/>
      <name val="Symbol"/>
      <family val="1"/>
      <charset val="2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color theme="1"/>
      <name val="Times New Roman"/>
      <family val="1"/>
    </font>
    <font>
      <b/>
      <i/>
      <sz val="11"/>
      <color rgb="FF7030A0"/>
      <name val="Calibri"/>
      <family val="2"/>
      <scheme val="minor"/>
    </font>
    <font>
      <i/>
      <sz val="11"/>
      <color rgb="FF7030A0"/>
      <name val="Calibri"/>
      <family val="2"/>
      <scheme val="minor"/>
    </font>
    <font>
      <i/>
      <sz val="11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rgb="FF00B050"/>
      <name val="Times New Roman"/>
      <family val="1"/>
    </font>
    <font>
      <sz val="12"/>
      <color rgb="FF00B050"/>
      <name val="Times New Roman"/>
      <family val="1"/>
    </font>
    <font>
      <b/>
      <i/>
      <sz val="12"/>
      <color theme="1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">
    <xf numFmtId="0" fontId="0" fillId="0" borderId="0"/>
    <xf numFmtId="0" fontId="6" fillId="0" borderId="0"/>
    <xf numFmtId="44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0" fontId="11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1" fillId="0" borderId="0"/>
    <xf numFmtId="9" fontId="1" fillId="0" borderId="0" applyFont="0" applyFill="0" applyBorder="0" applyAlignment="0" applyProtection="0"/>
    <xf numFmtId="0" fontId="32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</cellStyleXfs>
  <cellXfs count="321">
    <xf numFmtId="0" fontId="0" fillId="0" borderId="0" xfId="0"/>
    <xf numFmtId="0" fontId="3" fillId="0" borderId="0" xfId="0" applyFont="1" applyAlignment="1">
      <alignment vertical="center"/>
    </xf>
    <xf numFmtId="0" fontId="4" fillId="2" borderId="0" xfId="0" quotePrefix="1" applyFont="1" applyFill="1" applyAlignment="1">
      <alignment horizontal="left"/>
    </xf>
    <xf numFmtId="0" fontId="0" fillId="2" borderId="0" xfId="0" applyFill="1"/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quotePrefix="1" applyFont="1" applyFill="1" applyAlignment="1">
      <alignment horizontal="left"/>
    </xf>
    <xf numFmtId="0" fontId="12" fillId="0" borderId="0" xfId="0" applyFont="1"/>
    <xf numFmtId="0" fontId="0" fillId="0" borderId="0" xfId="0" applyAlignment="1">
      <alignment wrapText="1"/>
    </xf>
    <xf numFmtId="165" fontId="0" fillId="0" borderId="0" xfId="0" applyNumberFormat="1"/>
    <xf numFmtId="0" fontId="14" fillId="2" borderId="0" xfId="0" applyFont="1" applyFill="1" applyAlignment="1">
      <alignment horizontal="left" vertical="center" indent="4"/>
    </xf>
    <xf numFmtId="0" fontId="2" fillId="0" borderId="14" xfId="0" applyFont="1" applyBorder="1" applyAlignment="1">
      <alignment horizontal="left" wrapText="1"/>
    </xf>
    <xf numFmtId="0" fontId="0" fillId="0" borderId="14" xfId="0" applyBorder="1" applyAlignment="1">
      <alignment horizontal="left" wrapText="1"/>
    </xf>
    <xf numFmtId="10" fontId="0" fillId="0" borderId="14" xfId="0" applyNumberFormat="1" applyBorder="1" applyAlignment="1">
      <alignment horizontal="left" wrapText="1"/>
    </xf>
    <xf numFmtId="6" fontId="0" fillId="0" borderId="14" xfId="0" applyNumberFormat="1" applyBorder="1" applyAlignment="1">
      <alignment horizontal="left" wrapText="1"/>
    </xf>
    <xf numFmtId="14" fontId="0" fillId="0" borderId="14" xfId="0" applyNumberFormat="1" applyBorder="1" applyAlignment="1">
      <alignment horizontal="left" wrapText="1"/>
    </xf>
    <xf numFmtId="8" fontId="0" fillId="0" borderId="14" xfId="0" applyNumberFormat="1" applyBorder="1" applyAlignment="1">
      <alignment horizontal="left" wrapText="1"/>
    </xf>
    <xf numFmtId="0" fontId="0" fillId="0" borderId="14" xfId="0" applyBorder="1" applyAlignment="1">
      <alignment horizontal="left"/>
    </xf>
    <xf numFmtId="0" fontId="0" fillId="0" borderId="0" xfId="0" applyAlignment="1">
      <alignment horizontal="left" wrapText="1"/>
    </xf>
    <xf numFmtId="6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 wrapText="1"/>
    </xf>
    <xf numFmtId="8" fontId="0" fillId="0" borderId="0" xfId="0" applyNumberFormat="1" applyAlignment="1">
      <alignment horizontal="left" wrapText="1"/>
    </xf>
    <xf numFmtId="0" fontId="0" fillId="0" borderId="0" xfId="0" applyAlignment="1">
      <alignment horizontal="left"/>
    </xf>
    <xf numFmtId="8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/>
    </xf>
    <xf numFmtId="3" fontId="0" fillId="0" borderId="0" xfId="0" applyNumberFormat="1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9" fontId="0" fillId="0" borderId="0" xfId="0" applyNumberFormat="1"/>
    <xf numFmtId="0" fontId="16" fillId="0" borderId="0" xfId="0" applyFont="1" applyAlignment="1">
      <alignment horizontal="right"/>
    </xf>
    <xf numFmtId="0" fontId="0" fillId="0" borderId="0" xfId="0" quotePrefix="1"/>
    <xf numFmtId="0" fontId="2" fillId="0" borderId="16" xfId="0" applyFont="1" applyBorder="1"/>
    <xf numFmtId="0" fontId="2" fillId="0" borderId="17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18" xfId="0" applyBorder="1"/>
    <xf numFmtId="9" fontId="0" fillId="0" borderId="19" xfId="0" applyNumberFormat="1" applyBorder="1"/>
    <xf numFmtId="0" fontId="0" fillId="0" borderId="20" xfId="0" applyBorder="1"/>
    <xf numFmtId="9" fontId="0" fillId="0" borderId="12" xfId="0" applyNumberFormat="1" applyBorder="1"/>
    <xf numFmtId="0" fontId="15" fillId="0" borderId="2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7" fillId="2" borderId="0" xfId="0" applyFont="1" applyFill="1" applyAlignment="1">
      <alignment horizontal="left" vertical="center" indent="7"/>
    </xf>
    <xf numFmtId="0" fontId="0" fillId="0" borderId="14" xfId="0" applyBorder="1"/>
    <xf numFmtId="0" fontId="10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 wrapText="1"/>
    </xf>
    <xf numFmtId="164" fontId="3" fillId="0" borderId="0" xfId="0" applyNumberFormat="1" applyFont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164" fontId="3" fillId="0" borderId="21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10" fontId="3" fillId="0" borderId="24" xfId="0" applyNumberFormat="1" applyFont="1" applyBorder="1" applyAlignment="1">
      <alignment horizontal="left" vertical="center" wrapText="1"/>
    </xf>
    <xf numFmtId="0" fontId="0" fillId="0" borderId="25" xfId="0" applyBorder="1" applyAlignment="1">
      <alignment horizontal="left"/>
    </xf>
    <xf numFmtId="0" fontId="0" fillId="0" borderId="4" xfId="0" applyBorder="1" applyAlignment="1">
      <alignment horizontal="left"/>
    </xf>
    <xf numFmtId="8" fontId="10" fillId="0" borderId="23" xfId="0" applyNumberFormat="1" applyFont="1" applyBorder="1" applyAlignment="1">
      <alignment horizontal="center" vertical="center" wrapText="1"/>
    </xf>
    <xf numFmtId="8" fontId="10" fillId="0" borderId="5" xfId="0" applyNumberFormat="1" applyFont="1" applyBorder="1" applyAlignment="1">
      <alignment horizontal="center" vertical="center" wrapText="1"/>
    </xf>
    <xf numFmtId="8" fontId="3" fillId="0" borderId="0" xfId="0" applyNumberFormat="1" applyFont="1" applyAlignment="1">
      <alignment horizontal="center" vertical="center" wrapText="1"/>
    </xf>
    <xf numFmtId="8" fontId="3" fillId="0" borderId="10" xfId="0" applyNumberFormat="1" applyFont="1" applyBorder="1" applyAlignment="1">
      <alignment horizontal="center" vertical="center" wrapText="1"/>
    </xf>
    <xf numFmtId="8" fontId="3" fillId="0" borderId="21" xfId="0" applyNumberFormat="1" applyFont="1" applyBorder="1" applyAlignment="1">
      <alignment horizontal="center" vertical="center" wrapText="1"/>
    </xf>
    <xf numFmtId="8" fontId="3" fillId="0" borderId="6" xfId="0" applyNumberFormat="1" applyFont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indent="5"/>
    </xf>
    <xf numFmtId="164" fontId="0" fillId="0" borderId="0" xfId="0" applyNumberFormat="1"/>
    <xf numFmtId="0" fontId="0" fillId="0" borderId="19" xfId="0" applyBorder="1"/>
    <xf numFmtId="164" fontId="16" fillId="0" borderId="0" xfId="0" applyNumberFormat="1" applyFont="1"/>
    <xf numFmtId="169" fontId="0" fillId="0" borderId="0" xfId="0" applyNumberFormat="1"/>
    <xf numFmtId="0" fontId="2" fillId="0" borderId="11" xfId="0" applyFont="1" applyBorder="1"/>
    <xf numFmtId="0" fontId="0" fillId="0" borderId="11" xfId="0" applyBorder="1" applyAlignment="1">
      <alignment horizontal="left"/>
    </xf>
    <xf numFmtId="0" fontId="0" fillId="0" borderId="14" xfId="0" applyBorder="1" applyAlignment="1">
      <alignment wrapText="1"/>
    </xf>
    <xf numFmtId="164" fontId="0" fillId="0" borderId="9" xfId="0" applyNumberFormat="1" applyBorder="1" applyAlignment="1">
      <alignment horizontal="right"/>
    </xf>
    <xf numFmtId="164" fontId="0" fillId="0" borderId="15" xfId="0" applyNumberFormat="1" applyBorder="1" applyAlignment="1">
      <alignment horizontal="left"/>
    </xf>
    <xf numFmtId="9" fontId="0" fillId="0" borderId="9" xfId="0" applyNumberFormat="1" applyBorder="1" applyAlignment="1">
      <alignment horizontal="right"/>
    </xf>
    <xf numFmtId="0" fontId="0" fillId="0" borderId="15" xfId="0" applyBorder="1" applyAlignment="1">
      <alignment horizontal="left"/>
    </xf>
    <xf numFmtId="0" fontId="3" fillId="0" borderId="3" xfId="0" applyFont="1" applyBorder="1" applyAlignment="1">
      <alignment vertical="center" wrapText="1"/>
    </xf>
    <xf numFmtId="0" fontId="3" fillId="2" borderId="0" xfId="0" applyFont="1" applyFill="1"/>
    <xf numFmtId="0" fontId="21" fillId="3" borderId="0" xfId="13" applyFill="1"/>
    <xf numFmtId="0" fontId="3" fillId="3" borderId="0" xfId="13" applyFont="1" applyFill="1" applyAlignment="1">
      <alignment vertical="center"/>
    </xf>
    <xf numFmtId="0" fontId="8" fillId="3" borderId="6" xfId="13" applyFont="1" applyFill="1" applyBorder="1" applyAlignment="1">
      <alignment horizontal="center" vertical="center"/>
    </xf>
    <xf numFmtId="0" fontId="8" fillId="3" borderId="3" xfId="13" applyFont="1" applyFill="1" applyBorder="1" applyAlignment="1">
      <alignment vertical="center"/>
    </xf>
    <xf numFmtId="0" fontId="23" fillId="3" borderId="1" xfId="13" applyFont="1" applyFill="1" applyBorder="1" applyAlignment="1">
      <alignment vertical="center"/>
    </xf>
    <xf numFmtId="0" fontId="23" fillId="3" borderId="21" xfId="13" applyFont="1" applyFill="1" applyBorder="1" applyAlignment="1">
      <alignment vertical="center"/>
    </xf>
    <xf numFmtId="0" fontId="23" fillId="3" borderId="3" xfId="13" applyFont="1" applyFill="1" applyBorder="1" applyAlignment="1">
      <alignment vertical="center"/>
    </xf>
    <xf numFmtId="10" fontId="23" fillId="3" borderId="1" xfId="13" applyNumberFormat="1" applyFont="1" applyFill="1" applyBorder="1" applyAlignment="1">
      <alignment vertical="center"/>
    </xf>
    <xf numFmtId="10" fontId="23" fillId="3" borderId="21" xfId="13" applyNumberFormat="1" applyFont="1" applyFill="1" applyBorder="1" applyAlignment="1">
      <alignment vertical="center"/>
    </xf>
    <xf numFmtId="0" fontId="10" fillId="3" borderId="21" xfId="13" applyFont="1" applyFill="1" applyBorder="1" applyAlignment="1">
      <alignment vertical="center"/>
    </xf>
    <xf numFmtId="3" fontId="0" fillId="0" borderId="0" xfId="0" applyNumberFormat="1" applyAlignment="1">
      <alignment horizontal="center"/>
    </xf>
    <xf numFmtId="0" fontId="24" fillId="0" borderId="14" xfId="0" applyFont="1" applyBorder="1"/>
    <xf numFmtId="0" fontId="3" fillId="0" borderId="2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0" fillId="0" borderId="25" xfId="0" applyBorder="1" applyAlignment="1">
      <alignment horizontal="left" vertical="center"/>
    </xf>
    <xf numFmtId="0" fontId="14" fillId="0" borderId="0" xfId="0" applyFont="1" applyAlignment="1">
      <alignment horizontal="left" vertical="center" indent="4"/>
    </xf>
    <xf numFmtId="0" fontId="25" fillId="0" borderId="1" xfId="0" applyFont="1" applyBorder="1" applyAlignment="1">
      <alignment horizontal="left" vertical="center"/>
    </xf>
    <xf numFmtId="0" fontId="25" fillId="0" borderId="3" xfId="0" applyFont="1" applyBorder="1" applyAlignment="1">
      <alignment horizontal="left" vertical="center"/>
    </xf>
    <xf numFmtId="0" fontId="27" fillId="0" borderId="0" xfId="1" applyFont="1"/>
    <xf numFmtId="0" fontId="26" fillId="0" borderId="0" xfId="1" applyFont="1"/>
    <xf numFmtId="0" fontId="27" fillId="0" borderId="14" xfId="1" applyFont="1" applyBorder="1" applyAlignment="1">
      <alignment horizontal="center"/>
    </xf>
    <xf numFmtId="0" fontId="26" fillId="0" borderId="14" xfId="1" applyFont="1" applyBorder="1" applyAlignment="1">
      <alignment horizontal="center"/>
    </xf>
    <xf numFmtId="0" fontId="26" fillId="4" borderId="14" xfId="1" applyFont="1" applyFill="1" applyBorder="1" applyAlignment="1">
      <alignment horizontal="right" indent="1"/>
    </xf>
    <xf numFmtId="0" fontId="27" fillId="0" borderId="0" xfId="1" applyFont="1" applyAlignment="1">
      <alignment horizontal="center"/>
    </xf>
    <xf numFmtId="0" fontId="26" fillId="0" borderId="0" xfId="1" applyFont="1" applyAlignment="1">
      <alignment horizontal="center"/>
    </xf>
    <xf numFmtId="0" fontId="27" fillId="0" borderId="27" xfId="1" applyFont="1" applyBorder="1" applyAlignment="1">
      <alignment horizontal="center"/>
    </xf>
    <xf numFmtId="0" fontId="24" fillId="3" borderId="0" xfId="0" applyFont="1" applyFill="1"/>
    <xf numFmtId="0" fontId="24" fillId="3" borderId="0" xfId="0" quotePrefix="1" applyFont="1" applyFill="1"/>
    <xf numFmtId="167" fontId="24" fillId="3" borderId="0" xfId="0" applyNumberFormat="1" applyFont="1" applyFill="1"/>
    <xf numFmtId="0" fontId="29" fillId="3" borderId="0" xfId="0" applyFont="1" applyFill="1"/>
    <xf numFmtId="167" fontId="24" fillId="3" borderId="0" xfId="11" applyFont="1" applyFill="1"/>
    <xf numFmtId="170" fontId="24" fillId="3" borderId="0" xfId="12" applyNumberFormat="1" applyFont="1" applyFill="1"/>
    <xf numFmtId="0" fontId="30" fillId="3" borderId="0" xfId="0" applyFont="1" applyFill="1"/>
    <xf numFmtId="4" fontId="2" fillId="0" borderId="0" xfId="0" applyNumberFormat="1" applyFont="1"/>
    <xf numFmtId="0" fontId="10" fillId="0" borderId="0" xfId="0" quotePrefix="1" applyFont="1"/>
    <xf numFmtId="4" fontId="0" fillId="0" borderId="0" xfId="0" applyNumberFormat="1"/>
    <xf numFmtId="0" fontId="3" fillId="0" borderId="0" xfId="0" applyFont="1" applyAlignment="1">
      <alignment horizontal="left" vertical="center" indent="2"/>
    </xf>
    <xf numFmtId="171" fontId="0" fillId="5" borderId="19" xfId="0" applyNumberFormat="1" applyFill="1" applyBorder="1"/>
    <xf numFmtId="171" fontId="0" fillId="5" borderId="0" xfId="0" applyNumberFormat="1" applyFill="1"/>
    <xf numFmtId="9" fontId="0" fillId="5" borderId="0" xfId="0" applyNumberFormat="1" applyFill="1"/>
    <xf numFmtId="1" fontId="0" fillId="5" borderId="0" xfId="0" applyNumberFormat="1" applyFill="1"/>
    <xf numFmtId="171" fontId="0" fillId="6" borderId="0" xfId="0" applyNumberFormat="1" applyFill="1"/>
    <xf numFmtId="9" fontId="0" fillId="6" borderId="0" xfId="14" applyFont="1" applyFill="1"/>
    <xf numFmtId="171" fontId="0" fillId="7" borderId="0" xfId="0" applyNumberFormat="1" applyFill="1"/>
    <xf numFmtId="165" fontId="0" fillId="7" borderId="0" xfId="0" applyNumberFormat="1" applyFill="1"/>
    <xf numFmtId="1" fontId="0" fillId="7" borderId="0" xfId="0" applyNumberFormat="1" applyFill="1"/>
    <xf numFmtId="171" fontId="0" fillId="0" borderId="0" xfId="0" applyNumberFormat="1"/>
    <xf numFmtId="0" fontId="0" fillId="0" borderId="18" xfId="0" applyBorder="1" applyAlignment="1">
      <alignment horizontal="left"/>
    </xf>
    <xf numFmtId="1" fontId="0" fillId="6" borderId="0" xfId="0" applyNumberFormat="1" applyFill="1"/>
    <xf numFmtId="165" fontId="0" fillId="6" borderId="0" xfId="14" applyNumberFormat="1" applyFont="1" applyFill="1"/>
    <xf numFmtId="165" fontId="0" fillId="5" borderId="0" xfId="0" applyNumberFormat="1" applyFill="1"/>
    <xf numFmtId="0" fontId="0" fillId="5" borderId="19" xfId="0" applyFill="1" applyBorder="1"/>
    <xf numFmtId="0" fontId="0" fillId="5" borderId="0" xfId="0" applyFill="1"/>
    <xf numFmtId="0" fontId="0" fillId="6" borderId="0" xfId="0" applyFill="1"/>
    <xf numFmtId="165" fontId="0" fillId="6" borderId="0" xfId="0" applyNumberFormat="1" applyFill="1"/>
    <xf numFmtId="0" fontId="0" fillId="7" borderId="0" xfId="0" applyFill="1"/>
    <xf numFmtId="171" fontId="0" fillId="0" borderId="28" xfId="0" applyNumberFormat="1" applyBorder="1"/>
    <xf numFmtId="3" fontId="0" fillId="0" borderId="28" xfId="0" applyNumberFormat="1" applyBorder="1"/>
    <xf numFmtId="0" fontId="0" fillId="0" borderId="16" xfId="0" applyBorder="1" applyAlignment="1">
      <alignment horizontal="left"/>
    </xf>
    <xf numFmtId="0" fontId="2" fillId="5" borderId="12" xfId="0" applyFont="1" applyFill="1" applyBorder="1" applyAlignment="1">
      <alignment horizontal="right" wrapText="1"/>
    </xf>
    <xf numFmtId="0" fontId="2" fillId="5" borderId="11" xfId="0" applyFont="1" applyFill="1" applyBorder="1" applyAlignment="1">
      <alignment horizontal="right" wrapText="1"/>
    </xf>
    <xf numFmtId="0" fontId="2" fillId="6" borderId="11" xfId="0" applyFont="1" applyFill="1" applyBorder="1" applyAlignment="1">
      <alignment horizontal="right" wrapText="1"/>
    </xf>
    <xf numFmtId="0" fontId="2" fillId="7" borderId="11" xfId="0" applyFont="1" applyFill="1" applyBorder="1" applyAlignment="1">
      <alignment horizontal="right" wrapText="1"/>
    </xf>
    <xf numFmtId="0" fontId="2" fillId="0" borderId="11" xfId="0" applyFont="1" applyBorder="1" applyAlignment="1">
      <alignment horizontal="right" wrapText="1"/>
    </xf>
    <xf numFmtId="0" fontId="2" fillId="0" borderId="20" xfId="0" applyFont="1" applyBorder="1" applyAlignment="1">
      <alignment wrapText="1"/>
    </xf>
    <xf numFmtId="0" fontId="2" fillId="0" borderId="28" xfId="0" applyFont="1" applyBorder="1"/>
    <xf numFmtId="3" fontId="2" fillId="0" borderId="15" xfId="0" applyNumberFormat="1" applyFont="1" applyBorder="1"/>
    <xf numFmtId="3" fontId="2" fillId="0" borderId="26" xfId="0" applyNumberFormat="1" applyFont="1" applyBorder="1"/>
    <xf numFmtId="0" fontId="2" fillId="0" borderId="9" xfId="0" applyFont="1" applyBorder="1"/>
    <xf numFmtId="3" fontId="0" fillId="5" borderId="12" xfId="0" applyNumberFormat="1" applyFill="1" applyBorder="1"/>
    <xf numFmtId="3" fontId="0" fillId="5" borderId="11" xfId="0" applyNumberFormat="1" applyFill="1" applyBorder="1"/>
    <xf numFmtId="0" fontId="0" fillId="0" borderId="11" xfId="0" quotePrefix="1" applyBorder="1" applyAlignment="1">
      <alignment horizontal="right"/>
    </xf>
    <xf numFmtId="0" fontId="0" fillId="0" borderId="11" xfId="0" applyBorder="1"/>
    <xf numFmtId="3" fontId="0" fillId="6" borderId="19" xfId="0" applyNumberFormat="1" applyFill="1" applyBorder="1"/>
    <xf numFmtId="3" fontId="0" fillId="6" borderId="0" xfId="0" applyNumberFormat="1" applyFill="1"/>
    <xf numFmtId="3" fontId="0" fillId="8" borderId="17" xfId="0" applyNumberFormat="1" applyFill="1" applyBorder="1"/>
    <xf numFmtId="3" fontId="0" fillId="8" borderId="28" xfId="0" applyNumberFormat="1" applyFill="1" applyBorder="1"/>
    <xf numFmtId="3" fontId="0" fillId="7" borderId="0" xfId="0" applyNumberFormat="1" applyFill="1"/>
    <xf numFmtId="0" fontId="2" fillId="0" borderId="15" xfId="0" applyFont="1" applyBorder="1" applyAlignment="1">
      <alignment horizontal="right" wrapText="1"/>
    </xf>
    <xf numFmtId="0" fontId="2" fillId="0" borderId="26" xfId="0" applyFont="1" applyBorder="1" applyAlignment="1">
      <alignment horizontal="right" wrapText="1"/>
    </xf>
    <xf numFmtId="0" fontId="2" fillId="0" borderId="9" xfId="0" applyFont="1" applyBorder="1" applyAlignment="1">
      <alignment wrapText="1"/>
    </xf>
    <xf numFmtId="0" fontId="0" fillId="3" borderId="0" xfId="0" applyFill="1"/>
    <xf numFmtId="0" fontId="2" fillId="3" borderId="0" xfId="0" applyFont="1" applyFill="1"/>
    <xf numFmtId="0" fontId="0" fillId="0" borderId="6" xfId="0" applyBorder="1" applyAlignment="1">
      <alignment horizontal="center" vertical="center" wrapText="1"/>
    </xf>
    <xf numFmtId="164" fontId="2" fillId="9" borderId="14" xfId="0" applyNumberFormat="1" applyFont="1" applyFill="1" applyBorder="1" applyAlignment="1">
      <alignment horizontal="right"/>
    </xf>
    <xf numFmtId="164" fontId="0" fillId="0" borderId="14" xfId="0" applyNumberFormat="1" applyBorder="1" applyAlignment="1">
      <alignment horizontal="right"/>
    </xf>
    <xf numFmtId="0" fontId="2" fillId="0" borderId="14" xfId="0" applyFont="1" applyBorder="1" applyAlignment="1">
      <alignment horizontal="right"/>
    </xf>
    <xf numFmtId="0" fontId="2" fillId="0" borderId="0" xfId="0" applyFont="1" applyAlignment="1">
      <alignment horizontal="left"/>
    </xf>
    <xf numFmtId="0" fontId="0" fillId="0" borderId="14" xfId="0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0" fillId="10" borderId="0" xfId="0" applyFill="1" applyAlignment="1">
      <alignment horizontal="left"/>
    </xf>
    <xf numFmtId="0" fontId="0" fillId="10" borderId="0" xfId="0" applyFill="1"/>
    <xf numFmtId="0" fontId="2" fillId="10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2" fillId="11" borderId="0" xfId="0" applyFont="1" applyFill="1" applyAlignment="1">
      <alignment horizontal="left"/>
    </xf>
    <xf numFmtId="164" fontId="2" fillId="0" borderId="14" xfId="0" applyNumberFormat="1" applyFont="1" applyBorder="1" applyAlignment="1">
      <alignment horizontal="right"/>
    </xf>
    <xf numFmtId="169" fontId="0" fillId="0" borderId="0" xfId="0" applyNumberFormat="1" applyAlignment="1">
      <alignment horizontal="left"/>
    </xf>
    <xf numFmtId="0" fontId="32" fillId="0" borderId="0" xfId="15"/>
    <xf numFmtId="3" fontId="32" fillId="0" borderId="0" xfId="15" applyNumberFormat="1"/>
    <xf numFmtId="0" fontId="33" fillId="0" borderId="0" xfId="15" applyFont="1" applyAlignment="1">
      <alignment horizontal="center"/>
    </xf>
    <xf numFmtId="0" fontId="34" fillId="0" borderId="0" xfId="15" applyFont="1" applyAlignment="1">
      <alignment horizontal="center"/>
    </xf>
    <xf numFmtId="0" fontId="2" fillId="0" borderId="0" xfId="15" applyFont="1"/>
    <xf numFmtId="0" fontId="32" fillId="0" borderId="0" xfId="15" quotePrefix="1"/>
    <xf numFmtId="0" fontId="24" fillId="0" borderId="0" xfId="15" applyFont="1"/>
    <xf numFmtId="0" fontId="24" fillId="0" borderId="0" xfId="15" quotePrefix="1" applyFont="1"/>
    <xf numFmtId="0" fontId="32" fillId="0" borderId="28" xfId="15" applyBorder="1"/>
    <xf numFmtId="3" fontId="32" fillId="0" borderId="28" xfId="15" applyNumberFormat="1" applyBorder="1"/>
    <xf numFmtId="0" fontId="32" fillId="0" borderId="11" xfId="15" quotePrefix="1" applyBorder="1"/>
    <xf numFmtId="3" fontId="32" fillId="0" borderId="11" xfId="15" applyNumberFormat="1" applyBorder="1"/>
    <xf numFmtId="0" fontId="34" fillId="0" borderId="0" xfId="15" applyFont="1"/>
    <xf numFmtId="4" fontId="32" fillId="0" borderId="0" xfId="15" applyNumberFormat="1" applyAlignment="1">
      <alignment horizontal="right"/>
    </xf>
    <xf numFmtId="9" fontId="32" fillId="0" borderId="28" xfId="15" applyNumberFormat="1" applyBorder="1"/>
    <xf numFmtId="0" fontId="2" fillId="3" borderId="0" xfId="13" applyFont="1" applyFill="1"/>
    <xf numFmtId="0" fontId="1" fillId="3" borderId="0" xfId="13" applyFont="1" applyFill="1"/>
    <xf numFmtId="0" fontId="1" fillId="3" borderId="0" xfId="13" quotePrefix="1" applyFont="1" applyFill="1"/>
    <xf numFmtId="0" fontId="35" fillId="3" borderId="0" xfId="13" applyFont="1" applyFill="1"/>
    <xf numFmtId="0" fontId="2" fillId="3" borderId="28" xfId="13" applyFont="1" applyFill="1" applyBorder="1"/>
    <xf numFmtId="0" fontId="2" fillId="3" borderId="17" xfId="13" applyFont="1" applyFill="1" applyBorder="1"/>
    <xf numFmtId="0" fontId="36" fillId="3" borderId="0" xfId="13" applyFont="1" applyFill="1"/>
    <xf numFmtId="0" fontId="29" fillId="0" borderId="16" xfId="13" applyFont="1" applyBorder="1"/>
    <xf numFmtId="0" fontId="1" fillId="3" borderId="18" xfId="13" applyFont="1" applyFill="1" applyBorder="1"/>
    <xf numFmtId="0" fontId="1" fillId="3" borderId="19" xfId="13" applyFont="1" applyFill="1" applyBorder="1"/>
    <xf numFmtId="0" fontId="37" fillId="3" borderId="0" xfId="13" applyFont="1" applyFill="1"/>
    <xf numFmtId="172" fontId="1" fillId="3" borderId="0" xfId="16" applyNumberFormat="1" applyFont="1" applyFill="1" applyBorder="1"/>
    <xf numFmtId="172" fontId="1" fillId="3" borderId="19" xfId="16" applyNumberFormat="1" applyFont="1" applyFill="1" applyBorder="1"/>
    <xf numFmtId="0" fontId="1" fillId="3" borderId="20" xfId="13" applyFont="1" applyFill="1" applyBorder="1"/>
    <xf numFmtId="172" fontId="1" fillId="3" borderId="11" xfId="16" applyNumberFormat="1" applyFont="1" applyFill="1" applyBorder="1"/>
    <xf numFmtId="172" fontId="1" fillId="3" borderId="12" xfId="16" applyNumberFormat="1" applyFont="1" applyFill="1" applyBorder="1"/>
    <xf numFmtId="0" fontId="2" fillId="3" borderId="16" xfId="13" applyFont="1" applyFill="1" applyBorder="1"/>
    <xf numFmtId="0" fontId="1" fillId="3" borderId="17" xfId="13" applyFont="1" applyFill="1" applyBorder="1"/>
    <xf numFmtId="173" fontId="1" fillId="3" borderId="19" xfId="16" applyNumberFormat="1" applyFont="1" applyFill="1" applyBorder="1"/>
    <xf numFmtId="0" fontId="38" fillId="3" borderId="0" xfId="13" applyFont="1" applyFill="1"/>
    <xf numFmtId="173" fontId="2" fillId="3" borderId="0" xfId="13" applyNumberFormat="1" applyFont="1" applyFill="1"/>
    <xf numFmtId="173" fontId="39" fillId="3" borderId="19" xfId="16" applyNumberFormat="1" applyFont="1" applyFill="1" applyBorder="1"/>
    <xf numFmtId="173" fontId="1" fillId="3" borderId="19" xfId="13" applyNumberFormat="1" applyFont="1" applyFill="1" applyBorder="1"/>
    <xf numFmtId="173" fontId="1" fillId="3" borderId="12" xfId="16" applyNumberFormat="1" applyFont="1" applyFill="1" applyBorder="1"/>
    <xf numFmtId="9" fontId="1" fillId="3" borderId="0" xfId="17" applyFont="1" applyFill="1" applyBorder="1"/>
    <xf numFmtId="9" fontId="1" fillId="3" borderId="19" xfId="17" applyFont="1" applyFill="1" applyBorder="1"/>
    <xf numFmtId="173" fontId="1" fillId="3" borderId="0" xfId="13" applyNumberFormat="1" applyFont="1" applyFill="1"/>
    <xf numFmtId="43" fontId="1" fillId="3" borderId="0" xfId="13" applyNumberFormat="1" applyFont="1" applyFill="1"/>
    <xf numFmtId="43" fontId="1" fillId="3" borderId="19" xfId="13" applyNumberFormat="1" applyFont="1" applyFill="1" applyBorder="1"/>
    <xf numFmtId="173" fontId="1" fillId="3" borderId="0" xfId="16" applyNumberFormat="1" applyFont="1" applyFill="1" applyBorder="1"/>
    <xf numFmtId="173" fontId="1" fillId="3" borderId="11" xfId="13" applyNumberFormat="1" applyFont="1" applyFill="1" applyBorder="1"/>
    <xf numFmtId="173" fontId="1" fillId="3" borderId="12" xfId="13" applyNumberFormat="1" applyFont="1" applyFill="1" applyBorder="1"/>
    <xf numFmtId="173" fontId="39" fillId="3" borderId="19" xfId="13" applyNumberFormat="1" applyFont="1" applyFill="1" applyBorder="1"/>
    <xf numFmtId="0" fontId="1" fillId="3" borderId="18" xfId="13" applyFont="1" applyFill="1" applyBorder="1" applyAlignment="1">
      <alignment horizontal="left" indent="1"/>
    </xf>
    <xf numFmtId="43" fontId="39" fillId="3" borderId="19" xfId="13" applyNumberFormat="1" applyFont="1" applyFill="1" applyBorder="1"/>
    <xf numFmtId="0" fontId="2" fillId="3" borderId="18" xfId="13" applyFont="1" applyFill="1" applyBorder="1"/>
    <xf numFmtId="174" fontId="1" fillId="3" borderId="19" xfId="13" applyNumberFormat="1" applyFont="1" applyFill="1" applyBorder="1"/>
    <xf numFmtId="174" fontId="16" fillId="3" borderId="19" xfId="13" applyNumberFormat="1" applyFont="1" applyFill="1" applyBorder="1"/>
    <xf numFmtId="37" fontId="2" fillId="3" borderId="20" xfId="13" applyNumberFormat="1" applyFont="1" applyFill="1" applyBorder="1" applyAlignment="1">
      <alignment horizontal="center"/>
    </xf>
    <xf numFmtId="43" fontId="2" fillId="3" borderId="12" xfId="13" applyNumberFormat="1" applyFont="1" applyFill="1" applyBorder="1"/>
    <xf numFmtId="164" fontId="16" fillId="9" borderId="0" xfId="0" applyNumberFormat="1" applyFont="1" applyFill="1"/>
    <xf numFmtId="0" fontId="38" fillId="0" borderId="0" xfId="0" applyFont="1"/>
    <xf numFmtId="0" fontId="0" fillId="9" borderId="0" xfId="0" applyFill="1"/>
    <xf numFmtId="164" fontId="0" fillId="9" borderId="0" xfId="0" applyNumberFormat="1" applyFill="1"/>
    <xf numFmtId="164" fontId="0" fillId="0" borderId="1" xfId="0" applyNumberFormat="1" applyBorder="1" applyAlignment="1">
      <alignment horizontal="left"/>
    </xf>
    <xf numFmtId="0" fontId="40" fillId="0" borderId="0" xfId="15" applyFont="1"/>
    <xf numFmtId="3" fontId="0" fillId="0" borderId="14" xfId="0" applyNumberFormat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0" fontId="3" fillId="0" borderId="0" xfId="4" applyFont="1"/>
    <xf numFmtId="164" fontId="41" fillId="0" borderId="29" xfId="4" applyNumberFormat="1" applyFont="1" applyBorder="1" applyAlignment="1">
      <alignment horizontal="center"/>
    </xf>
    <xf numFmtId="0" fontId="3" fillId="0" borderId="30" xfId="4" applyFont="1" applyBorder="1"/>
    <xf numFmtId="0" fontId="3" fillId="0" borderId="25" xfId="4" applyFont="1" applyBorder="1"/>
    <xf numFmtId="0" fontId="41" fillId="0" borderId="24" xfId="4" applyFont="1" applyBorder="1" applyAlignment="1">
      <alignment horizontal="left"/>
    </xf>
    <xf numFmtId="0" fontId="42" fillId="0" borderId="0" xfId="4" applyFont="1"/>
    <xf numFmtId="169" fontId="42" fillId="7" borderId="14" xfId="4" applyNumberFormat="1" applyFont="1" applyFill="1" applyBorder="1" applyAlignment="1">
      <alignment horizontal="center"/>
    </xf>
    <xf numFmtId="164" fontId="42" fillId="0" borderId="14" xfId="4" applyNumberFormat="1" applyFont="1" applyBorder="1" applyAlignment="1">
      <alignment horizontal="center"/>
    </xf>
    <xf numFmtId="175" fontId="42" fillId="0" borderId="14" xfId="4" applyNumberFormat="1" applyFont="1" applyBorder="1" applyAlignment="1">
      <alignment horizontal="center"/>
    </xf>
    <xf numFmtId="0" fontId="42" fillId="0" borderId="14" xfId="4" applyFont="1" applyBorder="1" applyAlignment="1">
      <alignment horizontal="center"/>
    </xf>
    <xf numFmtId="0" fontId="41" fillId="0" borderId="14" xfId="4" applyFont="1" applyBorder="1" applyAlignment="1">
      <alignment horizontal="center"/>
    </xf>
    <xf numFmtId="164" fontId="42" fillId="7" borderId="14" xfId="4" applyNumberFormat="1" applyFont="1" applyFill="1" applyBorder="1" applyAlignment="1">
      <alignment horizontal="center"/>
    </xf>
    <xf numFmtId="0" fontId="41" fillId="0" borderId="0" xfId="4" applyFont="1" applyAlignment="1">
      <alignment horizontal="center" vertical="center" wrapText="1"/>
    </xf>
    <xf numFmtId="0" fontId="41" fillId="0" borderId="14" xfId="4" applyFont="1" applyBorder="1" applyAlignment="1">
      <alignment horizontal="center" vertical="center" wrapText="1"/>
    </xf>
    <xf numFmtId="0" fontId="41" fillId="0" borderId="27" xfId="4" applyFont="1" applyBorder="1" applyAlignment="1">
      <alignment horizontal="center" vertical="center" wrapText="1"/>
    </xf>
    <xf numFmtId="0" fontId="42" fillId="0" borderId="0" xfId="4" applyFont="1" applyAlignment="1">
      <alignment horizontal="left"/>
    </xf>
    <xf numFmtId="0" fontId="41" fillId="0" borderId="0" xfId="4" applyFont="1" applyAlignment="1">
      <alignment horizontal="center" vertical="center"/>
    </xf>
    <xf numFmtId="0" fontId="41" fillId="0" borderId="14" xfId="4" applyFont="1" applyBorder="1" applyAlignment="1">
      <alignment horizontal="center" vertical="center"/>
    </xf>
    <xf numFmtId="0" fontId="41" fillId="0" borderId="0" xfId="4" applyFont="1"/>
    <xf numFmtId="171" fontId="42" fillId="7" borderId="14" xfId="4" applyNumberFormat="1" applyFont="1" applyFill="1" applyBorder="1" applyAlignment="1">
      <alignment horizontal="center"/>
    </xf>
    <xf numFmtId="0" fontId="41" fillId="7" borderId="14" xfId="4" applyFont="1" applyFill="1" applyBorder="1" applyAlignment="1">
      <alignment horizontal="center"/>
    </xf>
    <xf numFmtId="171" fontId="42" fillId="9" borderId="14" xfId="4" applyNumberFormat="1" applyFont="1" applyFill="1" applyBorder="1" applyAlignment="1">
      <alignment horizontal="center"/>
    </xf>
    <xf numFmtId="0" fontId="41" fillId="9" borderId="14" xfId="4" applyFont="1" applyFill="1" applyBorder="1" applyAlignment="1">
      <alignment horizontal="center"/>
    </xf>
    <xf numFmtId="0" fontId="41" fillId="0" borderId="14" xfId="4" applyFont="1" applyBorder="1"/>
    <xf numFmtId="0" fontId="41" fillId="0" borderId="0" xfId="4" applyFont="1" applyAlignment="1">
      <alignment horizontal="left"/>
    </xf>
    <xf numFmtId="176" fontId="42" fillId="7" borderId="31" xfId="4" applyNumberFormat="1" applyFont="1" applyFill="1" applyBorder="1"/>
    <xf numFmtId="176" fontId="42" fillId="0" borderId="31" xfId="4" applyNumberFormat="1" applyFont="1" applyBorder="1"/>
    <xf numFmtId="0" fontId="20" fillId="0" borderId="31" xfId="4" applyFont="1" applyBorder="1" applyAlignment="1">
      <alignment horizontal="center"/>
    </xf>
    <xf numFmtId="176" fontId="42" fillId="9" borderId="32" xfId="4" applyNumberFormat="1" applyFont="1" applyFill="1" applyBorder="1"/>
    <xf numFmtId="176" fontId="42" fillId="7" borderId="32" xfId="4" applyNumberFormat="1" applyFont="1" applyFill="1" applyBorder="1"/>
    <xf numFmtId="176" fontId="42" fillId="0" borderId="32" xfId="4" applyNumberFormat="1" applyFont="1" applyBorder="1"/>
    <xf numFmtId="0" fontId="20" fillId="0" borderId="32" xfId="4" applyFont="1" applyBorder="1" applyAlignment="1">
      <alignment horizontal="center"/>
    </xf>
    <xf numFmtId="176" fontId="42" fillId="12" borderId="27" xfId="4" applyNumberFormat="1" applyFont="1" applyFill="1" applyBorder="1"/>
    <xf numFmtId="176" fontId="42" fillId="4" borderId="32" xfId="4" applyNumberFormat="1" applyFont="1" applyFill="1" applyBorder="1"/>
    <xf numFmtId="0" fontId="42" fillId="4" borderId="27" xfId="4" applyFont="1" applyFill="1" applyBorder="1"/>
    <xf numFmtId="0" fontId="42" fillId="12" borderId="27" xfId="4" applyFont="1" applyFill="1" applyBorder="1"/>
    <xf numFmtId="0" fontId="20" fillId="0" borderId="27" xfId="4" applyFont="1" applyBorder="1" applyAlignment="1">
      <alignment horizontal="center"/>
    </xf>
    <xf numFmtId="0" fontId="3" fillId="0" borderId="14" xfId="4" applyFont="1" applyBorder="1" applyAlignment="1">
      <alignment horizontal="center"/>
    </xf>
    <xf numFmtId="0" fontId="10" fillId="0" borderId="14" xfId="4" applyFont="1" applyBorder="1" applyAlignment="1">
      <alignment horizontal="center"/>
    </xf>
    <xf numFmtId="0" fontId="10" fillId="0" borderId="0" xfId="4" applyFont="1"/>
    <xf numFmtId="0" fontId="5" fillId="2" borderId="0" xfId="0" applyFont="1" applyFill="1" applyAlignment="1">
      <alignment horizontal="left" vertical="center" indent="8"/>
    </xf>
    <xf numFmtId="0" fontId="0" fillId="0" borderId="0" xfId="0" applyAlignment="1">
      <alignment horizontal="centerContinuous"/>
    </xf>
    <xf numFmtId="0" fontId="43" fillId="2" borderId="0" xfId="0" quotePrefix="1" applyFont="1" applyFill="1" applyAlignment="1">
      <alignment horizontal="left"/>
    </xf>
    <xf numFmtId="0" fontId="10" fillId="2" borderId="0" xfId="0" quotePrefix="1" applyFont="1" applyFill="1" applyAlignment="1">
      <alignment horizontal="left"/>
    </xf>
    <xf numFmtId="0" fontId="10" fillId="2" borderId="0" xfId="0" applyFont="1" applyFill="1"/>
    <xf numFmtId="0" fontId="26" fillId="0" borderId="14" xfId="1" applyFont="1" applyBorder="1" applyAlignment="1">
      <alignment horizontal="right" indent="1"/>
    </xf>
    <xf numFmtId="3" fontId="26" fillId="0" borderId="14" xfId="1" applyNumberFormat="1" applyFont="1" applyBorder="1" applyAlignment="1">
      <alignment horizontal="center"/>
    </xf>
    <xf numFmtId="6" fontId="26" fillId="0" borderId="14" xfId="1" applyNumberFormat="1" applyFont="1" applyBorder="1" applyAlignment="1">
      <alignment horizontal="center"/>
    </xf>
    <xf numFmtId="0" fontId="27" fillId="0" borderId="9" xfId="1" applyFont="1" applyBorder="1" applyAlignment="1">
      <alignment horizontal="center"/>
    </xf>
    <xf numFmtId="0" fontId="27" fillId="0" borderId="26" xfId="1" applyFont="1" applyBorder="1" applyAlignment="1">
      <alignment horizontal="center"/>
    </xf>
    <xf numFmtId="0" fontId="27" fillId="0" borderId="15" xfId="1" applyFont="1" applyBorder="1" applyAlignment="1">
      <alignment horizontal="center"/>
    </xf>
    <xf numFmtId="0" fontId="27" fillId="0" borderId="0" xfId="1" applyFont="1" applyAlignment="1">
      <alignment horizontal="center"/>
    </xf>
    <xf numFmtId="0" fontId="10" fillId="0" borderId="9" xfId="4" applyFont="1" applyBorder="1" applyAlignment="1">
      <alignment horizontal="center"/>
    </xf>
    <xf numFmtId="0" fontId="10" fillId="0" borderId="26" xfId="4" applyFont="1" applyBorder="1" applyAlignment="1">
      <alignment horizontal="center"/>
    </xf>
    <xf numFmtId="0" fontId="10" fillId="0" borderId="15" xfId="4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2" fillId="0" borderId="2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12" fillId="5" borderId="28" xfId="0" applyFont="1" applyFill="1" applyBorder="1" applyAlignment="1">
      <alignment horizontal="center"/>
    </xf>
    <xf numFmtId="0" fontId="12" fillId="5" borderId="17" xfId="0" applyFont="1" applyFill="1" applyBorder="1" applyAlignment="1">
      <alignment horizontal="center"/>
    </xf>
    <xf numFmtId="0" fontId="12" fillId="7" borderId="28" xfId="0" applyFont="1" applyFill="1" applyBorder="1" applyAlignment="1">
      <alignment horizontal="center"/>
    </xf>
    <xf numFmtId="0" fontId="12" fillId="6" borderId="28" xfId="0" applyFont="1" applyFill="1" applyBorder="1" applyAlignment="1">
      <alignment horizontal="center"/>
    </xf>
    <xf numFmtId="0" fontId="3" fillId="0" borderId="2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19" fillId="3" borderId="21" xfId="13" applyFont="1" applyFill="1" applyBorder="1" applyAlignment="1">
      <alignment vertical="center"/>
    </xf>
    <xf numFmtId="0" fontId="22" fillId="3" borderId="7" xfId="13" applyFon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22" fillId="3" borderId="8" xfId="13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3" fillId="3" borderId="2" xfId="13" applyFont="1" applyFill="1" applyBorder="1" applyAlignment="1">
      <alignment vertical="center" wrapText="1"/>
    </xf>
  </cellXfs>
  <cellStyles count="18">
    <cellStyle name="Comma 2" xfId="3" xr:uid="{C5B03BD3-9C10-4982-957E-3C6B91428783}"/>
    <cellStyle name="Comma 3" xfId="8" xr:uid="{55E90767-D10C-41F4-8D45-934295517588}"/>
    <cellStyle name="Comma 4" xfId="9" xr:uid="{CF7F1432-2AB4-4384-AFDA-D07566AB3F69}"/>
    <cellStyle name="Currency 2" xfId="2" xr:uid="{80415204-82E5-4A5C-960C-48EAE206E31A}"/>
    <cellStyle name="Currency 3" xfId="7" xr:uid="{A385A0CF-7D4F-4DA2-9744-7031259FED45}"/>
    <cellStyle name="Currency 4" xfId="10" xr:uid="{7540262F-439B-429B-AB9F-2AA22FFCF9EB}"/>
    <cellStyle name="Milliers 2" xfId="12" xr:uid="{93712934-4DDB-4D15-9CD7-260CB2431832}"/>
    <cellStyle name="Milliers 3" xfId="16" xr:uid="{0C9C4E92-3BB3-4348-AC65-72543C230E58}"/>
    <cellStyle name="Monétaire 2" xfId="11" xr:uid="{0779B270-DCF2-470D-A206-5CF76C7C13F8}"/>
    <cellStyle name="Normal" xfId="0" builtinId="0"/>
    <cellStyle name="Normal 2" xfId="1" xr:uid="{1E03435F-F937-4D33-B83D-8188DFBB64E5}"/>
    <cellStyle name="Normal 2 2" xfId="4" xr:uid="{4229BD96-C91F-4FE6-8D47-52CB1F19E06F}"/>
    <cellStyle name="Normal 3" xfId="5" xr:uid="{531B0ED4-E776-4D09-8C04-0BCB8FDD035F}"/>
    <cellStyle name="Normal 4" xfId="6" xr:uid="{7622FA6E-BD86-45C5-B3B1-2E097A112402}"/>
    <cellStyle name="Normal 5" xfId="13" xr:uid="{5310C836-E59D-4E69-B617-86BA810F4494}"/>
    <cellStyle name="Normal 6" xfId="15" xr:uid="{A7B6EAEC-D0AB-487D-BEC8-06AF489EFD0C}"/>
    <cellStyle name="Percent" xfId="14" builtinId="5"/>
    <cellStyle name="Pourcentage 2" xfId="17" xr:uid="{742D74D8-3D35-4D1A-ACAA-A9D8AD739B1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117" Type="http://schemas.openxmlformats.org/officeDocument/2006/relationships/externalLink" Target="externalLinks/externalLink9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64.xml"/><Relationship Id="rId112" Type="http://schemas.openxmlformats.org/officeDocument/2006/relationships/externalLink" Target="externalLinks/externalLink8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54.xml"/><Relationship Id="rId102" Type="http://schemas.openxmlformats.org/officeDocument/2006/relationships/externalLink" Target="externalLinks/externalLink7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5.xml"/><Relationship Id="rId95" Type="http://schemas.openxmlformats.org/officeDocument/2006/relationships/externalLink" Target="externalLinks/externalLink70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113" Type="http://schemas.openxmlformats.org/officeDocument/2006/relationships/externalLink" Target="externalLinks/externalLink88.xml"/><Relationship Id="rId118" Type="http://schemas.openxmlformats.org/officeDocument/2006/relationships/theme" Target="theme/theme1.xml"/><Relationship Id="rId80" Type="http://schemas.openxmlformats.org/officeDocument/2006/relationships/externalLink" Target="externalLinks/externalLink55.xml"/><Relationship Id="rId85" Type="http://schemas.openxmlformats.org/officeDocument/2006/relationships/externalLink" Target="externalLinks/externalLink6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34.xml"/><Relationship Id="rId103" Type="http://schemas.openxmlformats.org/officeDocument/2006/relationships/externalLink" Target="externalLinks/externalLink78.xml"/><Relationship Id="rId108" Type="http://schemas.openxmlformats.org/officeDocument/2006/relationships/externalLink" Target="externalLinks/externalLink83.xml"/><Relationship Id="rId54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91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7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49" Type="http://schemas.openxmlformats.org/officeDocument/2006/relationships/externalLink" Target="externalLinks/externalLink24.xml"/><Relationship Id="rId114" Type="http://schemas.openxmlformats.org/officeDocument/2006/relationships/externalLink" Target="externalLinks/externalLink89.xml"/><Relationship Id="rId119" Type="http://schemas.openxmlformats.org/officeDocument/2006/relationships/styles" Target="styles.xml"/><Relationship Id="rId44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109" Type="http://schemas.openxmlformats.org/officeDocument/2006/relationships/externalLink" Target="externalLinks/externalLink84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72.xml"/><Relationship Id="rId104" Type="http://schemas.openxmlformats.org/officeDocument/2006/relationships/externalLink" Target="externalLinks/externalLink79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110" Type="http://schemas.openxmlformats.org/officeDocument/2006/relationships/externalLink" Target="externalLinks/externalLink85.xml"/><Relationship Id="rId115" Type="http://schemas.openxmlformats.org/officeDocument/2006/relationships/externalLink" Target="externalLinks/externalLink90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52.xml"/><Relationship Id="rId100" Type="http://schemas.openxmlformats.org/officeDocument/2006/relationships/externalLink" Target="externalLinks/externalLink75.xml"/><Relationship Id="rId105" Type="http://schemas.openxmlformats.org/officeDocument/2006/relationships/externalLink" Target="externalLinks/externalLink8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93" Type="http://schemas.openxmlformats.org/officeDocument/2006/relationships/externalLink" Target="externalLinks/externalLink68.xml"/><Relationship Id="rId98" Type="http://schemas.openxmlformats.org/officeDocument/2006/relationships/externalLink" Target="externalLinks/externalLink73.xml"/><Relationship Id="rId121" Type="http://schemas.openxmlformats.org/officeDocument/2006/relationships/sheetMetadata" Target="metadata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21.xml"/><Relationship Id="rId67" Type="http://schemas.openxmlformats.org/officeDocument/2006/relationships/externalLink" Target="externalLinks/externalLink42.xml"/><Relationship Id="rId116" Type="http://schemas.openxmlformats.org/officeDocument/2006/relationships/externalLink" Target="externalLinks/externalLink9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62" Type="http://schemas.openxmlformats.org/officeDocument/2006/relationships/externalLink" Target="externalLinks/externalLink37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111" Type="http://schemas.openxmlformats.org/officeDocument/2006/relationships/externalLink" Target="externalLinks/externalLink86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1.xml"/><Relationship Id="rId57" Type="http://schemas.openxmlformats.org/officeDocument/2006/relationships/externalLink" Target="externalLinks/externalLink32.xml"/><Relationship Id="rId106" Type="http://schemas.openxmlformats.org/officeDocument/2006/relationships/externalLink" Target="externalLinks/externalLink8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52" Type="http://schemas.openxmlformats.org/officeDocument/2006/relationships/externalLink" Target="externalLinks/externalLink27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76.xml"/><Relationship Id="rId1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nevacanada-my.sharepoint.com/personal/Nicolas_Boutin_beneva_ca/Documents/Documents/Passwords%20et%20perso/SOA/Fall%202024%20Exam/Questions%20received/Spring%202025/GH_VR_C%20Spring%202025%20Excel%20CBT%20Workbook.xlsx" TargetMode="External"/><Relationship Id="rId1" Type="http://schemas.openxmlformats.org/officeDocument/2006/relationships/externalLinkPath" Target="https://benevacanada-my.sharepoint.com/personal/Nicolas_Boutin_beneva_ca/Documents/Documents/Passwords%20et%20perso/SOA/Fall%202024%20Exam/Questions%20received/Spring%202025/GH_VR_C%20Spring%202025%20Excel%20CBT%20Workbook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IA/RPEC/BackTest%20HMDv33C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Relationship Id="rId1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  <row r="126">
          <cell r="AA126" t="str">
            <v>Value of Annual Maximum</v>
          </cell>
          <cell r="AE126">
            <v>0</v>
          </cell>
          <cell r="AF126" t="str">
            <v>U = T * (1 - K) , or T</v>
          </cell>
        </row>
        <row r="128">
          <cell r="AA128" t="str">
            <v>Utilization Adjustment Value</v>
          </cell>
          <cell r="AE128">
            <v>-10.06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  <row r="59">
          <cell r="B59" t="str">
            <v xml:space="preserve">Outpatient Facility Fee Schedule </v>
          </cell>
        </row>
        <row r="60">
          <cell r="B60" t="str">
            <v>Outpatient Surgery</v>
          </cell>
        </row>
        <row r="61">
          <cell r="B61" t="str">
            <v>Oxygen and Respiratory Care Equipment</v>
          </cell>
        </row>
        <row r="62">
          <cell r="B62" t="str">
            <v>Pain Managementfor Non-Anesthesiologists</v>
          </cell>
        </row>
        <row r="63">
          <cell r="B63" t="str">
            <v>Physical, Occupational, and Speech Therapy</v>
          </cell>
        </row>
        <row r="64">
          <cell r="B64" t="str">
            <v>Podiatry</v>
          </cell>
        </row>
        <row r="65">
          <cell r="B65" t="str">
            <v>Positron Emission Tomography (PET) Scans</v>
          </cell>
        </row>
        <row r="66">
          <cell r="B66" t="str">
            <v>Prosthetic and Orthotic Devices</v>
          </cell>
        </row>
        <row r="67">
          <cell r="B67" t="str">
            <v>Pulmonary Rehabilitation</v>
          </cell>
        </row>
        <row r="68">
          <cell r="B68" t="str">
            <v>Radiation Oncology</v>
          </cell>
        </row>
        <row r="69">
          <cell r="B69" t="str">
            <v>Radiology</v>
          </cell>
        </row>
        <row r="70">
          <cell r="B70" t="str">
            <v>Rehabilitation Facilities/Long-Term Acute Care Hospitals</v>
          </cell>
        </row>
        <row r="71">
          <cell r="B71" t="str">
            <v>Rehabilitative and Assistive Technology Items</v>
          </cell>
        </row>
        <row r="72">
          <cell r="B72" t="str">
            <v>Serious Preventable Conditions &amp; Never Events</v>
          </cell>
        </row>
        <row r="73">
          <cell r="B73" t="str">
            <v>Services Incidental to Admission</v>
          </cell>
        </row>
        <row r="74">
          <cell r="B74" t="str">
            <v>Site of Service</v>
          </cell>
        </row>
        <row r="75">
          <cell r="B75" t="str">
            <v>Skilled Nursing Facility</v>
          </cell>
        </row>
        <row r="76">
          <cell r="B76" t="str">
            <v>Skin Replacement Surgery and Skin Substitutes</v>
          </cell>
        </row>
        <row r="77">
          <cell r="B77" t="str">
            <v>Sleep Studies</v>
          </cell>
        </row>
        <row r="78">
          <cell r="B78" t="str">
            <v>Surgery</v>
          </cell>
        </row>
        <row r="79">
          <cell r="B79" t="str">
            <v>Transplants</v>
          </cell>
        </row>
        <row r="80">
          <cell r="B80" t="str">
            <v>Treatment Room</v>
          </cell>
        </row>
        <row r="81">
          <cell r="B81" t="str">
            <v>Umbilical Cord Blood</v>
          </cell>
        </row>
        <row r="82">
          <cell r="B82" t="str">
            <v>Unlisted and Unspecified Procedure Codes</v>
          </cell>
        </row>
        <row r="83">
          <cell r="B83" t="str">
            <v>Vaccine and Immunization</v>
          </cell>
        </row>
        <row r="84">
          <cell r="B84" t="str">
            <v>Vision Services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  <row r="59">
          <cell r="X59">
            <v>1</v>
          </cell>
          <cell r="AV59">
            <v>1</v>
          </cell>
        </row>
        <row r="60">
          <cell r="X60">
            <v>1</v>
          </cell>
          <cell r="Y60" t="str">
            <v>Other</v>
          </cell>
          <cell r="AV60">
            <v>1</v>
          </cell>
        </row>
        <row r="61">
          <cell r="X61">
            <v>0</v>
          </cell>
          <cell r="Y61" t="str">
            <v xml:space="preserve">    Prescription Drugs</v>
          </cell>
          <cell r="AF61">
            <v>0</v>
          </cell>
          <cell r="AG61" t="str">
            <v>Scripts</v>
          </cell>
          <cell r="AI61">
            <v>0</v>
          </cell>
          <cell r="AK61">
            <v>0</v>
          </cell>
          <cell r="AM61" t="str">
            <v xml:space="preserve"> </v>
          </cell>
          <cell r="AO61" t="str">
            <v xml:space="preserve"> </v>
          </cell>
          <cell r="AQ61" t="str">
            <v xml:space="preserve"> </v>
          </cell>
          <cell r="AS61">
            <v>0</v>
          </cell>
          <cell r="AV61">
            <v>1</v>
          </cell>
        </row>
        <row r="62">
          <cell r="X62">
            <v>1</v>
          </cell>
          <cell r="Y62" t="str">
            <v xml:space="preserve">    Private Duty Nursing/Home Health</v>
          </cell>
          <cell r="AF62">
            <v>125</v>
          </cell>
          <cell r="AG62" t="str">
            <v>Units</v>
          </cell>
          <cell r="AI62">
            <v>150.04</v>
          </cell>
          <cell r="AK62">
            <v>1.56</v>
          </cell>
          <cell r="AM62" t="str">
            <v xml:space="preserve"> </v>
          </cell>
          <cell r="AO62" t="str">
            <v xml:space="preserve"> </v>
          </cell>
          <cell r="AQ62" t="str">
            <v xml:space="preserve"> </v>
          </cell>
          <cell r="AS62">
            <v>1.56</v>
          </cell>
          <cell r="AV62">
            <v>1</v>
          </cell>
        </row>
        <row r="63">
          <cell r="X63">
            <v>1</v>
          </cell>
          <cell r="Y63" t="str">
            <v xml:space="preserve">    Ambulance</v>
          </cell>
          <cell r="AF63">
            <v>7</v>
          </cell>
          <cell r="AG63" t="str">
            <v>Runs</v>
          </cell>
          <cell r="AI63">
            <v>603.94000000000005</v>
          </cell>
          <cell r="AK63">
            <v>0.35</v>
          </cell>
          <cell r="AM63" t="str">
            <v xml:space="preserve"> </v>
          </cell>
          <cell r="AO63" t="str">
            <v xml:space="preserve"> </v>
          </cell>
          <cell r="AQ63" t="str">
            <v xml:space="preserve"> </v>
          </cell>
          <cell r="AS63">
            <v>0.35</v>
          </cell>
          <cell r="AV63">
            <v>1</v>
          </cell>
        </row>
        <row r="64">
          <cell r="X64">
            <v>1</v>
          </cell>
          <cell r="Y64" t="str">
            <v xml:space="preserve">    DME/Prosthetics</v>
          </cell>
          <cell r="AF64">
            <v>128</v>
          </cell>
          <cell r="AG64" t="str">
            <v>Units</v>
          </cell>
          <cell r="AI64">
            <v>305.04000000000002</v>
          </cell>
          <cell r="AK64">
            <v>3.25</v>
          </cell>
          <cell r="AM64" t="str">
            <v/>
          </cell>
          <cell r="AO64" t="str">
            <v/>
          </cell>
          <cell r="AQ64" t="str">
            <v/>
          </cell>
          <cell r="AS64">
            <v>3.25</v>
          </cell>
          <cell r="AV64">
            <v>1</v>
          </cell>
        </row>
        <row r="65">
          <cell r="X65">
            <v>1</v>
          </cell>
          <cell r="Y65" t="str">
            <v xml:space="preserve">    Glasses/Contacts</v>
          </cell>
          <cell r="AF65">
            <v>21</v>
          </cell>
          <cell r="AG65" t="str">
            <v>Services</v>
          </cell>
          <cell r="AI65">
            <v>2420.02</v>
          </cell>
          <cell r="AK65">
            <v>4.24</v>
          </cell>
          <cell r="AM65" t="str">
            <v xml:space="preserve"> </v>
          </cell>
          <cell r="AO65" t="str">
            <v xml:space="preserve"> </v>
          </cell>
          <cell r="AQ65" t="str">
            <v xml:space="preserve"> </v>
          </cell>
          <cell r="AS65">
            <v>4.24</v>
          </cell>
          <cell r="AV65">
            <v>0</v>
          </cell>
        </row>
        <row r="66">
          <cell r="X66">
            <v>0</v>
          </cell>
          <cell r="Y66" t="str">
            <v xml:space="preserve">    Other Benefit #1</v>
          </cell>
          <cell r="AI66">
            <v>0</v>
          </cell>
          <cell r="AK66">
            <v>0</v>
          </cell>
          <cell r="AM66" t="str">
            <v xml:space="preserve"> </v>
          </cell>
          <cell r="AO66" t="str">
            <v xml:space="preserve"> </v>
          </cell>
          <cell r="AQ66" t="str">
            <v xml:space="preserve"> </v>
          </cell>
          <cell r="AS66">
            <v>0</v>
          </cell>
          <cell r="AV66">
            <v>0</v>
          </cell>
        </row>
        <row r="67">
          <cell r="X67">
            <v>0</v>
          </cell>
          <cell r="Y67" t="str">
            <v xml:space="preserve">    Other Benefit #2</v>
          </cell>
          <cell r="AI67">
            <v>0</v>
          </cell>
          <cell r="AK67">
            <v>0</v>
          </cell>
          <cell r="AM67" t="str">
            <v xml:space="preserve"> </v>
          </cell>
          <cell r="AO67" t="str">
            <v xml:space="preserve"> </v>
          </cell>
          <cell r="AQ67" t="str">
            <v xml:space="preserve"> </v>
          </cell>
          <cell r="AS67">
            <v>0</v>
          </cell>
          <cell r="AV67">
            <v>0</v>
          </cell>
        </row>
        <row r="68">
          <cell r="X68">
            <v>1</v>
          </cell>
          <cell r="AV68">
            <v>0</v>
          </cell>
        </row>
        <row r="69">
          <cell r="X69">
            <v>1</v>
          </cell>
          <cell r="Y69" t="str">
            <v>Other - Total</v>
          </cell>
          <cell r="AK69">
            <v>9.4</v>
          </cell>
          <cell r="AQ69">
            <v>0</v>
          </cell>
          <cell r="AS69">
            <v>9.4</v>
          </cell>
          <cell r="AV69">
            <v>0</v>
          </cell>
        </row>
        <row r="70">
          <cell r="X70">
            <v>1</v>
          </cell>
          <cell r="AV70">
            <v>0</v>
          </cell>
        </row>
        <row r="71">
          <cell r="X71">
            <v>1</v>
          </cell>
          <cell r="AV71">
            <v>0</v>
          </cell>
        </row>
        <row r="72">
          <cell r="X72">
            <v>1</v>
          </cell>
          <cell r="Y72" t="str">
            <v>Total Medical Cost</v>
          </cell>
          <cell r="AK72">
            <v>374.87</v>
          </cell>
          <cell r="AQ72">
            <v>0</v>
          </cell>
          <cell r="AS72">
            <v>374.87</v>
          </cell>
          <cell r="AV72">
            <v>1</v>
          </cell>
        </row>
        <row r="73">
          <cell r="X73">
            <v>1</v>
          </cell>
          <cell r="AV73">
            <v>1</v>
          </cell>
        </row>
        <row r="74">
          <cell r="X74">
            <v>0</v>
          </cell>
          <cell r="Y74" t="str">
            <v>Utilization Adjustment Value</v>
          </cell>
          <cell r="AS74">
            <v>0</v>
          </cell>
          <cell r="AV74">
            <v>1</v>
          </cell>
        </row>
        <row r="75">
          <cell r="X75">
            <v>0</v>
          </cell>
          <cell r="Y75" t="str">
            <v>Value of $0 Deductible</v>
          </cell>
          <cell r="AS75">
            <v>0</v>
          </cell>
          <cell r="AV75">
            <v>1</v>
          </cell>
        </row>
        <row r="76">
          <cell r="X76">
            <v>0</v>
          </cell>
          <cell r="Y76" t="str">
            <v>Value of 0% Coinsurance</v>
          </cell>
          <cell r="AS76">
            <v>0</v>
          </cell>
          <cell r="AV76">
            <v>1</v>
          </cell>
        </row>
        <row r="77">
          <cell r="X77">
            <v>0</v>
          </cell>
          <cell r="Y77" t="str">
            <v>Value of $0 Out-of-Pocket Maximum</v>
          </cell>
          <cell r="AS77">
            <v>0</v>
          </cell>
        </row>
        <row r="78">
          <cell r="X78">
            <v>0</v>
          </cell>
          <cell r="Y78" t="str">
            <v>Value of Annual Maximum</v>
          </cell>
          <cell r="AS78">
            <v>0</v>
          </cell>
        </row>
        <row r="79">
          <cell r="X79">
            <v>0</v>
          </cell>
        </row>
        <row r="80">
          <cell r="X80">
            <v>0</v>
          </cell>
          <cell r="Y80" t="str">
            <v>Total Medical Cost After Deductible and Coinsurance</v>
          </cell>
          <cell r="AS80">
            <v>374.87</v>
          </cell>
        </row>
        <row r="81">
          <cell r="X81">
            <v>1</v>
          </cell>
        </row>
        <row r="82">
          <cell r="X82">
            <v>1</v>
          </cell>
          <cell r="Y82" t="str">
            <v>Retention (0% of Premium)</v>
          </cell>
          <cell r="AS82">
            <v>0</v>
          </cell>
        </row>
        <row r="83">
          <cell r="X83">
            <v>1</v>
          </cell>
          <cell r="Y83" t="str">
            <v>Retention - Fixed PMPM</v>
          </cell>
          <cell r="AS83">
            <v>6.92</v>
          </cell>
        </row>
        <row r="84">
          <cell r="X84">
            <v>1</v>
          </cell>
        </row>
        <row r="85">
          <cell r="X85">
            <v>1</v>
          </cell>
          <cell r="Y85" t="str">
            <v>Total Premium</v>
          </cell>
          <cell r="AS85">
            <v>381.79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  <row r="59">
          <cell r="B59" t="str">
            <v xml:space="preserve">        Surgeon Outpatient Facility</v>
          </cell>
          <cell r="I59">
            <v>148</v>
          </cell>
          <cell r="J59" t="str">
            <v>Proced.</v>
          </cell>
          <cell r="L59">
            <v>676.75</v>
          </cell>
          <cell r="N59">
            <v>8.35</v>
          </cell>
          <cell r="P59" t="str">
            <v xml:space="preserve"> </v>
          </cell>
          <cell r="R59" t="str">
            <v xml:space="preserve"> </v>
          </cell>
          <cell r="T59" t="str">
            <v xml:space="preserve"> </v>
          </cell>
          <cell r="V59">
            <v>8.35</v>
          </cell>
          <cell r="X59">
            <v>1</v>
          </cell>
          <cell r="Y59">
            <v>0</v>
          </cell>
          <cell r="Z59">
            <v>1</v>
          </cell>
          <cell r="AA59">
            <v>0</v>
          </cell>
          <cell r="AB59">
            <v>1</v>
          </cell>
          <cell r="AC59">
            <v>1</v>
          </cell>
          <cell r="AD59" t="str">
            <v xml:space="preserve">        Outpatient Facility</v>
          </cell>
          <cell r="AK59">
            <v>228</v>
          </cell>
          <cell r="AL59" t="str">
            <v>Proced.</v>
          </cell>
          <cell r="AN59">
            <v>1669.34</v>
          </cell>
          <cell r="AP59">
            <v>31.72</v>
          </cell>
          <cell r="AR59" t="str">
            <v xml:space="preserve"> </v>
          </cell>
          <cell r="AT59" t="str">
            <v xml:space="preserve"> </v>
          </cell>
          <cell r="AV59" t="str">
            <v xml:space="preserve"> </v>
          </cell>
          <cell r="AX59">
            <v>31.72</v>
          </cell>
          <cell r="BA59">
            <v>1</v>
          </cell>
        </row>
        <row r="60">
          <cell r="B60" t="str">
            <v xml:space="preserve">        Office Surgery</v>
          </cell>
          <cell r="I60">
            <v>295</v>
          </cell>
          <cell r="J60" t="str">
            <v>Proced.</v>
          </cell>
          <cell r="L60">
            <v>381.28</v>
          </cell>
          <cell r="N60">
            <v>9.3699999999999992</v>
          </cell>
          <cell r="P60" t="str">
            <v>$ Specialist</v>
          </cell>
          <cell r="T60" t="str">
            <v xml:space="preserve"> </v>
          </cell>
          <cell r="V60">
            <v>9.3699999999999992</v>
          </cell>
          <cell r="X60">
            <v>1</v>
          </cell>
          <cell r="Y60">
            <v>0</v>
          </cell>
          <cell r="Z60">
            <v>1</v>
          </cell>
          <cell r="AA60">
            <v>0</v>
          </cell>
          <cell r="AB60">
            <v>1</v>
          </cell>
          <cell r="AC60">
            <v>1</v>
          </cell>
          <cell r="AD60" t="str">
            <v xml:space="preserve">        Office</v>
          </cell>
          <cell r="AK60">
            <v>441</v>
          </cell>
          <cell r="AL60" t="str">
            <v>Proced.</v>
          </cell>
          <cell r="AN60">
            <v>356.58</v>
          </cell>
          <cell r="AP60">
            <v>13.1</v>
          </cell>
          <cell r="AR60" t="str">
            <v xml:space="preserve"> </v>
          </cell>
          <cell r="AT60" t="str">
            <v xml:space="preserve"> </v>
          </cell>
          <cell r="AV60" t="str">
            <v xml:space="preserve"> </v>
          </cell>
          <cell r="AX60">
            <v>13.1</v>
          </cell>
          <cell r="BA60">
            <v>1</v>
          </cell>
        </row>
        <row r="61">
          <cell r="B61" t="str">
            <v xml:space="preserve">        OP Anesthesia</v>
          </cell>
          <cell r="I61">
            <v>72</v>
          </cell>
          <cell r="J61" t="str">
            <v>Proced.</v>
          </cell>
          <cell r="L61">
            <v>669.43</v>
          </cell>
          <cell r="N61">
            <v>4.0199999999999996</v>
          </cell>
          <cell r="P61" t="str">
            <v xml:space="preserve"> </v>
          </cell>
          <cell r="T61" t="str">
            <v xml:space="preserve"> </v>
          </cell>
          <cell r="V61">
            <v>4.0199999999999996</v>
          </cell>
          <cell r="X61">
            <v>1</v>
          </cell>
          <cell r="Y61">
            <v>0</v>
          </cell>
          <cell r="Z61">
            <v>1</v>
          </cell>
          <cell r="AA61">
            <v>0</v>
          </cell>
          <cell r="AB61">
            <v>1</v>
          </cell>
          <cell r="AC61">
            <v>1</v>
          </cell>
          <cell r="AD61" t="str">
            <v xml:space="preserve">        OP Anesthesia</v>
          </cell>
          <cell r="AK61">
            <v>90</v>
          </cell>
          <cell r="AL61" t="str">
            <v>Proced.</v>
          </cell>
          <cell r="AN61">
            <v>982.95</v>
          </cell>
          <cell r="AP61">
            <v>7.37</v>
          </cell>
          <cell r="AR61" t="str">
            <v xml:space="preserve"> </v>
          </cell>
          <cell r="AT61" t="str">
            <v xml:space="preserve"> </v>
          </cell>
          <cell r="AV61" t="str">
            <v xml:space="preserve"> </v>
          </cell>
          <cell r="AX61">
            <v>7.37</v>
          </cell>
          <cell r="BA61">
            <v>1</v>
          </cell>
        </row>
        <row r="62">
          <cell r="B62" t="str">
            <v xml:space="preserve">   Physician –Inpatient Visit </v>
          </cell>
        </row>
        <row r="63">
          <cell r="B63" t="str">
            <v xml:space="preserve">    Inpatient Visits</v>
          </cell>
          <cell r="X63">
            <v>1</v>
          </cell>
          <cell r="AB63">
            <v>0</v>
          </cell>
          <cell r="AC63">
            <v>1</v>
          </cell>
          <cell r="AD63" t="str">
            <v xml:space="preserve">    Inpatient Visits</v>
          </cell>
        </row>
        <row r="64">
          <cell r="B64" t="str">
            <v xml:space="preserve">      Hospital - Medical</v>
          </cell>
          <cell r="I64">
            <v>217</v>
          </cell>
          <cell r="J64" t="str">
            <v>Visits</v>
          </cell>
          <cell r="L64">
            <v>265.89</v>
          </cell>
          <cell r="N64">
            <v>4.8099999999999996</v>
          </cell>
          <cell r="P64" t="str">
            <v xml:space="preserve"> </v>
          </cell>
          <cell r="T64" t="str">
            <v xml:space="preserve"> </v>
          </cell>
          <cell r="V64">
            <v>4.8099999999999996</v>
          </cell>
          <cell r="X64">
            <v>1</v>
          </cell>
          <cell r="Y64">
            <v>0</v>
          </cell>
          <cell r="Z64">
            <v>1</v>
          </cell>
          <cell r="AA64">
            <v>0</v>
          </cell>
          <cell r="AB64">
            <v>1</v>
          </cell>
          <cell r="AC64">
            <v>1</v>
          </cell>
          <cell r="AD64" t="str">
            <v xml:space="preserve">      Hospital - Medical</v>
          </cell>
          <cell r="AK64">
            <v>188</v>
          </cell>
          <cell r="AL64" t="str">
            <v>Visits</v>
          </cell>
          <cell r="AN64">
            <v>266.13</v>
          </cell>
          <cell r="AP64">
            <v>4.17</v>
          </cell>
          <cell r="AR64" t="str">
            <v xml:space="preserve"> </v>
          </cell>
          <cell r="AT64" t="str">
            <v xml:space="preserve"> </v>
          </cell>
          <cell r="AV64" t="str">
            <v xml:space="preserve"> </v>
          </cell>
          <cell r="AX64">
            <v>4.17</v>
          </cell>
          <cell r="BA64">
            <v>1</v>
          </cell>
        </row>
        <row r="65">
          <cell r="B65" t="str">
            <v xml:space="preserve">      Hospital - Psych</v>
          </cell>
          <cell r="I65">
            <v>51</v>
          </cell>
          <cell r="J65" t="str">
            <v>Visits</v>
          </cell>
          <cell r="L65">
            <v>107.92</v>
          </cell>
          <cell r="N65">
            <v>0.46</v>
          </cell>
          <cell r="P65" t="str">
            <v xml:space="preserve"> </v>
          </cell>
          <cell r="T65" t="str">
            <v xml:space="preserve"> </v>
          </cell>
          <cell r="V65">
            <v>0.46</v>
          </cell>
          <cell r="X65">
            <v>1</v>
          </cell>
          <cell r="Y65">
            <v>0</v>
          </cell>
          <cell r="Z65">
            <v>1</v>
          </cell>
          <cell r="AA65">
            <v>0</v>
          </cell>
          <cell r="AB65">
            <v>1</v>
          </cell>
          <cell r="AC65">
            <v>1</v>
          </cell>
          <cell r="AD65" t="str">
            <v xml:space="preserve">      Hospital - Psych</v>
          </cell>
          <cell r="AK65">
            <v>38</v>
          </cell>
          <cell r="AL65" t="str">
            <v>Visits</v>
          </cell>
          <cell r="AN65">
            <v>266.13</v>
          </cell>
          <cell r="AP65">
            <v>0.84</v>
          </cell>
          <cell r="AR65" t="str">
            <v xml:space="preserve"> </v>
          </cell>
          <cell r="AT65" t="str">
            <v xml:space="preserve"> </v>
          </cell>
          <cell r="AV65" t="str">
            <v xml:space="preserve"> </v>
          </cell>
          <cell r="AX65">
            <v>0.84</v>
          </cell>
          <cell r="BA65">
            <v>1</v>
          </cell>
        </row>
        <row r="66">
          <cell r="B66" t="str">
            <v xml:space="preserve">      Hospital - A &amp; D</v>
          </cell>
          <cell r="I66">
            <v>16</v>
          </cell>
          <cell r="J66" t="str">
            <v>Visits</v>
          </cell>
          <cell r="L66">
            <v>107.92</v>
          </cell>
          <cell r="N66">
            <v>0.14000000000000001</v>
          </cell>
          <cell r="P66" t="str">
            <v xml:space="preserve"> </v>
          </cell>
          <cell r="T66" t="str">
            <v xml:space="preserve"> </v>
          </cell>
          <cell r="V66">
            <v>0.14000000000000001</v>
          </cell>
          <cell r="X66">
            <v>1</v>
          </cell>
          <cell r="Y66">
            <v>0</v>
          </cell>
          <cell r="Z66">
            <v>1</v>
          </cell>
          <cell r="AA66">
            <v>0</v>
          </cell>
          <cell r="AB66">
            <v>1</v>
          </cell>
          <cell r="AC66">
            <v>1</v>
          </cell>
          <cell r="AD66" t="str">
            <v xml:space="preserve">      Hospital - A &amp; D</v>
          </cell>
          <cell r="AK66">
            <v>26</v>
          </cell>
          <cell r="AL66" t="str">
            <v>Visits</v>
          </cell>
          <cell r="AN66">
            <v>266.13</v>
          </cell>
          <cell r="AP66">
            <v>0.57999999999999996</v>
          </cell>
          <cell r="AR66" t="str">
            <v xml:space="preserve"> </v>
          </cell>
          <cell r="AT66" t="str">
            <v xml:space="preserve"> </v>
          </cell>
          <cell r="AV66" t="str">
            <v xml:space="preserve"> </v>
          </cell>
          <cell r="AX66">
            <v>0.57999999999999996</v>
          </cell>
          <cell r="BA66">
            <v>1</v>
          </cell>
        </row>
        <row r="67">
          <cell r="B67" t="str">
            <v xml:space="preserve">  Physician –Office Visit and Miscellaneous Services </v>
          </cell>
        </row>
        <row r="68">
          <cell r="B68" t="str">
            <v xml:space="preserve">    Office/Home Visits</v>
          </cell>
          <cell r="I68">
            <v>3474</v>
          </cell>
          <cell r="J68" t="str">
            <v>Visits</v>
          </cell>
          <cell r="L68">
            <v>145.62</v>
          </cell>
          <cell r="N68">
            <v>42.16</v>
          </cell>
          <cell r="P68" t="str">
            <v>Adj $ OV  Copay, $ Specialist</v>
          </cell>
          <cell r="T68" t="str">
            <v xml:space="preserve"> </v>
          </cell>
          <cell r="V68">
            <v>42.16</v>
          </cell>
          <cell r="X68">
            <v>1</v>
          </cell>
          <cell r="Y68">
            <v>0</v>
          </cell>
          <cell r="Z68">
            <v>1</v>
          </cell>
          <cell r="AA68">
            <v>0</v>
          </cell>
          <cell r="AB68">
            <v>1</v>
          </cell>
          <cell r="AC68">
            <v>1</v>
          </cell>
          <cell r="AD68" t="str">
            <v xml:space="preserve">    Office/Home Visits</v>
          </cell>
          <cell r="AK68">
            <v>3407</v>
          </cell>
          <cell r="AL68" t="str">
            <v>Visits</v>
          </cell>
          <cell r="AN68">
            <v>138.27000000000001</v>
          </cell>
          <cell r="AP68">
            <v>39.26</v>
          </cell>
          <cell r="AR68" t="str">
            <v xml:space="preserve"> </v>
          </cell>
          <cell r="AT68" t="str">
            <v xml:space="preserve"> </v>
          </cell>
          <cell r="AV68" t="str">
            <v xml:space="preserve"> </v>
          </cell>
          <cell r="AX68">
            <v>39.26</v>
          </cell>
          <cell r="BA68">
            <v>1</v>
          </cell>
        </row>
        <row r="69">
          <cell r="B69" t="str">
            <v xml:space="preserve">    Urgent Care Visits</v>
          </cell>
          <cell r="I69">
            <v>89</v>
          </cell>
          <cell r="J69" t="str">
            <v>Visits</v>
          </cell>
          <cell r="L69">
            <v>186.92</v>
          </cell>
          <cell r="N69">
            <v>1.39</v>
          </cell>
          <cell r="P69" t="str">
            <v>$ Urgent Care</v>
          </cell>
          <cell r="T69" t="str">
            <v xml:space="preserve"> </v>
          </cell>
          <cell r="V69">
            <v>1.39</v>
          </cell>
          <cell r="X69">
            <v>1</v>
          </cell>
          <cell r="Y69">
            <v>0</v>
          </cell>
          <cell r="Z69">
            <v>1</v>
          </cell>
          <cell r="AA69">
            <v>0</v>
          </cell>
          <cell r="AB69">
            <v>1</v>
          </cell>
          <cell r="AC69">
            <v>1</v>
          </cell>
          <cell r="AD69" t="str">
            <v xml:space="preserve">    Urgent Care Visits</v>
          </cell>
          <cell r="AK69">
            <v>103</v>
          </cell>
          <cell r="AL69" t="str">
            <v>Visits</v>
          </cell>
          <cell r="AN69">
            <v>177.49</v>
          </cell>
          <cell r="AP69">
            <v>1.52</v>
          </cell>
          <cell r="AR69" t="str">
            <v xml:space="preserve"> </v>
          </cell>
          <cell r="AT69" t="str">
            <v xml:space="preserve"> </v>
          </cell>
          <cell r="AV69" t="str">
            <v xml:space="preserve"> </v>
          </cell>
          <cell r="AX69">
            <v>1.52</v>
          </cell>
          <cell r="BA69">
            <v>1</v>
          </cell>
        </row>
        <row r="70">
          <cell r="B70" t="str">
            <v xml:space="preserve">    Therapeutic Injections</v>
          </cell>
          <cell r="I70">
            <v>24</v>
          </cell>
          <cell r="J70" t="str">
            <v>Services</v>
          </cell>
          <cell r="L70">
            <v>477.07</v>
          </cell>
          <cell r="N70">
            <v>0.95</v>
          </cell>
          <cell r="P70" t="str">
            <v>Adj $ OV  Copay, $ Specialist</v>
          </cell>
          <cell r="T70" t="str">
            <v xml:space="preserve"> </v>
          </cell>
          <cell r="V70">
            <v>0.95</v>
          </cell>
          <cell r="X70">
            <v>1</v>
          </cell>
          <cell r="Y70">
            <v>0</v>
          </cell>
          <cell r="Z70">
            <v>1</v>
          </cell>
          <cell r="AA70">
            <v>0</v>
          </cell>
          <cell r="AB70">
            <v>1</v>
          </cell>
          <cell r="AC70">
            <v>1</v>
          </cell>
          <cell r="AD70" t="str">
            <v xml:space="preserve">    Therapeutic Injections</v>
          </cell>
          <cell r="AK70">
            <v>637</v>
          </cell>
          <cell r="AL70" t="str">
            <v>Services</v>
          </cell>
          <cell r="AN70">
            <v>185.04</v>
          </cell>
          <cell r="AP70">
            <v>9.82</v>
          </cell>
          <cell r="AR70" t="str">
            <v xml:space="preserve"> </v>
          </cell>
          <cell r="AT70" t="str">
            <v xml:space="preserve"> </v>
          </cell>
          <cell r="AV70" t="str">
            <v xml:space="preserve"> </v>
          </cell>
          <cell r="AX70">
            <v>9.82</v>
          </cell>
          <cell r="BA70">
            <v>1</v>
          </cell>
        </row>
        <row r="71">
          <cell r="B71" t="str">
            <v xml:space="preserve">    Allergy Tests &amp; Injections</v>
          </cell>
          <cell r="X71">
            <v>1</v>
          </cell>
          <cell r="AB71">
            <v>0</v>
          </cell>
          <cell r="AC71">
            <v>1</v>
          </cell>
          <cell r="AD71" t="str">
            <v xml:space="preserve">    Allergy Tests &amp; Injections</v>
          </cell>
        </row>
        <row r="72">
          <cell r="B72" t="str">
            <v xml:space="preserve">        Allergy Testing</v>
          </cell>
          <cell r="I72">
            <v>65</v>
          </cell>
          <cell r="J72" t="str">
            <v>Tests</v>
          </cell>
          <cell r="L72">
            <v>69.760000000000005</v>
          </cell>
          <cell r="N72">
            <v>0.38</v>
          </cell>
          <cell r="P72" t="str">
            <v>$ Specialist</v>
          </cell>
          <cell r="T72" t="str">
            <v xml:space="preserve"> </v>
          </cell>
          <cell r="V72">
            <v>0.38</v>
          </cell>
          <cell r="X72">
            <v>1</v>
          </cell>
          <cell r="Y72">
            <v>0</v>
          </cell>
          <cell r="Z72">
            <v>1</v>
          </cell>
          <cell r="AA72">
            <v>0</v>
          </cell>
          <cell r="AB72">
            <v>1</v>
          </cell>
          <cell r="AC72">
            <v>1</v>
          </cell>
          <cell r="AD72" t="str">
            <v xml:space="preserve">        Allergy Testing</v>
          </cell>
          <cell r="AK72">
            <v>600</v>
          </cell>
          <cell r="AL72" t="str">
            <v>Tests</v>
          </cell>
          <cell r="AN72">
            <v>11.34</v>
          </cell>
          <cell r="AP72">
            <v>0.56999999999999995</v>
          </cell>
          <cell r="AR72" t="str">
            <v xml:space="preserve"> </v>
          </cell>
          <cell r="AT72" t="str">
            <v xml:space="preserve"> </v>
          </cell>
          <cell r="AV72" t="str">
            <v xml:space="preserve"> </v>
          </cell>
          <cell r="AX72">
            <v>0.56999999999999995</v>
          </cell>
          <cell r="BA72">
            <v>1</v>
          </cell>
        </row>
        <row r="73">
          <cell r="B73" t="str">
            <v xml:space="preserve">        Allergy Immunotherapy</v>
          </cell>
          <cell r="I73">
            <v>28</v>
          </cell>
          <cell r="J73" t="str">
            <v>Services</v>
          </cell>
          <cell r="L73">
            <v>69.75</v>
          </cell>
          <cell r="N73">
            <v>0.16</v>
          </cell>
          <cell r="P73" t="str">
            <v>$ Specialist</v>
          </cell>
          <cell r="T73" t="str">
            <v xml:space="preserve"> </v>
          </cell>
          <cell r="V73">
            <v>0.16</v>
          </cell>
          <cell r="X73">
            <v>1</v>
          </cell>
          <cell r="Y73">
            <v>0</v>
          </cell>
          <cell r="Z73">
            <v>1</v>
          </cell>
          <cell r="AA73">
            <v>0</v>
          </cell>
          <cell r="AB73">
            <v>1</v>
          </cell>
          <cell r="AC73">
            <v>1</v>
          </cell>
          <cell r="AD73" t="str">
            <v xml:space="preserve">        Allergy Immunotherapy</v>
          </cell>
          <cell r="AK73">
            <v>216</v>
          </cell>
          <cell r="AL73" t="str">
            <v>Services</v>
          </cell>
          <cell r="AN73">
            <v>70.61</v>
          </cell>
          <cell r="AP73">
            <v>1.27</v>
          </cell>
          <cell r="AR73" t="str">
            <v xml:space="preserve"> </v>
          </cell>
          <cell r="AT73" t="str">
            <v xml:space="preserve"> </v>
          </cell>
          <cell r="AV73" t="str">
            <v xml:space="preserve"> </v>
          </cell>
          <cell r="AX73">
            <v>1.27</v>
          </cell>
          <cell r="BA73">
            <v>1</v>
          </cell>
        </row>
        <row r="74">
          <cell r="B74" t="str">
            <v xml:space="preserve">    Misc. Medical</v>
          </cell>
          <cell r="I74">
            <v>206</v>
          </cell>
          <cell r="J74" t="str">
            <v>Proced.</v>
          </cell>
          <cell r="L74">
            <v>196.93</v>
          </cell>
          <cell r="N74">
            <v>3.38</v>
          </cell>
          <cell r="P74" t="str">
            <v>$ Specialist</v>
          </cell>
          <cell r="T74" t="str">
            <v xml:space="preserve"> </v>
          </cell>
          <cell r="V74">
            <v>3.38</v>
          </cell>
          <cell r="X74">
            <v>1</v>
          </cell>
          <cell r="Y74">
            <v>0</v>
          </cell>
          <cell r="Z74">
            <v>1</v>
          </cell>
          <cell r="AA74">
            <v>0</v>
          </cell>
          <cell r="AB74">
            <v>1</v>
          </cell>
          <cell r="AC74">
            <v>1</v>
          </cell>
          <cell r="AD74" t="str">
            <v xml:space="preserve">    Misc. Medical</v>
          </cell>
          <cell r="AK74">
            <v>1034</v>
          </cell>
          <cell r="AL74" t="str">
            <v>Proced.</v>
          </cell>
          <cell r="AN74">
            <v>150.38</v>
          </cell>
          <cell r="AP74">
            <v>12.96</v>
          </cell>
          <cell r="AR74" t="str">
            <v xml:space="preserve"> </v>
          </cell>
          <cell r="AT74" t="str">
            <v xml:space="preserve"> </v>
          </cell>
          <cell r="AV74" t="str">
            <v xml:space="preserve"> </v>
          </cell>
          <cell r="AX74">
            <v>12.96</v>
          </cell>
          <cell r="BA74">
            <v>1</v>
          </cell>
        </row>
        <row r="75">
          <cell r="B75" t="str">
            <v xml:space="preserve">  Physician –Preventive Services </v>
          </cell>
        </row>
        <row r="76">
          <cell r="B76" t="str">
            <v xml:space="preserve">    Immunizations</v>
          </cell>
          <cell r="I76">
            <v>137</v>
          </cell>
          <cell r="J76" t="str">
            <v>Services</v>
          </cell>
          <cell r="L76">
            <v>78.17</v>
          </cell>
          <cell r="N76">
            <v>0.89</v>
          </cell>
          <cell r="P76" t="str">
            <v xml:space="preserve"> </v>
          </cell>
          <cell r="T76" t="str">
            <v xml:space="preserve"> </v>
          </cell>
          <cell r="V76">
            <v>0.89</v>
          </cell>
          <cell r="X76">
            <v>1</v>
          </cell>
          <cell r="Y76">
            <v>0</v>
          </cell>
          <cell r="Z76">
            <v>1</v>
          </cell>
          <cell r="AA76">
            <v>0</v>
          </cell>
          <cell r="AB76">
            <v>1</v>
          </cell>
          <cell r="AC76">
            <v>1</v>
          </cell>
          <cell r="AD76" t="str">
            <v xml:space="preserve">    Immunizations</v>
          </cell>
          <cell r="AK76">
            <v>807</v>
          </cell>
          <cell r="AL76" t="str">
            <v>Services</v>
          </cell>
          <cell r="AN76">
            <v>48.27</v>
          </cell>
          <cell r="AP76">
            <v>3.25</v>
          </cell>
          <cell r="AR76" t="str">
            <v xml:space="preserve"> </v>
          </cell>
          <cell r="AT76" t="str">
            <v xml:space="preserve"> </v>
          </cell>
          <cell r="AV76" t="str">
            <v xml:space="preserve"> </v>
          </cell>
          <cell r="AX76">
            <v>3.25</v>
          </cell>
          <cell r="BA76">
            <v>1</v>
          </cell>
        </row>
        <row r="77">
          <cell r="B77" t="str">
            <v xml:space="preserve">    Well Baby Exams</v>
          </cell>
          <cell r="I77">
            <v>102</v>
          </cell>
          <cell r="J77" t="str">
            <v>Exams</v>
          </cell>
          <cell r="L77">
            <v>107.55</v>
          </cell>
          <cell r="N77">
            <v>0.91</v>
          </cell>
          <cell r="P77" t="str">
            <v>$ Preventitive Copay</v>
          </cell>
          <cell r="T77" t="str">
            <v xml:space="preserve"> </v>
          </cell>
          <cell r="V77">
            <v>0.91</v>
          </cell>
          <cell r="X77">
            <v>1</v>
          </cell>
          <cell r="Y77">
            <v>0</v>
          </cell>
          <cell r="Z77">
            <v>1</v>
          </cell>
          <cell r="AA77">
            <v>0</v>
          </cell>
          <cell r="AB77">
            <v>1</v>
          </cell>
          <cell r="AC77">
            <v>1</v>
          </cell>
          <cell r="AD77" t="str">
            <v xml:space="preserve">    Well Baby Exams</v>
          </cell>
          <cell r="AK77">
            <v>85</v>
          </cell>
          <cell r="AL77" t="str">
            <v>Exams</v>
          </cell>
          <cell r="AN77">
            <v>160.78</v>
          </cell>
          <cell r="AP77">
            <v>1.1399999999999999</v>
          </cell>
          <cell r="AR77" t="str">
            <v xml:space="preserve"> </v>
          </cell>
          <cell r="AT77" t="str">
            <v xml:space="preserve"> </v>
          </cell>
          <cell r="AV77" t="str">
            <v xml:space="preserve"> </v>
          </cell>
          <cell r="AX77">
            <v>1.1399999999999999</v>
          </cell>
          <cell r="BA77">
            <v>1</v>
          </cell>
        </row>
        <row r="78">
          <cell r="B78" t="str">
            <v xml:space="preserve">    Physical Exams</v>
          </cell>
          <cell r="X78">
            <v>1</v>
          </cell>
          <cell r="AB78">
            <v>0</v>
          </cell>
          <cell r="AC78">
            <v>1</v>
          </cell>
          <cell r="AD78" t="str">
            <v xml:space="preserve">    Physical Exams</v>
          </cell>
        </row>
        <row r="79">
          <cell r="B79" t="str">
            <v xml:space="preserve">        Physician</v>
          </cell>
          <cell r="I79">
            <v>567</v>
          </cell>
          <cell r="J79" t="str">
            <v>Exams</v>
          </cell>
          <cell r="L79">
            <v>159.19999999999999</v>
          </cell>
          <cell r="N79">
            <v>7.52</v>
          </cell>
          <cell r="P79" t="str">
            <v>$ Preventitive Copay</v>
          </cell>
          <cell r="T79" t="str">
            <v xml:space="preserve"> </v>
          </cell>
          <cell r="V79">
            <v>7.52</v>
          </cell>
          <cell r="X79">
            <v>1</v>
          </cell>
          <cell r="Y79">
            <v>0</v>
          </cell>
          <cell r="Z79">
            <v>1</v>
          </cell>
          <cell r="AA79">
            <v>0</v>
          </cell>
          <cell r="AB79">
            <v>1</v>
          </cell>
          <cell r="AD79" t="str">
            <v xml:space="preserve">        Physician</v>
          </cell>
          <cell r="AK79">
            <v>322</v>
          </cell>
          <cell r="AL79" t="str">
            <v>Exams</v>
          </cell>
          <cell r="AN79">
            <v>243.3</v>
          </cell>
          <cell r="AP79">
            <v>6.53</v>
          </cell>
          <cell r="AR79" t="str">
            <v xml:space="preserve"> </v>
          </cell>
          <cell r="AT79" t="str">
            <v xml:space="preserve"> </v>
          </cell>
          <cell r="AV79" t="str">
            <v xml:space="preserve"> </v>
          </cell>
          <cell r="AX79">
            <v>6.53</v>
          </cell>
          <cell r="BA79">
            <v>1</v>
          </cell>
        </row>
        <row r="80">
          <cell r="B80" t="str">
            <v xml:space="preserve">        X-Ray - Radiology</v>
          </cell>
          <cell r="I80">
            <v>10</v>
          </cell>
          <cell r="J80" t="str">
            <v>Proced.</v>
          </cell>
          <cell r="L80">
            <v>130.12</v>
          </cell>
          <cell r="N80">
            <v>0.11</v>
          </cell>
          <cell r="P80" t="str">
            <v xml:space="preserve"> </v>
          </cell>
          <cell r="T80" t="str">
            <v xml:space="preserve"> </v>
          </cell>
          <cell r="V80">
            <v>0.11</v>
          </cell>
          <cell r="X80">
            <v>1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D80" t="str">
            <v xml:space="preserve">        X-Ray</v>
          </cell>
          <cell r="AK80">
            <v>6</v>
          </cell>
          <cell r="AL80" t="str">
            <v>Proced.</v>
          </cell>
          <cell r="AN80">
            <v>173.27</v>
          </cell>
          <cell r="AP80">
            <v>0.09</v>
          </cell>
          <cell r="AR80" t="str">
            <v xml:space="preserve"> </v>
          </cell>
          <cell r="AT80" t="str">
            <v xml:space="preserve"> </v>
          </cell>
          <cell r="AV80" t="str">
            <v xml:space="preserve"> </v>
          </cell>
          <cell r="AX80">
            <v>0.09</v>
          </cell>
          <cell r="BA80">
            <v>1</v>
          </cell>
        </row>
        <row r="81">
          <cell r="B81" t="str">
            <v xml:space="preserve">        Lab - Pathology</v>
          </cell>
          <cell r="I81">
            <v>697</v>
          </cell>
          <cell r="J81" t="str">
            <v>Proced.</v>
          </cell>
          <cell r="L81">
            <v>48.68</v>
          </cell>
          <cell r="N81">
            <v>2.83</v>
          </cell>
          <cell r="P81" t="str">
            <v xml:space="preserve"> </v>
          </cell>
          <cell r="T81" t="str">
            <v xml:space="preserve"> </v>
          </cell>
          <cell r="V81">
            <v>2.83</v>
          </cell>
          <cell r="X81">
            <v>1</v>
          </cell>
          <cell r="Y81">
            <v>0</v>
          </cell>
          <cell r="Z81">
            <v>1</v>
          </cell>
          <cell r="AA81">
            <v>0</v>
          </cell>
          <cell r="AB81">
            <v>1</v>
          </cell>
          <cell r="AD81" t="str">
            <v xml:space="preserve">        Lab</v>
          </cell>
          <cell r="AK81">
            <v>393</v>
          </cell>
          <cell r="AL81" t="str">
            <v>Proced.</v>
          </cell>
          <cell r="AN81">
            <v>64.819999999999993</v>
          </cell>
          <cell r="AP81">
            <v>2.12</v>
          </cell>
          <cell r="AR81" t="str">
            <v xml:space="preserve"> </v>
          </cell>
          <cell r="AT81" t="str">
            <v xml:space="preserve"> </v>
          </cell>
          <cell r="AV81" t="str">
            <v xml:space="preserve"> </v>
          </cell>
          <cell r="AX81">
            <v>2.12</v>
          </cell>
          <cell r="BA81">
            <v>1</v>
          </cell>
        </row>
        <row r="82">
          <cell r="B82" t="str">
            <v xml:space="preserve">    Vision, Hearing, and Speech Exams</v>
          </cell>
          <cell r="X82">
            <v>1</v>
          </cell>
          <cell r="AB82">
            <v>0</v>
          </cell>
          <cell r="AC82">
            <v>1</v>
          </cell>
          <cell r="AD82" t="str">
            <v xml:space="preserve">    Vision, Hearing, and Speech Exams</v>
          </cell>
        </row>
        <row r="83">
          <cell r="B83" t="str">
            <v xml:space="preserve">        Vision Exams</v>
          </cell>
          <cell r="I83">
            <v>256</v>
          </cell>
          <cell r="J83" t="str">
            <v>Exams</v>
          </cell>
          <cell r="L83">
            <v>112.15</v>
          </cell>
          <cell r="N83">
            <v>2.39</v>
          </cell>
          <cell r="P83" t="str">
            <v>$ Preventitive Copay</v>
          </cell>
          <cell r="V83">
            <v>2.39</v>
          </cell>
          <cell r="X83">
            <v>1</v>
          </cell>
          <cell r="Y83">
            <v>0</v>
          </cell>
          <cell r="Z83">
            <v>1</v>
          </cell>
          <cell r="AA83">
            <v>0</v>
          </cell>
          <cell r="AB83">
            <v>1</v>
          </cell>
          <cell r="AC83">
            <v>1</v>
          </cell>
          <cell r="AD83" t="str">
            <v xml:space="preserve">        Vision Exams</v>
          </cell>
          <cell r="AK83">
            <v>406</v>
          </cell>
          <cell r="AL83" t="str">
            <v>Exams</v>
          </cell>
          <cell r="AN83">
            <v>115.22</v>
          </cell>
          <cell r="AP83">
            <v>3.9</v>
          </cell>
          <cell r="AR83" t="str">
            <v xml:space="preserve"> </v>
          </cell>
          <cell r="AT83" t="str">
            <v xml:space="preserve"> </v>
          </cell>
          <cell r="AV83" t="str">
            <v xml:space="preserve"> </v>
          </cell>
          <cell r="AX83">
            <v>3.9</v>
          </cell>
          <cell r="BA83">
            <v>1</v>
          </cell>
        </row>
        <row r="84">
          <cell r="B84" t="str">
            <v xml:space="preserve">        Hearing/Speech Exams</v>
          </cell>
          <cell r="I84">
            <v>58</v>
          </cell>
          <cell r="J84" t="str">
            <v>Exams</v>
          </cell>
          <cell r="L84">
            <v>81.59</v>
          </cell>
          <cell r="N84">
            <v>0.39</v>
          </cell>
          <cell r="P84" t="str">
            <v>$ Preventitive Copay</v>
          </cell>
          <cell r="V84">
            <v>0.39</v>
          </cell>
          <cell r="X84">
            <v>1</v>
          </cell>
          <cell r="Y84">
            <v>0</v>
          </cell>
          <cell r="Z84">
            <v>1</v>
          </cell>
          <cell r="AA84">
            <v>0</v>
          </cell>
          <cell r="AB84">
            <v>1</v>
          </cell>
          <cell r="AC84">
            <v>1</v>
          </cell>
          <cell r="AD84" t="str">
            <v xml:space="preserve">        Hearing/Speech Exams</v>
          </cell>
          <cell r="AK84">
            <v>83</v>
          </cell>
          <cell r="AL84" t="str">
            <v>Exams</v>
          </cell>
          <cell r="AN84">
            <v>87.07</v>
          </cell>
          <cell r="AP84">
            <v>0.6</v>
          </cell>
          <cell r="AR84" t="str">
            <v xml:space="preserve"> </v>
          </cell>
          <cell r="AT84" t="str">
            <v xml:space="preserve"> </v>
          </cell>
          <cell r="AV84" t="str">
            <v xml:space="preserve"> </v>
          </cell>
          <cell r="AX84">
            <v>0.6</v>
          </cell>
          <cell r="BA84">
            <v>1</v>
          </cell>
        </row>
        <row r="85">
          <cell r="B85" t="str">
            <v xml:space="preserve">  Physician –Other Physician Services </v>
          </cell>
        </row>
        <row r="86">
          <cell r="B86" t="str">
            <v xml:space="preserve">    Emergency Room Visits</v>
          </cell>
          <cell r="I86">
            <v>349</v>
          </cell>
          <cell r="J86" t="str">
            <v>Visits</v>
          </cell>
          <cell r="L86">
            <v>232.84</v>
          </cell>
          <cell r="N86">
            <v>6.77</v>
          </cell>
          <cell r="P86" t="str">
            <v xml:space="preserve"> </v>
          </cell>
          <cell r="T86" t="str">
            <v xml:space="preserve"> </v>
          </cell>
          <cell r="V86">
            <v>6.77</v>
          </cell>
          <cell r="X86">
            <v>1</v>
          </cell>
          <cell r="Y86">
            <v>0</v>
          </cell>
          <cell r="Z86">
            <v>1</v>
          </cell>
          <cell r="AA86">
            <v>1</v>
          </cell>
          <cell r="AB86">
            <v>0</v>
          </cell>
          <cell r="AC86">
            <v>0</v>
          </cell>
          <cell r="AD86" t="str">
            <v xml:space="preserve">    Emergency Room Visits</v>
          </cell>
          <cell r="AK86">
            <v>0</v>
          </cell>
          <cell r="AL86" t="str">
            <v>Visits</v>
          </cell>
          <cell r="AN86">
            <v>320.02</v>
          </cell>
          <cell r="AP86">
            <v>0</v>
          </cell>
          <cell r="AR86" t="str">
            <v xml:space="preserve"> </v>
          </cell>
          <cell r="AT86" t="str">
            <v xml:space="preserve"> </v>
          </cell>
          <cell r="AV86" t="str">
            <v xml:space="preserve"> </v>
          </cell>
          <cell r="AX86">
            <v>0</v>
          </cell>
          <cell r="BA86">
            <v>0</v>
          </cell>
        </row>
        <row r="87">
          <cell r="B87" t="str">
            <v xml:space="preserve">    OP Phys Consults</v>
          </cell>
          <cell r="I87">
            <v>2</v>
          </cell>
          <cell r="J87" t="str">
            <v>Consults</v>
          </cell>
          <cell r="L87">
            <v>201.72</v>
          </cell>
          <cell r="N87">
            <v>0.03</v>
          </cell>
          <cell r="P87" t="str">
            <v xml:space="preserve"> </v>
          </cell>
          <cell r="T87" t="str">
            <v xml:space="preserve"> </v>
          </cell>
          <cell r="V87">
            <v>0.03</v>
          </cell>
          <cell r="X87">
            <v>1</v>
          </cell>
          <cell r="Y87">
            <v>0</v>
          </cell>
          <cell r="Z87">
            <v>1</v>
          </cell>
          <cell r="AA87">
            <v>0</v>
          </cell>
          <cell r="AB87">
            <v>1</v>
          </cell>
          <cell r="AC87">
            <v>1</v>
          </cell>
          <cell r="AD87" t="str">
            <v xml:space="preserve">    Consults</v>
          </cell>
          <cell r="AK87">
            <v>260</v>
          </cell>
          <cell r="AL87" t="str">
            <v>Consults</v>
          </cell>
          <cell r="AN87">
            <v>329.41</v>
          </cell>
          <cell r="AP87">
            <v>7.14</v>
          </cell>
          <cell r="AR87" t="str">
            <v xml:space="preserve"> </v>
          </cell>
          <cell r="AT87" t="str">
            <v xml:space="preserve"> </v>
          </cell>
          <cell r="AV87" t="str">
            <v xml:space="preserve"> </v>
          </cell>
          <cell r="AX87">
            <v>7.14</v>
          </cell>
          <cell r="BA87">
            <v>1</v>
          </cell>
        </row>
        <row r="88">
          <cell r="B88" t="str">
            <v xml:space="preserve">    Physical Therapy</v>
          </cell>
          <cell r="I88">
            <v>719</v>
          </cell>
          <cell r="J88" t="str">
            <v>Services</v>
          </cell>
          <cell r="L88">
            <v>86.01</v>
          </cell>
          <cell r="N88">
            <v>5.15</v>
          </cell>
          <cell r="P88" t="str">
            <v>$ PT/OT</v>
          </cell>
          <cell r="T88" t="str">
            <v xml:space="preserve"> </v>
          </cell>
          <cell r="V88">
            <v>5.15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1</v>
          </cell>
          <cell r="AC88">
            <v>1</v>
          </cell>
          <cell r="AD88" t="str">
            <v xml:space="preserve">    Physical Therapy</v>
          </cell>
          <cell r="AK88">
            <v>1169</v>
          </cell>
          <cell r="AL88" t="str">
            <v>Services</v>
          </cell>
          <cell r="AN88">
            <v>85.91</v>
          </cell>
          <cell r="AP88">
            <v>8.3699999999999992</v>
          </cell>
          <cell r="AR88" t="str">
            <v xml:space="preserve"> </v>
          </cell>
          <cell r="AT88" t="str">
            <v xml:space="preserve"> </v>
          </cell>
          <cell r="AV88" t="str">
            <v xml:space="preserve"> </v>
          </cell>
          <cell r="AX88">
            <v>8.3699999999999992</v>
          </cell>
          <cell r="BA88">
            <v>1</v>
          </cell>
        </row>
        <row r="89">
          <cell r="B89" t="str">
            <v xml:space="preserve">    Cardiovascular</v>
          </cell>
          <cell r="I89">
            <v>53</v>
          </cell>
          <cell r="J89" t="str">
            <v>Proced.</v>
          </cell>
          <cell r="L89">
            <v>211.23</v>
          </cell>
          <cell r="N89">
            <v>0.93</v>
          </cell>
          <cell r="P89" t="str">
            <v>$ Specialist</v>
          </cell>
          <cell r="T89" t="str">
            <v xml:space="preserve"> </v>
          </cell>
          <cell r="V89">
            <v>0.93</v>
          </cell>
          <cell r="X89">
            <v>1</v>
          </cell>
          <cell r="Y89">
            <v>0</v>
          </cell>
          <cell r="Z89">
            <v>1</v>
          </cell>
          <cell r="AA89">
            <v>0</v>
          </cell>
          <cell r="AB89">
            <v>1</v>
          </cell>
          <cell r="AC89">
            <v>1</v>
          </cell>
          <cell r="AD89" t="str">
            <v xml:space="preserve">    Cardiovascular</v>
          </cell>
          <cell r="AK89">
            <v>325</v>
          </cell>
          <cell r="AL89" t="str">
            <v>Proced.</v>
          </cell>
          <cell r="AN89">
            <v>231.32</v>
          </cell>
          <cell r="AP89">
            <v>6.26</v>
          </cell>
          <cell r="AR89" t="str">
            <v xml:space="preserve"> </v>
          </cell>
          <cell r="AT89" t="str">
            <v xml:space="preserve"> </v>
          </cell>
          <cell r="AV89" t="str">
            <v xml:space="preserve"> </v>
          </cell>
          <cell r="AX89">
            <v>6.26</v>
          </cell>
          <cell r="BA89">
            <v>1</v>
          </cell>
        </row>
        <row r="90">
          <cell r="B90" t="str">
            <v xml:space="preserve">    Radiology</v>
          </cell>
          <cell r="X90">
            <v>1</v>
          </cell>
          <cell r="AB90">
            <v>0</v>
          </cell>
          <cell r="AC90">
            <v>1</v>
          </cell>
          <cell r="AD90" t="str">
            <v xml:space="preserve">    Radiology</v>
          </cell>
        </row>
        <row r="91">
          <cell r="B91" t="str">
            <v xml:space="preserve">        IP (Professional)</v>
          </cell>
          <cell r="I91">
            <v>90</v>
          </cell>
          <cell r="J91" t="str">
            <v>Proced.</v>
          </cell>
          <cell r="L91">
            <v>115.86</v>
          </cell>
          <cell r="N91">
            <v>0.87</v>
          </cell>
          <cell r="P91" t="str">
            <v xml:space="preserve"> </v>
          </cell>
          <cell r="T91" t="str">
            <v xml:space="preserve"> </v>
          </cell>
          <cell r="V91">
            <v>0.87</v>
          </cell>
          <cell r="X91">
            <v>1</v>
          </cell>
          <cell r="Y91">
            <v>0</v>
          </cell>
          <cell r="Z91">
            <v>1</v>
          </cell>
          <cell r="AA91">
            <v>0</v>
          </cell>
          <cell r="AB91">
            <v>1</v>
          </cell>
          <cell r="AC91">
            <v>1</v>
          </cell>
          <cell r="AD91" t="str">
            <v xml:space="preserve">        IP (Professional)</v>
          </cell>
          <cell r="AK91">
            <v>120</v>
          </cell>
          <cell r="AL91" t="str">
            <v>Proced.</v>
          </cell>
          <cell r="AN91">
            <v>132.13</v>
          </cell>
          <cell r="AP91">
            <v>1.32</v>
          </cell>
          <cell r="AR91" t="str">
            <v xml:space="preserve"> </v>
          </cell>
          <cell r="AT91" t="str">
            <v xml:space="preserve"> </v>
          </cell>
          <cell r="AV91" t="str">
            <v xml:space="preserve"> </v>
          </cell>
          <cell r="AX91">
            <v>1.32</v>
          </cell>
          <cell r="BA91">
            <v>1</v>
          </cell>
        </row>
        <row r="92">
          <cell r="B92" t="str">
            <v xml:space="preserve">        OP (Professional)</v>
          </cell>
          <cell r="X92">
            <v>1</v>
          </cell>
          <cell r="AB92">
            <v>0</v>
          </cell>
          <cell r="AC92">
            <v>1</v>
          </cell>
          <cell r="AD92" t="str">
            <v xml:space="preserve">        OP (Professional)</v>
          </cell>
        </row>
        <row r="93">
          <cell r="B93" t="str">
            <v xml:space="preserve">           Outpatient - General</v>
          </cell>
          <cell r="I93">
            <v>431</v>
          </cell>
          <cell r="J93" t="str">
            <v>Proced.</v>
          </cell>
          <cell r="L93">
            <v>67.510000000000005</v>
          </cell>
          <cell r="N93">
            <v>2.42</v>
          </cell>
          <cell r="P93" t="str">
            <v xml:space="preserve"> </v>
          </cell>
          <cell r="T93" t="str">
            <v xml:space="preserve"> </v>
          </cell>
          <cell r="V93">
            <v>2.42</v>
          </cell>
          <cell r="X93">
            <v>1</v>
          </cell>
          <cell r="Y93">
            <v>0</v>
          </cell>
          <cell r="Z93">
            <v>1</v>
          </cell>
          <cell r="AA93">
            <v>0</v>
          </cell>
          <cell r="AB93">
            <v>1</v>
          </cell>
          <cell r="AC93">
            <v>1</v>
          </cell>
          <cell r="AD93" t="str">
            <v xml:space="preserve">           Outpatient - General</v>
          </cell>
          <cell r="AK93">
            <v>528</v>
          </cell>
          <cell r="AL93" t="str">
            <v>Proced.</v>
          </cell>
          <cell r="AN93">
            <v>98.45</v>
          </cell>
          <cell r="AP93">
            <v>4.33</v>
          </cell>
          <cell r="AR93" t="str">
            <v xml:space="preserve"> </v>
          </cell>
          <cell r="AT93" t="str">
            <v xml:space="preserve"> </v>
          </cell>
          <cell r="AV93" t="str">
            <v xml:space="preserve"> </v>
          </cell>
          <cell r="AX93">
            <v>4.33</v>
          </cell>
          <cell r="BA93">
            <v>1</v>
          </cell>
        </row>
        <row r="94">
          <cell r="B94" t="str">
            <v xml:space="preserve">           Outpatient - CT / MRI / PET</v>
          </cell>
          <cell r="I94">
            <v>121</v>
          </cell>
          <cell r="J94" t="str">
            <v>Proced.</v>
          </cell>
          <cell r="L94">
            <v>181.34</v>
          </cell>
          <cell r="N94">
            <v>1.83</v>
          </cell>
          <cell r="P94" t="str">
            <v xml:space="preserve"> </v>
          </cell>
          <cell r="T94" t="str">
            <v xml:space="preserve"> </v>
          </cell>
          <cell r="V94">
            <v>1.83</v>
          </cell>
          <cell r="X94">
            <v>1</v>
          </cell>
          <cell r="Y94">
            <v>0</v>
          </cell>
          <cell r="Z94">
            <v>1</v>
          </cell>
          <cell r="AA94">
            <v>0</v>
          </cell>
          <cell r="AB94">
            <v>1</v>
          </cell>
          <cell r="AC94">
            <v>1</v>
          </cell>
          <cell r="AD94" t="str">
            <v xml:space="preserve">           Outpatient - CT / MRI / PET</v>
          </cell>
          <cell r="AK94">
            <v>149</v>
          </cell>
          <cell r="AL94" t="str">
            <v>Proced.</v>
          </cell>
          <cell r="AN94">
            <v>279.75</v>
          </cell>
          <cell r="AP94">
            <v>3.47</v>
          </cell>
          <cell r="AR94" t="str">
            <v xml:space="preserve"> </v>
          </cell>
          <cell r="AT94" t="str">
            <v xml:space="preserve"> </v>
          </cell>
          <cell r="AV94" t="str">
            <v xml:space="preserve"> </v>
          </cell>
          <cell r="AX94">
            <v>3.47</v>
          </cell>
          <cell r="BA94">
            <v>1</v>
          </cell>
        </row>
        <row r="95">
          <cell r="B95" t="str">
            <v xml:space="preserve">        Office (Combined)</v>
          </cell>
          <cell r="X95">
            <v>1</v>
          </cell>
          <cell r="AB95">
            <v>0</v>
          </cell>
          <cell r="AC95">
            <v>1</v>
          </cell>
          <cell r="AD95" t="str">
            <v xml:space="preserve">        Office (Combined)</v>
          </cell>
        </row>
        <row r="96">
          <cell r="B96" t="str">
            <v xml:space="preserve">           Office - General</v>
          </cell>
          <cell r="I96">
            <v>439</v>
          </cell>
          <cell r="J96" t="str">
            <v>Proced.</v>
          </cell>
          <cell r="L96">
            <v>298.33</v>
          </cell>
          <cell r="N96">
            <v>10.91</v>
          </cell>
          <cell r="P96" t="str">
            <v xml:space="preserve"> </v>
          </cell>
          <cell r="T96" t="str">
            <v xml:space="preserve"> </v>
          </cell>
          <cell r="V96">
            <v>10.91</v>
          </cell>
          <cell r="X96">
            <v>1</v>
          </cell>
          <cell r="Y96">
            <v>0</v>
          </cell>
          <cell r="Z96">
            <v>1</v>
          </cell>
          <cell r="AA96">
            <v>0</v>
          </cell>
          <cell r="AB96">
            <v>1</v>
          </cell>
          <cell r="AC96">
            <v>1</v>
          </cell>
          <cell r="AD96" t="str">
            <v xml:space="preserve">           Office - General</v>
          </cell>
          <cell r="AK96">
            <v>725</v>
          </cell>
          <cell r="AL96" t="str">
            <v>Proced.</v>
          </cell>
          <cell r="AN96">
            <v>214.72</v>
          </cell>
          <cell r="AP96">
            <v>12.97</v>
          </cell>
          <cell r="AR96" t="str">
            <v xml:space="preserve"> </v>
          </cell>
          <cell r="AT96" t="str">
            <v xml:space="preserve"> </v>
          </cell>
          <cell r="AV96" t="str">
            <v xml:space="preserve"> </v>
          </cell>
          <cell r="AX96">
            <v>12.97</v>
          </cell>
          <cell r="BA96">
            <v>1</v>
          </cell>
        </row>
        <row r="97">
          <cell r="B97" t="str">
            <v xml:space="preserve">           Office - CT / MRI / PET</v>
          </cell>
          <cell r="I97">
            <v>50</v>
          </cell>
          <cell r="J97" t="str">
            <v>Proced.</v>
          </cell>
          <cell r="L97">
            <v>1999.33</v>
          </cell>
          <cell r="N97">
            <v>8.33</v>
          </cell>
          <cell r="P97" t="str">
            <v xml:space="preserve"> </v>
          </cell>
          <cell r="T97" t="str">
            <v xml:space="preserve"> </v>
          </cell>
          <cell r="V97">
            <v>8.33</v>
          </cell>
          <cell r="X97">
            <v>1</v>
          </cell>
          <cell r="Y97">
            <v>0</v>
          </cell>
          <cell r="Z97">
            <v>1</v>
          </cell>
          <cell r="AA97">
            <v>0</v>
          </cell>
          <cell r="AB97">
            <v>1</v>
          </cell>
          <cell r="AC97">
            <v>1</v>
          </cell>
          <cell r="AD97" t="str">
            <v xml:space="preserve">           Office - CT / MRI / PET</v>
          </cell>
          <cell r="AK97">
            <v>83</v>
          </cell>
          <cell r="AL97" t="str">
            <v>Proced.</v>
          </cell>
          <cell r="AN97">
            <v>1498.43</v>
          </cell>
          <cell r="AP97">
            <v>10.36</v>
          </cell>
          <cell r="AR97" t="str">
            <v xml:space="preserve"> </v>
          </cell>
          <cell r="AT97" t="str">
            <v xml:space="preserve"> </v>
          </cell>
          <cell r="AV97" t="str">
            <v xml:space="preserve"> </v>
          </cell>
          <cell r="AX97">
            <v>10.36</v>
          </cell>
          <cell r="BA97">
            <v>1</v>
          </cell>
        </row>
        <row r="98">
          <cell r="B98" t="str">
            <v xml:space="preserve">    Pathology</v>
          </cell>
          <cell r="X98">
            <v>1</v>
          </cell>
          <cell r="AB98">
            <v>0</v>
          </cell>
          <cell r="AC98">
            <v>1</v>
          </cell>
          <cell r="AD98" t="str">
            <v xml:space="preserve">    Pathology</v>
          </cell>
        </row>
        <row r="99">
          <cell r="B99" t="str">
            <v xml:space="preserve">        IP (Professional)</v>
          </cell>
          <cell r="I99">
            <v>70</v>
          </cell>
          <cell r="J99" t="str">
            <v>Proced.</v>
          </cell>
          <cell r="L99">
            <v>199.62</v>
          </cell>
          <cell r="N99">
            <v>1.1599999999999999</v>
          </cell>
          <cell r="P99" t="str">
            <v xml:space="preserve"> </v>
          </cell>
          <cell r="T99" t="str">
            <v xml:space="preserve"> </v>
          </cell>
          <cell r="V99">
            <v>1.1599999999999999</v>
          </cell>
          <cell r="X99">
            <v>1</v>
          </cell>
          <cell r="Y99">
            <v>0</v>
          </cell>
          <cell r="Z99">
            <v>1</v>
          </cell>
          <cell r="AA99">
            <v>0</v>
          </cell>
          <cell r="AB99">
            <v>1</v>
          </cell>
          <cell r="AC99">
            <v>1</v>
          </cell>
          <cell r="AD99" t="str">
            <v xml:space="preserve">        IP (Professional)</v>
          </cell>
          <cell r="AK99">
            <v>51</v>
          </cell>
          <cell r="AL99" t="str">
            <v>Proced.</v>
          </cell>
          <cell r="AN99">
            <v>176.77</v>
          </cell>
          <cell r="AP99">
            <v>0.75</v>
          </cell>
          <cell r="AR99" t="str">
            <v xml:space="preserve"> </v>
          </cell>
          <cell r="AT99" t="str">
            <v xml:space="preserve"> </v>
          </cell>
          <cell r="AV99" t="str">
            <v xml:space="preserve"> </v>
          </cell>
          <cell r="AX99">
            <v>0.75</v>
          </cell>
          <cell r="BA99">
            <v>1</v>
          </cell>
        </row>
        <row r="100">
          <cell r="B100" t="str">
            <v xml:space="preserve">        OP (Professional)</v>
          </cell>
          <cell r="I100">
            <v>105</v>
          </cell>
          <cell r="J100" t="str">
            <v>Proced.</v>
          </cell>
          <cell r="L100">
            <v>118.3</v>
          </cell>
          <cell r="N100">
            <v>1.04</v>
          </cell>
          <cell r="P100" t="str">
            <v xml:space="preserve"> </v>
          </cell>
          <cell r="T100" t="str">
            <v xml:space="preserve"> </v>
          </cell>
          <cell r="V100">
            <v>1.04</v>
          </cell>
          <cell r="X100">
            <v>1</v>
          </cell>
          <cell r="Y100">
            <v>0</v>
          </cell>
          <cell r="Z100">
            <v>1</v>
          </cell>
          <cell r="AA100">
            <v>0</v>
          </cell>
          <cell r="AB100">
            <v>1</v>
          </cell>
          <cell r="AC100">
            <v>1</v>
          </cell>
          <cell r="AD100" t="str">
            <v xml:space="preserve">        OP (Professional)</v>
          </cell>
          <cell r="AK100">
            <v>100</v>
          </cell>
          <cell r="AL100" t="str">
            <v>Proced.</v>
          </cell>
          <cell r="AN100">
            <v>176.84</v>
          </cell>
          <cell r="AP100">
            <v>1.47</v>
          </cell>
          <cell r="AR100" t="str">
            <v xml:space="preserve"> </v>
          </cell>
          <cell r="AT100" t="str">
            <v xml:space="preserve"> </v>
          </cell>
          <cell r="AV100" t="str">
            <v xml:space="preserve"> </v>
          </cell>
          <cell r="AX100">
            <v>1.47</v>
          </cell>
          <cell r="BA100">
            <v>1</v>
          </cell>
        </row>
        <row r="101">
          <cell r="B101" t="str">
            <v xml:space="preserve">        Office (Combined)</v>
          </cell>
          <cell r="I101">
            <v>2409</v>
          </cell>
          <cell r="J101" t="str">
            <v>Proced.</v>
          </cell>
          <cell r="L101">
            <v>143.68</v>
          </cell>
          <cell r="N101">
            <v>28.84</v>
          </cell>
          <cell r="P101" t="str">
            <v xml:space="preserve"> </v>
          </cell>
          <cell r="T101" t="str">
            <v xml:space="preserve"> </v>
          </cell>
          <cell r="V101">
            <v>28.84</v>
          </cell>
          <cell r="X101">
            <v>1</v>
          </cell>
          <cell r="Y101">
            <v>0</v>
          </cell>
          <cell r="Z101">
            <v>1</v>
          </cell>
          <cell r="AA101">
            <v>0</v>
          </cell>
          <cell r="AB101">
            <v>1</v>
          </cell>
          <cell r="AC101">
            <v>1</v>
          </cell>
          <cell r="AD101" t="str">
            <v xml:space="preserve">        Office (Combined)</v>
          </cell>
          <cell r="AK101">
            <v>3396</v>
          </cell>
          <cell r="AL101" t="str">
            <v>Proced.</v>
          </cell>
          <cell r="AN101">
            <v>67.72</v>
          </cell>
          <cell r="AP101">
            <v>19.16</v>
          </cell>
          <cell r="AR101" t="str">
            <v xml:space="preserve"> </v>
          </cell>
          <cell r="AT101" t="str">
            <v xml:space="preserve"> </v>
          </cell>
          <cell r="AV101" t="str">
            <v xml:space="preserve"> </v>
          </cell>
          <cell r="AX101">
            <v>19.16</v>
          </cell>
          <cell r="BA101">
            <v>1</v>
          </cell>
        </row>
        <row r="102">
          <cell r="B102" t="str">
            <v xml:space="preserve">    Chiropractor</v>
          </cell>
          <cell r="I102">
            <v>760</v>
          </cell>
          <cell r="J102" t="str">
            <v>Visits</v>
          </cell>
          <cell r="L102">
            <v>54.7</v>
          </cell>
          <cell r="N102">
            <v>3.46</v>
          </cell>
          <cell r="P102" t="str">
            <v xml:space="preserve">$ OV  Copay  </v>
          </cell>
          <cell r="T102" t="str">
            <v xml:space="preserve"> </v>
          </cell>
          <cell r="V102">
            <v>3.46</v>
          </cell>
          <cell r="X102">
            <v>1</v>
          </cell>
          <cell r="Y102">
            <v>0</v>
          </cell>
          <cell r="Z102">
            <v>1</v>
          </cell>
          <cell r="AA102">
            <v>0</v>
          </cell>
          <cell r="AB102">
            <v>1</v>
          </cell>
          <cell r="AC102">
            <v>1</v>
          </cell>
          <cell r="AD102" t="str">
            <v xml:space="preserve">    Chiropractor</v>
          </cell>
          <cell r="AK102">
            <v>1269</v>
          </cell>
          <cell r="AL102" t="str">
            <v>Visits</v>
          </cell>
          <cell r="AN102">
            <v>65.92</v>
          </cell>
          <cell r="AP102">
            <v>6.97</v>
          </cell>
          <cell r="AR102" t="str">
            <v xml:space="preserve"> </v>
          </cell>
          <cell r="AT102" t="str">
            <v xml:space="preserve"> </v>
          </cell>
          <cell r="AV102" t="str">
            <v xml:space="preserve"> </v>
          </cell>
          <cell r="AX102">
            <v>6.97</v>
          </cell>
          <cell r="BA102">
            <v>1</v>
          </cell>
        </row>
        <row r="103">
          <cell r="B103" t="str">
            <v xml:space="preserve">    Podiatrist</v>
          </cell>
          <cell r="I103">
            <v>106</v>
          </cell>
          <cell r="J103" t="str">
            <v>Visits</v>
          </cell>
          <cell r="L103">
            <v>149.46</v>
          </cell>
          <cell r="N103">
            <v>1.32</v>
          </cell>
          <cell r="P103" t="str">
            <v>$ Specialist</v>
          </cell>
          <cell r="T103" t="str">
            <v xml:space="preserve"> </v>
          </cell>
          <cell r="V103">
            <v>1.32</v>
          </cell>
          <cell r="X103">
            <v>1</v>
          </cell>
          <cell r="Y103">
            <v>0</v>
          </cell>
          <cell r="Z103">
            <v>1</v>
          </cell>
          <cell r="AA103">
            <v>0</v>
          </cell>
          <cell r="AB103">
            <v>1</v>
          </cell>
          <cell r="AC103">
            <v>1</v>
          </cell>
          <cell r="AD103" t="str">
            <v xml:space="preserve">    Podiatrist</v>
          </cell>
          <cell r="AK103">
            <v>169</v>
          </cell>
          <cell r="AL103" t="str">
            <v>Visits</v>
          </cell>
          <cell r="AN103">
            <v>205.21</v>
          </cell>
          <cell r="AP103">
            <v>2.89</v>
          </cell>
          <cell r="AR103" t="str">
            <v xml:space="preserve"> </v>
          </cell>
          <cell r="AT103" t="str">
            <v xml:space="preserve"> </v>
          </cell>
          <cell r="AV103" t="str">
            <v xml:space="preserve"> </v>
          </cell>
          <cell r="AX103">
            <v>2.89</v>
          </cell>
          <cell r="BA103">
            <v>1</v>
          </cell>
        </row>
        <row r="104">
          <cell r="B104" t="str">
            <v xml:space="preserve">    Outpatient Psychiatric</v>
          </cell>
          <cell r="I104">
            <v>1163</v>
          </cell>
          <cell r="J104" t="str">
            <v>Visits</v>
          </cell>
          <cell r="L104">
            <v>89.17</v>
          </cell>
          <cell r="N104">
            <v>8.64</v>
          </cell>
          <cell r="P104" t="str">
            <v xml:space="preserve">$ OV  Copay  </v>
          </cell>
          <cell r="T104" t="str">
            <v xml:space="preserve"> </v>
          </cell>
          <cell r="V104">
            <v>8.64</v>
          </cell>
          <cell r="X104">
            <v>1</v>
          </cell>
          <cell r="Y104">
            <v>0</v>
          </cell>
          <cell r="Z104">
            <v>1</v>
          </cell>
          <cell r="AA104">
            <v>1</v>
          </cell>
          <cell r="AB104">
            <v>0</v>
          </cell>
          <cell r="AC104">
            <v>0</v>
          </cell>
          <cell r="AD104" t="str">
            <v xml:space="preserve">    Outpatient Psychiatric</v>
          </cell>
          <cell r="AK104">
            <v>0</v>
          </cell>
          <cell r="AL104" t="str">
            <v>Visits</v>
          </cell>
          <cell r="AN104">
            <v>166.83</v>
          </cell>
          <cell r="AP104">
            <v>0</v>
          </cell>
          <cell r="AR104" t="str">
            <v xml:space="preserve"> </v>
          </cell>
          <cell r="AT104" t="str">
            <v xml:space="preserve"> </v>
          </cell>
          <cell r="AV104" t="str">
            <v xml:space="preserve"> </v>
          </cell>
          <cell r="AX104">
            <v>0</v>
          </cell>
          <cell r="BA104">
            <v>1</v>
          </cell>
        </row>
        <row r="105">
          <cell r="B105" t="str">
            <v xml:space="preserve">    Outpatient Alcohol &amp; Drug Abuse</v>
          </cell>
          <cell r="I105">
            <v>21</v>
          </cell>
          <cell r="J105" t="str">
            <v>Visits</v>
          </cell>
          <cell r="L105">
            <v>98.54</v>
          </cell>
          <cell r="N105">
            <v>0.17</v>
          </cell>
          <cell r="P105" t="str">
            <v xml:space="preserve">$ OV  Copay  </v>
          </cell>
          <cell r="T105" t="str">
            <v xml:space="preserve"> </v>
          </cell>
          <cell r="V105">
            <v>0.17</v>
          </cell>
          <cell r="X105">
            <v>1</v>
          </cell>
          <cell r="Y105">
            <v>0</v>
          </cell>
          <cell r="Z105">
            <v>1</v>
          </cell>
          <cell r="AA105">
            <v>1</v>
          </cell>
          <cell r="AB105">
            <v>0</v>
          </cell>
          <cell r="AC105">
            <v>0</v>
          </cell>
          <cell r="AD105" t="str">
            <v xml:space="preserve">    Outpatient Alcohol &amp; Drug Abuse</v>
          </cell>
          <cell r="AK105">
            <v>0</v>
          </cell>
          <cell r="AL105" t="str">
            <v>Visits</v>
          </cell>
          <cell r="AN105">
            <v>134.63999999999999</v>
          </cell>
          <cell r="AP105">
            <v>0</v>
          </cell>
          <cell r="AR105" t="str">
            <v xml:space="preserve"> </v>
          </cell>
          <cell r="AT105" t="str">
            <v xml:space="preserve"> </v>
          </cell>
          <cell r="AV105" t="str">
            <v xml:space="preserve"> </v>
          </cell>
          <cell r="AX105">
            <v>0</v>
          </cell>
          <cell r="BA105">
            <v>1</v>
          </cell>
        </row>
        <row r="106">
          <cell r="X106">
            <v>0</v>
          </cell>
          <cell r="AC106">
            <v>1</v>
          </cell>
        </row>
        <row r="107">
          <cell r="N107">
            <v>185.16</v>
          </cell>
          <cell r="T107">
            <v>0</v>
          </cell>
          <cell r="V107">
            <v>185.16</v>
          </cell>
          <cell r="X107">
            <v>0</v>
          </cell>
          <cell r="Y107">
            <v>0</v>
          </cell>
          <cell r="AA107">
            <v>15.58</v>
          </cell>
          <cell r="AC107">
            <v>1</v>
          </cell>
          <cell r="AP107">
            <v>256.74</v>
          </cell>
          <cell r="AV107">
            <v>0</v>
          </cell>
          <cell r="AX107">
            <v>256.74</v>
          </cell>
          <cell r="BA107">
            <v>256.74</v>
          </cell>
        </row>
        <row r="108">
          <cell r="X108">
            <v>0</v>
          </cell>
          <cell r="AC108">
            <v>1</v>
          </cell>
        </row>
        <row r="109">
          <cell r="B109" t="str">
            <v>Other</v>
          </cell>
          <cell r="X109">
            <v>0</v>
          </cell>
          <cell r="AC109">
            <v>1</v>
          </cell>
          <cell r="AD109" t="str">
            <v>Other</v>
          </cell>
        </row>
        <row r="110">
          <cell r="B110" t="str">
            <v xml:space="preserve">    Prescription Drugs</v>
          </cell>
          <cell r="I110">
            <v>0</v>
          </cell>
          <cell r="J110" t="str">
            <v>Scripts</v>
          </cell>
          <cell r="L110">
            <v>0</v>
          </cell>
          <cell r="N110">
            <v>0</v>
          </cell>
          <cell r="P110" t="str">
            <v xml:space="preserve"> </v>
          </cell>
          <cell r="T110" t="str">
            <v xml:space="preserve"> </v>
          </cell>
          <cell r="V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 t="str">
            <v xml:space="preserve">    Prescription Drugs</v>
          </cell>
          <cell r="AK110">
            <v>0</v>
          </cell>
          <cell r="AL110" t="str">
            <v>Scripts</v>
          </cell>
          <cell r="AN110">
            <v>93.7</v>
          </cell>
          <cell r="AP110">
            <v>0</v>
          </cell>
          <cell r="AR110" t="str">
            <v xml:space="preserve"> </v>
          </cell>
          <cell r="AT110" t="str">
            <v xml:space="preserve"> </v>
          </cell>
          <cell r="AV110" t="str">
            <v xml:space="preserve"> </v>
          </cell>
          <cell r="AX110">
            <v>0</v>
          </cell>
          <cell r="BA110">
            <v>0</v>
          </cell>
        </row>
        <row r="111">
          <cell r="B111" t="str">
            <v xml:space="preserve">    Private Duty Nursing/Home Health</v>
          </cell>
          <cell r="I111">
            <v>125</v>
          </cell>
          <cell r="J111" t="str">
            <v>Units</v>
          </cell>
          <cell r="L111">
            <v>150.04</v>
          </cell>
          <cell r="N111">
            <v>1.56</v>
          </cell>
          <cell r="P111" t="str">
            <v xml:space="preserve"> </v>
          </cell>
          <cell r="T111" t="str">
            <v xml:space="preserve"> </v>
          </cell>
          <cell r="V111">
            <v>1.56</v>
          </cell>
          <cell r="X111">
            <v>1</v>
          </cell>
          <cell r="Y111">
            <v>0</v>
          </cell>
          <cell r="Z111">
            <v>1</v>
          </cell>
          <cell r="AA111">
            <v>0</v>
          </cell>
          <cell r="AB111">
            <v>1</v>
          </cell>
          <cell r="AC111">
            <v>1</v>
          </cell>
          <cell r="AD111" t="str">
            <v xml:space="preserve">    Private Duty Nursing/Home Health</v>
          </cell>
          <cell r="AK111">
            <v>339</v>
          </cell>
          <cell r="AL111" t="str">
            <v>Units</v>
          </cell>
          <cell r="AN111">
            <v>341.3</v>
          </cell>
          <cell r="AP111">
            <v>9.64</v>
          </cell>
          <cell r="AR111" t="str">
            <v xml:space="preserve"> </v>
          </cell>
          <cell r="AT111" t="str">
            <v xml:space="preserve"> </v>
          </cell>
          <cell r="AV111" t="str">
            <v xml:space="preserve"> </v>
          </cell>
          <cell r="AX111">
            <v>9.64</v>
          </cell>
          <cell r="BA111">
            <v>1</v>
          </cell>
        </row>
        <row r="112">
          <cell r="B112" t="str">
            <v xml:space="preserve">    Ambulance</v>
          </cell>
          <cell r="I112">
            <v>7</v>
          </cell>
          <cell r="J112" t="str">
            <v>Runs</v>
          </cell>
          <cell r="L112">
            <v>603.94000000000005</v>
          </cell>
          <cell r="N112">
            <v>0.35</v>
          </cell>
          <cell r="P112" t="str">
            <v>$ Ambulane</v>
          </cell>
          <cell r="T112" t="str">
            <v xml:space="preserve"> </v>
          </cell>
          <cell r="V112">
            <v>0.35</v>
          </cell>
          <cell r="X112">
            <v>1</v>
          </cell>
          <cell r="Y112">
            <v>0</v>
          </cell>
          <cell r="Z112">
            <v>1</v>
          </cell>
          <cell r="AA112">
            <v>0</v>
          </cell>
          <cell r="AB112">
            <v>1</v>
          </cell>
          <cell r="AC112">
            <v>1</v>
          </cell>
          <cell r="AD112" t="str">
            <v xml:space="preserve">    Ambulance</v>
          </cell>
          <cell r="AK112">
            <v>68</v>
          </cell>
          <cell r="AL112" t="str">
            <v>Runs</v>
          </cell>
          <cell r="AN112">
            <v>519.79999999999995</v>
          </cell>
          <cell r="AP112">
            <v>2.95</v>
          </cell>
          <cell r="AR112" t="str">
            <v xml:space="preserve"> </v>
          </cell>
          <cell r="AT112" t="str">
            <v xml:space="preserve"> </v>
          </cell>
          <cell r="AV112" t="str">
            <v xml:space="preserve"> </v>
          </cell>
          <cell r="AX112">
            <v>2.95</v>
          </cell>
          <cell r="BA112">
            <v>1</v>
          </cell>
        </row>
        <row r="113">
          <cell r="B113" t="str">
            <v xml:space="preserve">    DME/Prosthetics</v>
          </cell>
          <cell r="X113">
            <v>1</v>
          </cell>
          <cell r="AB113">
            <v>0</v>
          </cell>
          <cell r="AC113">
            <v>1</v>
          </cell>
          <cell r="AD113" t="str">
            <v xml:space="preserve">    DME/Prosthetics</v>
          </cell>
        </row>
        <row r="114">
          <cell r="B114" t="str">
            <v xml:space="preserve">        Durable Medical Equipment</v>
          </cell>
          <cell r="I114">
            <v>126</v>
          </cell>
          <cell r="J114" t="str">
            <v>Units</v>
          </cell>
          <cell r="L114">
            <v>287.10000000000002</v>
          </cell>
          <cell r="N114">
            <v>3.01</v>
          </cell>
          <cell r="P114" t="str">
            <v xml:space="preserve"> </v>
          </cell>
          <cell r="T114" t="str">
            <v xml:space="preserve"> </v>
          </cell>
          <cell r="V114">
            <v>3.01</v>
          </cell>
          <cell r="X114">
            <v>1</v>
          </cell>
          <cell r="Y114">
            <v>0</v>
          </cell>
          <cell r="Z114">
            <v>1</v>
          </cell>
          <cell r="AA114">
            <v>0</v>
          </cell>
          <cell r="AB114">
            <v>1</v>
          </cell>
          <cell r="AC114">
            <v>1</v>
          </cell>
          <cell r="AD114" t="str">
            <v xml:space="preserve">        Durable Medical Equipment</v>
          </cell>
          <cell r="AK114">
            <v>193</v>
          </cell>
          <cell r="AL114" t="str">
            <v>Units</v>
          </cell>
          <cell r="AN114">
            <v>327.9</v>
          </cell>
          <cell r="AP114">
            <v>5.27</v>
          </cell>
          <cell r="AR114" t="str">
            <v xml:space="preserve"> </v>
          </cell>
          <cell r="AT114" t="str">
            <v xml:space="preserve"> </v>
          </cell>
          <cell r="AV114" t="str">
            <v xml:space="preserve"> </v>
          </cell>
          <cell r="AX114">
            <v>5.27</v>
          </cell>
          <cell r="BA114">
            <v>1</v>
          </cell>
        </row>
        <row r="115">
          <cell r="B115" t="str">
            <v xml:space="preserve">        Prosthetics</v>
          </cell>
          <cell r="I115">
            <v>2</v>
          </cell>
          <cell r="J115" t="str">
            <v>Units</v>
          </cell>
          <cell r="L115">
            <v>1435.18</v>
          </cell>
          <cell r="N115">
            <v>0.24</v>
          </cell>
          <cell r="P115" t="str">
            <v xml:space="preserve"> </v>
          </cell>
          <cell r="R115" t="str">
            <v xml:space="preserve"> </v>
          </cell>
          <cell r="T115" t="str">
            <v xml:space="preserve"> </v>
          </cell>
          <cell r="V115">
            <v>0.24</v>
          </cell>
          <cell r="X115">
            <v>1</v>
          </cell>
          <cell r="Y115">
            <v>0</v>
          </cell>
          <cell r="Z115">
            <v>1</v>
          </cell>
          <cell r="AA115">
            <v>0</v>
          </cell>
          <cell r="AB115">
            <v>1</v>
          </cell>
          <cell r="AC115">
            <v>1</v>
          </cell>
          <cell r="AD115" t="str">
            <v xml:space="preserve">        Prosthetics</v>
          </cell>
          <cell r="AK115">
            <v>7</v>
          </cell>
          <cell r="AL115" t="str">
            <v>Units</v>
          </cell>
          <cell r="AN115">
            <v>879.35</v>
          </cell>
          <cell r="AP115">
            <v>0.51</v>
          </cell>
          <cell r="AR115" t="str">
            <v xml:space="preserve"> </v>
          </cell>
          <cell r="AT115" t="str">
            <v xml:space="preserve"> </v>
          </cell>
          <cell r="AV115" t="str">
            <v xml:space="preserve"> </v>
          </cell>
          <cell r="AX115">
            <v>0.51</v>
          </cell>
          <cell r="BA115">
            <v>1</v>
          </cell>
        </row>
        <row r="116">
          <cell r="B116" t="str">
            <v>Additional Benefits</v>
          </cell>
        </row>
        <row r="117">
          <cell r="B117" t="str">
            <v xml:space="preserve">    Glasses/Contacts</v>
          </cell>
          <cell r="I117">
            <v>21</v>
          </cell>
          <cell r="J117" t="str">
            <v>Services</v>
          </cell>
          <cell r="L117">
            <v>2420.02</v>
          </cell>
          <cell r="N117">
            <v>4.24</v>
          </cell>
          <cell r="P117" t="str">
            <v xml:space="preserve"> </v>
          </cell>
          <cell r="R117" t="str">
            <v xml:space="preserve"> </v>
          </cell>
          <cell r="T117" t="str">
            <v xml:space="preserve"> </v>
          </cell>
          <cell r="V117">
            <v>4.24</v>
          </cell>
          <cell r="X117">
            <v>1</v>
          </cell>
          <cell r="Y117">
            <v>0</v>
          </cell>
          <cell r="Z117">
            <v>1</v>
          </cell>
          <cell r="AA117">
            <v>0</v>
          </cell>
          <cell r="AB117">
            <v>1</v>
          </cell>
          <cell r="AC117">
            <v>1</v>
          </cell>
          <cell r="AD117" t="str">
            <v xml:space="preserve">    Glasses/Contacts</v>
          </cell>
          <cell r="AK117">
            <v>218</v>
          </cell>
          <cell r="AL117" t="str">
            <v>Services</v>
          </cell>
          <cell r="AN117">
            <v>306.42</v>
          </cell>
          <cell r="AP117">
            <v>5.57</v>
          </cell>
          <cell r="AR117" t="str">
            <v xml:space="preserve"> </v>
          </cell>
          <cell r="AT117" t="str">
            <v xml:space="preserve"> </v>
          </cell>
          <cell r="AV117" t="str">
            <v xml:space="preserve"> </v>
          </cell>
          <cell r="AX117">
            <v>5.57</v>
          </cell>
          <cell r="BA117">
            <v>1</v>
          </cell>
        </row>
        <row r="118">
          <cell r="B118" t="str">
            <v xml:space="preserve">    Other Benefit #1</v>
          </cell>
          <cell r="N118">
            <v>0</v>
          </cell>
          <cell r="P118" t="str">
            <v xml:space="preserve"> </v>
          </cell>
          <cell r="R118" t="str">
            <v xml:space="preserve"> </v>
          </cell>
          <cell r="T118" t="str">
            <v xml:space="preserve"> </v>
          </cell>
          <cell r="V118">
            <v>0</v>
          </cell>
          <cell r="X118">
            <v>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 t="str">
            <v xml:space="preserve">    Other Benefit #1</v>
          </cell>
          <cell r="AP118">
            <v>0</v>
          </cell>
          <cell r="AR118" t="str">
            <v xml:space="preserve"> </v>
          </cell>
          <cell r="AT118" t="str">
            <v xml:space="preserve"> </v>
          </cell>
          <cell r="AV118" t="str">
            <v xml:space="preserve"> </v>
          </cell>
          <cell r="AX118">
            <v>0</v>
          </cell>
          <cell r="BA118">
            <v>1</v>
          </cell>
        </row>
        <row r="119">
          <cell r="B119" t="str">
            <v xml:space="preserve">    Other Benefit #2</v>
          </cell>
          <cell r="N119">
            <v>0</v>
          </cell>
          <cell r="P119" t="str">
            <v xml:space="preserve"> </v>
          </cell>
          <cell r="R119" t="str">
            <v xml:space="preserve"> </v>
          </cell>
          <cell r="T119" t="str">
            <v xml:space="preserve"> </v>
          </cell>
          <cell r="V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 t="str">
            <v xml:space="preserve">    Other Benefit #2</v>
          </cell>
          <cell r="AP119">
            <v>0</v>
          </cell>
          <cell r="AR119" t="str">
            <v xml:space="preserve"> </v>
          </cell>
          <cell r="AT119" t="str">
            <v xml:space="preserve"> </v>
          </cell>
          <cell r="AV119" t="str">
            <v xml:space="preserve"> </v>
          </cell>
          <cell r="AX119">
            <v>0</v>
          </cell>
          <cell r="BA119">
            <v>1</v>
          </cell>
        </row>
        <row r="120">
          <cell r="AC120">
            <v>1</v>
          </cell>
        </row>
        <row r="121">
          <cell r="N121">
            <v>9.4</v>
          </cell>
          <cell r="T121">
            <v>0</v>
          </cell>
          <cell r="V121">
            <v>9.4</v>
          </cell>
          <cell r="Y121">
            <v>0</v>
          </cell>
          <cell r="AA121">
            <v>0</v>
          </cell>
          <cell r="AC121">
            <v>1</v>
          </cell>
          <cell r="AP121">
            <v>23.94</v>
          </cell>
          <cell r="AV121">
            <v>0</v>
          </cell>
          <cell r="AX121">
            <v>23.94</v>
          </cell>
          <cell r="BA121">
            <v>23.94</v>
          </cell>
        </row>
        <row r="122">
          <cell r="AC122">
            <v>1</v>
          </cell>
        </row>
        <row r="123">
          <cell r="AC123">
            <v>1</v>
          </cell>
        </row>
        <row r="124">
          <cell r="B124" t="str">
            <v>Total Medical Cost</v>
          </cell>
          <cell r="N124">
            <v>374.87</v>
          </cell>
          <cell r="T124">
            <v>0</v>
          </cell>
          <cell r="V124">
            <v>374.87</v>
          </cell>
          <cell r="Y124">
            <v>0</v>
          </cell>
          <cell r="AA124">
            <v>39</v>
          </cell>
          <cell r="AC124">
            <v>1</v>
          </cell>
          <cell r="AD124" t="str">
            <v>Total Medical Cost</v>
          </cell>
          <cell r="AP124">
            <v>520.41</v>
          </cell>
          <cell r="AV124">
            <v>0</v>
          </cell>
          <cell r="AX124">
            <v>520.41</v>
          </cell>
          <cell r="BA124">
            <v>520.41</v>
          </cell>
        </row>
        <row r="125">
          <cell r="AC125">
            <v>1</v>
          </cell>
        </row>
        <row r="126">
          <cell r="B126" t="str">
            <v>Utilization Adjustment Value</v>
          </cell>
          <cell r="V126">
            <v>0</v>
          </cell>
          <cell r="AC126">
            <v>1</v>
          </cell>
          <cell r="AD126" t="str">
            <v>Utilization Adjustment Value</v>
          </cell>
          <cell r="AX126">
            <v>10.41</v>
          </cell>
        </row>
        <row r="127">
          <cell r="B127" t="str">
            <v>Value of $0 Deductible</v>
          </cell>
          <cell r="N127">
            <v>6.3755435217542084E-3</v>
          </cell>
          <cell r="V127">
            <v>0</v>
          </cell>
          <cell r="AC127">
            <v>1</v>
          </cell>
          <cell r="AD127" t="str">
            <v>Value of $0 Deductible</v>
          </cell>
          <cell r="AX127">
            <v>0</v>
          </cell>
        </row>
        <row r="128">
          <cell r="B128" t="str">
            <v>Value of 0% Coinsurance</v>
          </cell>
          <cell r="V128">
            <v>0</v>
          </cell>
          <cell r="AC128">
            <v>1</v>
          </cell>
          <cell r="AD128" t="str">
            <v>Value of 0% Coinsurance</v>
          </cell>
          <cell r="AX128">
            <v>0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0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3.22</v>
          </cell>
        </row>
        <row r="61">
          <cell r="B61" t="str">
            <v xml:space="preserve">        Well Baby Exams</v>
          </cell>
          <cell r="D61">
            <v>0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1.36</v>
          </cell>
        </row>
        <row r="62">
          <cell r="B62" t="str">
            <v xml:space="preserve">        Physical Exams</v>
          </cell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9.25</v>
          </cell>
        </row>
        <row r="63">
          <cell r="B63" t="str">
            <v xml:space="preserve">        Vision Exams</v>
          </cell>
          <cell r="D63">
            <v>0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1.29</v>
          </cell>
        </row>
        <row r="64">
          <cell r="B64" t="str">
            <v xml:space="preserve">        Hearing/Speech Exams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0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2.2000000000000002</v>
          </cell>
        </row>
        <row r="68">
          <cell r="B68" t="str">
            <v xml:space="preserve">        Consults</v>
          </cell>
          <cell r="D68">
            <v>0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2.68</v>
          </cell>
        </row>
        <row r="69">
          <cell r="B69" t="str">
            <v xml:space="preserve">        Physical Therapy</v>
          </cell>
          <cell r="D69">
            <v>0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2.2799999999999998</v>
          </cell>
        </row>
        <row r="70">
          <cell r="B70" t="str">
            <v xml:space="preserve">        Cardiovascular</v>
          </cell>
          <cell r="D70">
            <v>0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0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1.53</v>
          </cell>
        </row>
        <row r="75">
          <cell r="B75" t="str">
            <v xml:space="preserve">                Outpatient - CT/MRI/PET</v>
          </cell>
          <cell r="D75">
            <v>0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0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6.28</v>
          </cell>
        </row>
        <row r="78">
          <cell r="B78" t="str">
            <v xml:space="preserve">                Office - CT/MRI/PET</v>
          </cell>
          <cell r="D78">
            <v>0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0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0.27</v>
          </cell>
        </row>
        <row r="81">
          <cell r="B81" t="str">
            <v xml:space="preserve">            OP (Professional)</v>
          </cell>
          <cell r="D81">
            <v>0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0.74</v>
          </cell>
        </row>
        <row r="82">
          <cell r="B82" t="str">
            <v xml:space="preserve">            Office (Combined)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8.26</v>
          </cell>
        </row>
        <row r="83">
          <cell r="B83" t="str">
            <v xml:space="preserve">        Chiropractor</v>
          </cell>
          <cell r="D83">
            <v>0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0.83</v>
          </cell>
        </row>
        <row r="84">
          <cell r="B84" t="str">
            <v xml:space="preserve">        Podiatrist</v>
          </cell>
          <cell r="D84">
            <v>0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0.65</v>
          </cell>
        </row>
        <row r="85">
          <cell r="B85" t="str">
            <v xml:space="preserve">        Outpatient Psychiatric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2.54</v>
          </cell>
        </row>
        <row r="86">
          <cell r="B86" t="str">
            <v xml:space="preserve">        OP Alcohol &amp; Drug Abuse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42.59</v>
          </cell>
        </row>
        <row r="90">
          <cell r="B90" t="str">
            <v xml:space="preserve">        PDN/Home Health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8.48</v>
          </cell>
        </row>
        <row r="91">
          <cell r="B91" t="str">
            <v xml:space="preserve">        Ambulance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0.79</v>
          </cell>
        </row>
        <row r="92">
          <cell r="B92" t="str">
            <v xml:space="preserve">        Durable Medical Equipment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1.55</v>
          </cell>
        </row>
        <row r="93">
          <cell r="B93" t="str">
            <v xml:space="preserve">        Prosthetics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0</v>
          </cell>
          <cell r="F96">
            <v>0</v>
          </cell>
          <cell r="H96">
            <v>0</v>
          </cell>
          <cell r="J96">
            <v>0</v>
          </cell>
          <cell r="L96">
            <v>0</v>
          </cell>
          <cell r="N96">
            <v>0</v>
          </cell>
          <cell r="P96">
            <v>3.44</v>
          </cell>
        </row>
        <row r="98">
          <cell r="B98" t="str">
            <v>Plan Deductible (negative number)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</row>
        <row r="99">
          <cell r="B99" t="str">
            <v>Out-of-Pocket Maximum</v>
          </cell>
          <cell r="D99">
            <v>0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</row>
        <row r="100">
          <cell r="B100" t="str">
            <v>Subtotal</v>
          </cell>
          <cell r="D100">
            <v>0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343.1699999999999</v>
          </cell>
        </row>
        <row r="101">
          <cell r="B101" t="str">
            <v>Aggregate Utilization Adjustment</v>
          </cell>
          <cell r="D101">
            <v>1</v>
          </cell>
          <cell r="F101">
            <v>1</v>
          </cell>
          <cell r="H101">
            <v>1</v>
          </cell>
          <cell r="J101">
            <v>1</v>
          </cell>
          <cell r="L101">
            <v>1</v>
          </cell>
          <cell r="N101">
            <v>1</v>
          </cell>
          <cell r="P101">
            <v>1</v>
          </cell>
        </row>
        <row r="102">
          <cell r="B102" t="str">
            <v>Total</v>
          </cell>
          <cell r="D102">
            <v>0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343.17</v>
          </cell>
        </row>
        <row r="103">
          <cell r="B103" t="str">
            <v>Total Adjusted for Capitation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2"/>
      <sheetName val="Data for Q2"/>
      <sheetName val="Q3"/>
      <sheetName val="Data for Q3"/>
      <sheetName val="Q4"/>
      <sheetName val="Data for Q4"/>
      <sheetName val="Q5"/>
      <sheetName val="Data for Q5"/>
      <sheetName val="Q6"/>
      <sheetName val="Data for Q6"/>
      <sheetName val="Q7"/>
      <sheetName val="GH_VR_C Spring 2025 Excel CBT W"/>
    </sheetNames>
    <definedNames>
      <definedName name="Summary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tion"/>
      <sheetName val="Part a"/>
      <sheetName val="Part b (current plan)"/>
      <sheetName val="Part b (proposed plan)"/>
      <sheetName val="Part d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51B1A-A0FA-4912-911F-AD3729EEFEF1}">
  <dimension ref="A1:N16"/>
  <sheetViews>
    <sheetView zoomScale="85" zoomScaleNormal="85" workbookViewId="0">
      <selection activeCell="C14" sqref="C14"/>
    </sheetView>
  </sheetViews>
  <sheetFormatPr defaultColWidth="8.7109375" defaultRowHeight="15"/>
  <cols>
    <col min="3" max="3" width="25.7109375" customWidth="1"/>
    <col min="4" max="5" width="14.28515625" customWidth="1"/>
    <col min="6" max="6" width="16.28515625" customWidth="1"/>
  </cols>
  <sheetData>
    <row r="1" spans="1:14" ht="22.5">
      <c r="A1" s="2" t="s">
        <v>196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.6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5.75">
      <c r="A3" s="5" t="s">
        <v>191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15.75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4" ht="15.75">
      <c r="A5" s="5" t="s">
        <v>192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14" ht="15.75">
      <c r="A6" s="5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15.75">
      <c r="A7" s="10" t="s">
        <v>229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 s="101" customFormat="1" ht="15.75">
      <c r="A8" s="10" t="s">
        <v>193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s="101" customFormat="1" ht="15.75">
      <c r="A9" s="10" t="s">
        <v>230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s="101" customFormat="1" ht="15.75">
      <c r="A10" s="10" t="s">
        <v>194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s="101" customFormat="1" ht="15.75">
      <c r="A11" s="10" t="s">
        <v>195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s="101" customFormat="1" ht="15.7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s="101" customFormat="1" ht="15.75">
      <c r="A13" s="85" t="s">
        <v>228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5.75">
      <c r="A14" s="5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14" ht="15.75">
      <c r="A15" s="4" t="s">
        <v>226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</row>
    <row r="16" spans="1:14" ht="15.75">
      <c r="A16" s="4" t="s">
        <v>227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A3638-9785-4B98-B9C6-989BEAABE1FC}">
  <dimension ref="A1:X92"/>
  <sheetViews>
    <sheetView showGridLines="0" topLeftCell="C3" zoomScale="85" zoomScaleNormal="85" workbookViewId="0">
      <selection activeCell="M20" sqref="M20"/>
    </sheetView>
  </sheetViews>
  <sheetFormatPr defaultColWidth="11.42578125" defaultRowHeight="15"/>
  <cols>
    <col min="1" max="1" width="31.7109375" customWidth="1"/>
    <col min="6" max="6" width="12.28515625" customWidth="1"/>
    <col min="7" max="7" width="13.85546875" customWidth="1"/>
    <col min="8" max="8" width="15.7109375" customWidth="1"/>
    <col min="9" max="9" width="12.5703125" customWidth="1"/>
    <col min="10" max="10" width="13.7109375" customWidth="1"/>
    <col min="11" max="11" width="13.5703125" customWidth="1"/>
    <col min="12" max="12" width="12.85546875" customWidth="1"/>
    <col min="13" max="17" width="12.5703125" customWidth="1"/>
    <col min="23" max="24" width="12.42578125" customWidth="1"/>
    <col min="30" max="30" width="12" customWidth="1"/>
    <col min="31" max="31" width="12.5703125" customWidth="1"/>
  </cols>
  <sheetData>
    <row r="1" spans="1:24">
      <c r="A1" s="168" t="s">
        <v>328</v>
      </c>
      <c r="B1" s="167"/>
      <c r="C1" s="167"/>
      <c r="D1" s="167"/>
      <c r="E1" s="167"/>
      <c r="F1" s="167"/>
      <c r="G1" s="167"/>
      <c r="H1" s="167"/>
      <c r="I1" s="167"/>
      <c r="J1" s="167"/>
    </row>
    <row r="2" spans="1:24">
      <c r="H2" s="35"/>
      <c r="I2" s="35" t="s">
        <v>327</v>
      </c>
      <c r="J2" s="35" t="s">
        <v>326</v>
      </c>
      <c r="K2" s="35"/>
      <c r="L2" s="35"/>
      <c r="M2" s="35" t="s">
        <v>325</v>
      </c>
    </row>
    <row r="3" spans="1:24" ht="120">
      <c r="A3" s="166" t="s">
        <v>252</v>
      </c>
      <c r="B3" s="165" t="s">
        <v>318</v>
      </c>
      <c r="C3" s="165" t="s">
        <v>5</v>
      </c>
      <c r="D3" s="165" t="s">
        <v>317</v>
      </c>
      <c r="E3" s="165" t="s">
        <v>316</v>
      </c>
      <c r="F3" s="165" t="s">
        <v>315</v>
      </c>
      <c r="G3" s="165" t="s">
        <v>314</v>
      </c>
      <c r="H3" s="165" t="s">
        <v>313</v>
      </c>
      <c r="I3" s="165" t="s">
        <v>324</v>
      </c>
      <c r="J3" s="165" t="s">
        <v>312</v>
      </c>
      <c r="K3" s="165" t="s">
        <v>311</v>
      </c>
      <c r="L3" s="165" t="s">
        <v>310</v>
      </c>
      <c r="M3" s="164" t="s">
        <v>323</v>
      </c>
      <c r="S3" s="25"/>
    </row>
    <row r="4" spans="1:24">
      <c r="A4" s="36" t="s">
        <v>308</v>
      </c>
      <c r="B4">
        <v>800</v>
      </c>
      <c r="C4">
        <v>42</v>
      </c>
      <c r="D4">
        <v>12</v>
      </c>
      <c r="E4">
        <f>MAX(55-C4,0)</f>
        <v>13</v>
      </c>
      <c r="F4">
        <f>D4+E4</f>
        <v>25</v>
      </c>
      <c r="G4" s="163">
        <f>SUMPRODUCT(B30:B34,C30:C34,G30:G34,J30:J34)*B4</f>
        <v>9433860.1923402902</v>
      </c>
      <c r="H4" s="163">
        <f>G4*D4/F4</f>
        <v>4528252.8923233394</v>
      </c>
      <c r="I4" s="163">
        <f>H4-'Solution Q3 (a)'!H4</f>
        <v>-21059666.861610979</v>
      </c>
      <c r="J4" s="163">
        <f>G4/F4</f>
        <v>377354.40769361163</v>
      </c>
      <c r="K4" s="162">
        <v>0</v>
      </c>
      <c r="L4" s="162">
        <f>(H4+J4-0.5*K4)*'Data for Q3'!$K$18</f>
        <v>245280.36500084755</v>
      </c>
      <c r="M4" s="161">
        <f>J4+L4</f>
        <v>622634.77269445919</v>
      </c>
      <c r="T4" t="s">
        <v>307</v>
      </c>
    </row>
    <row r="5" spans="1:24">
      <c r="A5" s="36" t="s">
        <v>306</v>
      </c>
      <c r="B5">
        <v>150</v>
      </c>
      <c r="C5">
        <v>58</v>
      </c>
      <c r="D5">
        <v>30</v>
      </c>
      <c r="E5">
        <v>0</v>
      </c>
      <c r="F5">
        <f>D5+E5</f>
        <v>30</v>
      </c>
      <c r="G5" s="160">
        <f>SUMPRODUCT(B14:B69,C14:C69,N14:N69,Q14:Q69)*B5</f>
        <v>15716287.732811082</v>
      </c>
      <c r="H5" s="160">
        <f>G5*D5/F5</f>
        <v>15716287.732811082</v>
      </c>
      <c r="I5" s="160">
        <f>H5-'Solution Q3 (a)'!H5</f>
        <v>0</v>
      </c>
      <c r="J5" s="160">
        <v>0</v>
      </c>
      <c r="K5" s="160">
        <v>0</v>
      </c>
      <c r="L5" s="160">
        <f>(H5+J5-0.5*K5)*'Data for Q3'!$K$18</f>
        <v>785814.38664055418</v>
      </c>
      <c r="M5" s="159">
        <f>J5+L5</f>
        <v>785814.38664055418</v>
      </c>
    </row>
    <row r="6" spans="1:24">
      <c r="A6" s="38" t="s">
        <v>305</v>
      </c>
      <c r="B6" s="158">
        <v>200</v>
      </c>
      <c r="C6" s="158">
        <v>70</v>
      </c>
      <c r="D6" s="157" t="s">
        <v>304</v>
      </c>
      <c r="E6" s="157" t="s">
        <v>304</v>
      </c>
      <c r="F6" s="157" t="s">
        <v>304</v>
      </c>
      <c r="G6" s="156">
        <f>SUMPRODUCT(B13:B57,C13:C57,U13:U57,X13:X57)*B6</f>
        <v>13847634.838912673</v>
      </c>
      <c r="H6" s="156">
        <f>G6</f>
        <v>13847634.838912673</v>
      </c>
      <c r="I6" s="156">
        <f>H6-'Solution Q3 (a)'!H6</f>
        <v>0</v>
      </c>
      <c r="J6" s="156">
        <v>0</v>
      </c>
      <c r="K6" s="156">
        <f>B6*B13*U13*X13</f>
        <v>758764.30212000024</v>
      </c>
      <c r="L6" s="156">
        <f>(H6+J6-0.5*K6)*'Data for Q3'!$K$18</f>
        <v>673412.63439263368</v>
      </c>
      <c r="M6" s="155">
        <f>J6+L6</f>
        <v>673412.63439263368</v>
      </c>
    </row>
    <row r="8" spans="1:24">
      <c r="F8" s="154" t="s">
        <v>303</v>
      </c>
      <c r="G8" s="153">
        <f t="shared" ref="G8:M8" si="0">SUM(G4:G7)</f>
        <v>38997782.764064044</v>
      </c>
      <c r="H8" s="153">
        <f t="shared" si="0"/>
        <v>34092175.464047097</v>
      </c>
      <c r="I8" s="153">
        <f t="shared" si="0"/>
        <v>-21059666.861610979</v>
      </c>
      <c r="J8" s="153">
        <f t="shared" si="0"/>
        <v>377354.40769361163</v>
      </c>
      <c r="K8" s="153">
        <f t="shared" si="0"/>
        <v>758764.30212000024</v>
      </c>
      <c r="L8" s="153">
        <f t="shared" si="0"/>
        <v>1704507.3860340356</v>
      </c>
      <c r="M8" s="152">
        <f t="shared" si="0"/>
        <v>2081861.793727647</v>
      </c>
    </row>
    <row r="9" spans="1:24">
      <c r="S9" s="119"/>
      <c r="T9" s="119"/>
      <c r="U9" s="119"/>
      <c r="V9" s="119"/>
    </row>
    <row r="10" spans="1:24">
      <c r="A10" s="33"/>
      <c r="B10" s="151"/>
      <c r="C10" s="151"/>
      <c r="D10" s="311" t="s">
        <v>302</v>
      </c>
      <c r="E10" s="311"/>
      <c r="F10" s="311"/>
      <c r="G10" s="311"/>
      <c r="H10" s="311"/>
      <c r="I10" s="311"/>
      <c r="J10" s="311"/>
      <c r="K10" s="312" t="s">
        <v>301</v>
      </c>
      <c r="L10" s="312"/>
      <c r="M10" s="312"/>
      <c r="N10" s="312"/>
      <c r="O10" s="312"/>
      <c r="P10" s="312"/>
      <c r="Q10" s="312"/>
      <c r="R10" s="309" t="s">
        <v>300</v>
      </c>
      <c r="S10" s="309"/>
      <c r="T10" s="309"/>
      <c r="U10" s="309"/>
      <c r="V10" s="309"/>
      <c r="W10" s="309"/>
      <c r="X10" s="310"/>
    </row>
    <row r="11" spans="1:24" ht="45">
      <c r="A11" s="150" t="s">
        <v>39</v>
      </c>
      <c r="B11" s="149" t="s">
        <v>299</v>
      </c>
      <c r="C11" s="149" t="s">
        <v>298</v>
      </c>
      <c r="D11" s="148" t="s">
        <v>5</v>
      </c>
      <c r="E11" s="148" t="s">
        <v>297</v>
      </c>
      <c r="F11" s="148" t="s">
        <v>296</v>
      </c>
      <c r="G11" s="148" t="s">
        <v>293</v>
      </c>
      <c r="H11" s="148" t="s">
        <v>295</v>
      </c>
      <c r="I11" s="148" t="s">
        <v>294</v>
      </c>
      <c r="J11" s="148" t="s">
        <v>293</v>
      </c>
      <c r="K11" s="147" t="s">
        <v>5</v>
      </c>
      <c r="L11" s="147" t="s">
        <v>297</v>
      </c>
      <c r="M11" s="147" t="s">
        <v>296</v>
      </c>
      <c r="N11" s="147" t="s">
        <v>293</v>
      </c>
      <c r="O11" s="147" t="s">
        <v>295</v>
      </c>
      <c r="P11" s="147" t="s">
        <v>294</v>
      </c>
      <c r="Q11" s="147" t="s">
        <v>293</v>
      </c>
      <c r="R11" s="146" t="s">
        <v>5</v>
      </c>
      <c r="S11" s="146" t="s">
        <v>297</v>
      </c>
      <c r="T11" s="146" t="s">
        <v>296</v>
      </c>
      <c r="U11" s="146" t="s">
        <v>293</v>
      </c>
      <c r="V11" s="146" t="s">
        <v>295</v>
      </c>
      <c r="W11" s="146" t="s">
        <v>294</v>
      </c>
      <c r="X11" s="145" t="s">
        <v>293</v>
      </c>
    </row>
    <row r="12" spans="1:24">
      <c r="A12" s="144">
        <v>2024</v>
      </c>
      <c r="B12" s="143">
        <f>'Data for Q3'!$K$7*(1+'Data for Q3'!$K$8)*(1+'Data for Q3'!$K$9)</f>
        <v>3564.0000000000005</v>
      </c>
      <c r="C12" s="142">
        <v>1</v>
      </c>
      <c r="D12" s="131">
        <f>C4</f>
        <v>42</v>
      </c>
      <c r="E12" s="141">
        <v>0</v>
      </c>
      <c r="F12" s="131">
        <f>1-E12</f>
        <v>1</v>
      </c>
      <c r="G12" s="141">
        <v>1</v>
      </c>
      <c r="H12" s="130">
        <v>0</v>
      </c>
      <c r="I12" s="131">
        <f>1-H12</f>
        <v>1</v>
      </c>
      <c r="J12" s="141">
        <v>1</v>
      </c>
      <c r="K12" s="139">
        <f>C5</f>
        <v>58</v>
      </c>
      <c r="L12" s="139">
        <v>0</v>
      </c>
      <c r="M12" s="134">
        <f>1-L12</f>
        <v>1</v>
      </c>
      <c r="N12" s="139">
        <v>1</v>
      </c>
      <c r="O12" s="140">
        <f>'Data for Q3'!K26</f>
        <v>0</v>
      </c>
      <c r="P12" s="134">
        <f>1-O12</f>
        <v>1</v>
      </c>
      <c r="Q12" s="139">
        <v>1</v>
      </c>
      <c r="R12" s="126">
        <f>C6</f>
        <v>70</v>
      </c>
      <c r="S12" s="126">
        <v>0</v>
      </c>
      <c r="T12" s="126">
        <f>1-S12</f>
        <v>1</v>
      </c>
      <c r="U12" s="138">
        <v>1</v>
      </c>
      <c r="V12" s="136">
        <v>0</v>
      </c>
      <c r="W12" s="126">
        <f>1-V12</f>
        <v>1</v>
      </c>
      <c r="X12" s="137">
        <v>1</v>
      </c>
    </row>
    <row r="13" spans="1:24">
      <c r="A13" s="133">
        <f t="shared" ref="A13:A44" si="1">A12+1</f>
        <v>2025</v>
      </c>
      <c r="B13" s="27">
        <f>B12*(1+'Data for Q3'!K13)</f>
        <v>3813.4800000000009</v>
      </c>
      <c r="C13" s="132">
        <f>1/(1+'Data for Q3'!$K$18)^(A13-$A$12-0.5)</f>
        <v>0.97590007294853309</v>
      </c>
      <c r="D13" s="131">
        <f t="shared" ref="D13:D44" si="2">D12+1</f>
        <v>43</v>
      </c>
      <c r="E13" s="129">
        <f>_xlfn.XLOOKUP(D13,'Data for Q3'!N:N,'Data for Q3'!O:O)</f>
        <v>7.5000000000000002E-4</v>
      </c>
      <c r="F13" s="129">
        <f t="shared" ref="F13:F44" si="3">(1-E13)*F12</f>
        <v>0.99924999999999997</v>
      </c>
      <c r="G13" s="129">
        <f t="shared" ref="G13:G44" si="4">(1-E13/2)*F12</f>
        <v>0.99962499999999999</v>
      </c>
      <c r="H13" s="130">
        <f>'Data for Q3'!K24</f>
        <v>0.06</v>
      </c>
      <c r="I13" s="129">
        <f t="shared" ref="I13:I44" si="5">(1-H13)*I12</f>
        <v>0.94</v>
      </c>
      <c r="J13" s="129">
        <f t="shared" ref="J13:J44" si="6">(1-H13/2)*I12</f>
        <v>0.97</v>
      </c>
      <c r="K13" s="134">
        <f t="shared" ref="K13:K44" si="7">K12+1</f>
        <v>59</v>
      </c>
      <c r="L13" s="127">
        <f>_xlfn.XLOOKUP(K13,'Data for Q3'!N:N,'Data for Q3'!O:O)</f>
        <v>3.1800000000000001E-3</v>
      </c>
      <c r="M13" s="127">
        <f t="shared" ref="M13:M44" si="8">(1-L13)*M12</f>
        <v>0.99682000000000004</v>
      </c>
      <c r="N13" s="127">
        <f t="shared" ref="N13:N44" si="9">(1-L13/2)*M12</f>
        <v>0.99841000000000002</v>
      </c>
      <c r="O13" s="135">
        <f t="shared" ref="O13:O44" si="10">O12</f>
        <v>0</v>
      </c>
      <c r="P13" s="127">
        <f t="shared" ref="P13:P44" si="11">(1-O13)*P12</f>
        <v>1</v>
      </c>
      <c r="Q13" s="127">
        <f t="shared" ref="Q13:Q44" si="12">(1-O13/2)*P12</f>
        <v>1</v>
      </c>
      <c r="R13" s="126">
        <f t="shared" ref="R13:R57" si="13">R12+1</f>
        <v>71</v>
      </c>
      <c r="S13" s="124">
        <f>_xlfn.XLOOKUP(R13,'Data for Q3'!N:N,'Data for Q3'!O:O)</f>
        <v>1.031E-2</v>
      </c>
      <c r="T13" s="124">
        <f t="shared" ref="T13:T57" si="14">(1-S13)*T12</f>
        <v>0.98968999999999996</v>
      </c>
      <c r="U13" s="124">
        <f t="shared" ref="U13:U57" si="15">(1-S13/2)*T12</f>
        <v>0.99484499999999998</v>
      </c>
      <c r="V13" s="136">
        <f t="shared" ref="V13:V57" si="16">V12</f>
        <v>0</v>
      </c>
      <c r="W13" s="124">
        <f t="shared" ref="W13:W57" si="17">(1-V13)*W12</f>
        <v>1</v>
      </c>
      <c r="X13" s="123">
        <f t="shared" ref="X13:X57" si="18">(1-V13/2)*W12</f>
        <v>1</v>
      </c>
    </row>
    <row r="14" spans="1:24">
      <c r="A14" s="133">
        <f t="shared" si="1"/>
        <v>2026</v>
      </c>
      <c r="B14" s="27">
        <f>B13*(1+'Data for Q3'!K14)</f>
        <v>4042.2888000000012</v>
      </c>
      <c r="C14" s="132">
        <f>1/(1+'Data for Q3'!$K$18)^(A14-$A$12-0.5)</f>
        <v>0.92942864090336497</v>
      </c>
      <c r="D14" s="131">
        <f t="shared" si="2"/>
        <v>44</v>
      </c>
      <c r="E14" s="129">
        <f>_xlfn.XLOOKUP(D14,'Data for Q3'!N:N,'Data for Q3'!O:O)</f>
        <v>8.0000000000000004E-4</v>
      </c>
      <c r="F14" s="129">
        <f t="shared" si="3"/>
        <v>0.99845059999999997</v>
      </c>
      <c r="G14" s="129">
        <f t="shared" si="4"/>
        <v>0.99885029999999997</v>
      </c>
      <c r="H14" s="130">
        <f>H13</f>
        <v>0.06</v>
      </c>
      <c r="I14" s="129">
        <f t="shared" si="5"/>
        <v>0.88359999999999994</v>
      </c>
      <c r="J14" s="129">
        <f t="shared" si="6"/>
        <v>0.91179999999999994</v>
      </c>
      <c r="K14" s="134">
        <f t="shared" si="7"/>
        <v>60</v>
      </c>
      <c r="L14" s="127">
        <f>_xlfn.XLOOKUP(K14,'Data for Q3'!N:N,'Data for Q3'!O:O)</f>
        <v>3.5000000000000001E-3</v>
      </c>
      <c r="M14" s="127">
        <f t="shared" si="8"/>
        <v>0.99333113000000006</v>
      </c>
      <c r="N14" s="127">
        <f t="shared" si="9"/>
        <v>0.99507556500000005</v>
      </c>
      <c r="O14" s="135">
        <f t="shared" si="10"/>
        <v>0</v>
      </c>
      <c r="P14" s="127">
        <f t="shared" si="11"/>
        <v>1</v>
      </c>
      <c r="Q14" s="127">
        <f t="shared" si="12"/>
        <v>1</v>
      </c>
      <c r="R14" s="126">
        <f t="shared" si="13"/>
        <v>72</v>
      </c>
      <c r="S14" s="124">
        <f>_xlfn.XLOOKUP(R14,'Data for Q3'!N:N,'Data for Q3'!O:O)</f>
        <v>1.1339999999999999E-2</v>
      </c>
      <c r="T14" s="124">
        <f t="shared" si="14"/>
        <v>0.97846691539999997</v>
      </c>
      <c r="U14" s="124">
        <f t="shared" si="15"/>
        <v>0.98407845770000002</v>
      </c>
      <c r="V14" s="136">
        <f t="shared" si="16"/>
        <v>0</v>
      </c>
      <c r="W14" s="124">
        <f t="shared" si="17"/>
        <v>1</v>
      </c>
      <c r="X14" s="123">
        <f t="shared" si="18"/>
        <v>1</v>
      </c>
    </row>
    <row r="15" spans="1:24">
      <c r="A15" s="133">
        <f t="shared" si="1"/>
        <v>2027</v>
      </c>
      <c r="B15" s="27">
        <f>B14*(1+'Data for Q3'!$K$15)</f>
        <v>4244.4032400000015</v>
      </c>
      <c r="C15" s="132">
        <f>1/(1+'Data for Q3'!$K$18)^(A15-$A$12-0.5)</f>
        <v>0.88517013419368074</v>
      </c>
      <c r="D15" s="131">
        <f t="shared" si="2"/>
        <v>45</v>
      </c>
      <c r="E15" s="129">
        <f>_xlfn.XLOOKUP(D15,'Data for Q3'!N:N,'Data for Q3'!O:O)</f>
        <v>8.5999999999999998E-4</v>
      </c>
      <c r="F15" s="129">
        <f t="shared" si="3"/>
        <v>0.99759193248400002</v>
      </c>
      <c r="G15" s="129">
        <f t="shared" si="4"/>
        <v>0.99802126624199994</v>
      </c>
      <c r="H15" s="130">
        <f>'Data for Q3'!K25</f>
        <v>0.03</v>
      </c>
      <c r="I15" s="129">
        <f t="shared" si="5"/>
        <v>0.85709199999999996</v>
      </c>
      <c r="J15" s="129">
        <f t="shared" si="6"/>
        <v>0.87034599999999995</v>
      </c>
      <c r="K15" s="134">
        <f t="shared" si="7"/>
        <v>61</v>
      </c>
      <c r="L15" s="127">
        <f>_xlfn.XLOOKUP(K15,'Data for Q3'!N:N,'Data for Q3'!O:O)</f>
        <v>3.8400000000000001E-3</v>
      </c>
      <c r="M15" s="127">
        <f t="shared" si="8"/>
        <v>0.98951673846080013</v>
      </c>
      <c r="N15" s="127">
        <f t="shared" si="9"/>
        <v>0.99142393423039998</v>
      </c>
      <c r="O15" s="135">
        <f t="shared" si="10"/>
        <v>0</v>
      </c>
      <c r="P15" s="127">
        <f t="shared" si="11"/>
        <v>1</v>
      </c>
      <c r="Q15" s="127">
        <f t="shared" si="12"/>
        <v>1</v>
      </c>
      <c r="R15" s="126">
        <f t="shared" si="13"/>
        <v>73</v>
      </c>
      <c r="S15" s="124">
        <f>_xlfn.XLOOKUP(R15,'Data for Q3'!N:N,'Data for Q3'!O:O)</f>
        <v>1.244E-2</v>
      </c>
      <c r="T15" s="124">
        <f t="shared" si="14"/>
        <v>0.96629478697242399</v>
      </c>
      <c r="U15" s="124">
        <f t="shared" si="15"/>
        <v>0.97238085118621198</v>
      </c>
      <c r="V15" s="136">
        <f t="shared" si="16"/>
        <v>0</v>
      </c>
      <c r="W15" s="124">
        <f t="shared" si="17"/>
        <v>1</v>
      </c>
      <c r="X15" s="123">
        <f t="shared" si="18"/>
        <v>1</v>
      </c>
    </row>
    <row r="16" spans="1:24">
      <c r="A16" s="133">
        <f t="shared" si="1"/>
        <v>2028</v>
      </c>
      <c r="B16" s="27">
        <f>B15*(1+'Data for Q3'!$K$15)</f>
        <v>4456.623402000002</v>
      </c>
      <c r="C16" s="132">
        <f>1/(1+'Data for Q3'!$K$18)^(A16-$A$12-0.5)</f>
        <v>0.843019175422553</v>
      </c>
      <c r="D16" s="131">
        <f t="shared" si="2"/>
        <v>46</v>
      </c>
      <c r="E16" s="129">
        <f>_xlfn.XLOOKUP(D16,'Data for Q3'!N:N,'Data for Q3'!O:O)</f>
        <v>9.2000000000000003E-4</v>
      </c>
      <c r="F16" s="129">
        <f t="shared" si="3"/>
        <v>0.99667414790611475</v>
      </c>
      <c r="G16" s="129">
        <f t="shared" si="4"/>
        <v>0.99713304019505733</v>
      </c>
      <c r="H16" s="130">
        <f t="shared" ref="H16:H24" si="19">H15</f>
        <v>0.03</v>
      </c>
      <c r="I16" s="129">
        <f t="shared" si="5"/>
        <v>0.83137923999999996</v>
      </c>
      <c r="J16" s="129">
        <f t="shared" si="6"/>
        <v>0.84423561999999996</v>
      </c>
      <c r="K16" s="134">
        <f t="shared" si="7"/>
        <v>62</v>
      </c>
      <c r="L16" s="127">
        <f>_xlfn.XLOOKUP(K16,'Data for Q3'!N:N,'Data for Q3'!O:O)</f>
        <v>4.2100000000000002E-3</v>
      </c>
      <c r="M16" s="127">
        <f t="shared" si="8"/>
        <v>0.98535087299188007</v>
      </c>
      <c r="N16" s="127">
        <f t="shared" si="9"/>
        <v>0.9874338057263401</v>
      </c>
      <c r="O16" s="135">
        <f t="shared" si="10"/>
        <v>0</v>
      </c>
      <c r="P16" s="127">
        <f t="shared" si="11"/>
        <v>1</v>
      </c>
      <c r="Q16" s="127">
        <f t="shared" si="12"/>
        <v>1</v>
      </c>
      <c r="R16" s="126">
        <f t="shared" si="13"/>
        <v>74</v>
      </c>
      <c r="S16" s="124">
        <f>_xlfn.XLOOKUP(R16,'Data for Q3'!N:N,'Data for Q3'!O:O)</f>
        <v>1.366E-2</v>
      </c>
      <c r="T16" s="124">
        <f t="shared" si="14"/>
        <v>0.9530952001823807</v>
      </c>
      <c r="U16" s="124">
        <f t="shared" si="15"/>
        <v>0.95969499357740229</v>
      </c>
      <c r="V16" s="136">
        <f t="shared" si="16"/>
        <v>0</v>
      </c>
      <c r="W16" s="124">
        <f t="shared" si="17"/>
        <v>1</v>
      </c>
      <c r="X16" s="123">
        <f t="shared" si="18"/>
        <v>1</v>
      </c>
    </row>
    <row r="17" spans="1:24">
      <c r="A17" s="133">
        <f t="shared" si="1"/>
        <v>2029</v>
      </c>
      <c r="B17" s="27">
        <f>B16*(1+'Data for Q3'!$K$15)</f>
        <v>4679.4545721000022</v>
      </c>
      <c r="C17" s="132">
        <f>1/(1+'Data for Q3'!$K$18)^(A17-$A$12-0.5)</f>
        <v>0.80287540516433631</v>
      </c>
      <c r="D17" s="131">
        <f t="shared" si="2"/>
        <v>47</v>
      </c>
      <c r="E17" s="129">
        <f>_xlfn.XLOOKUP(D17,'Data for Q3'!N:N,'Data for Q3'!O:O)</f>
        <v>1.01E-3</v>
      </c>
      <c r="F17" s="129">
        <f t="shared" si="3"/>
        <v>0.99566750701672957</v>
      </c>
      <c r="G17" s="129">
        <f t="shared" si="4"/>
        <v>0.99617082746142216</v>
      </c>
      <c r="H17" s="130">
        <f t="shared" si="19"/>
        <v>0.03</v>
      </c>
      <c r="I17" s="129">
        <f t="shared" si="5"/>
        <v>0.80643786279999996</v>
      </c>
      <c r="J17" s="129">
        <f t="shared" si="6"/>
        <v>0.81890855139999996</v>
      </c>
      <c r="K17" s="134">
        <f t="shared" si="7"/>
        <v>63</v>
      </c>
      <c r="L17" s="127">
        <f>_xlfn.XLOOKUP(K17,'Data for Q3'!N:N,'Data for Q3'!O:O)</f>
        <v>4.64E-3</v>
      </c>
      <c r="M17" s="127">
        <f t="shared" si="8"/>
        <v>0.98077884494119771</v>
      </c>
      <c r="N17" s="127">
        <f t="shared" si="9"/>
        <v>0.98306485896653895</v>
      </c>
      <c r="O17" s="135">
        <f t="shared" si="10"/>
        <v>0</v>
      </c>
      <c r="P17" s="127">
        <f t="shared" si="11"/>
        <v>1</v>
      </c>
      <c r="Q17" s="127">
        <f t="shared" si="12"/>
        <v>1</v>
      </c>
      <c r="R17" s="126">
        <f t="shared" si="13"/>
        <v>75</v>
      </c>
      <c r="S17" s="124">
        <f>_xlfn.XLOOKUP(R17,'Data for Q3'!N:N,'Data for Q3'!O:O)</f>
        <v>1.502E-2</v>
      </c>
      <c r="T17" s="124">
        <f t="shared" si="14"/>
        <v>0.93877971027564133</v>
      </c>
      <c r="U17" s="124">
        <f t="shared" si="15"/>
        <v>0.94593745522901096</v>
      </c>
      <c r="V17" s="136">
        <f t="shared" si="16"/>
        <v>0</v>
      </c>
      <c r="W17" s="124">
        <f t="shared" si="17"/>
        <v>1</v>
      </c>
      <c r="X17" s="123">
        <f t="shared" si="18"/>
        <v>1</v>
      </c>
    </row>
    <row r="18" spans="1:24">
      <c r="A18" s="133">
        <f t="shared" si="1"/>
        <v>2030</v>
      </c>
      <c r="B18" s="27">
        <f>B17*(1+'Data for Q3'!$K$15)</f>
        <v>4913.4273007050024</v>
      </c>
      <c r="C18" s="132">
        <f>1/(1+'Data for Q3'!$K$18)^(A18-$A$12-0.5)</f>
        <v>0.7646432430136535</v>
      </c>
      <c r="D18" s="131">
        <f t="shared" si="2"/>
        <v>48</v>
      </c>
      <c r="E18" s="129">
        <f>_xlfn.XLOOKUP(D18,'Data for Q3'!N:N,'Data for Q3'!O:O)</f>
        <v>1.09E-3</v>
      </c>
      <c r="F18" s="129">
        <f t="shared" si="3"/>
        <v>0.99458222943408126</v>
      </c>
      <c r="G18" s="129">
        <f t="shared" si="4"/>
        <v>0.99512486822540547</v>
      </c>
      <c r="H18" s="130">
        <f t="shared" si="19"/>
        <v>0.03</v>
      </c>
      <c r="I18" s="129">
        <f t="shared" si="5"/>
        <v>0.78224472691599989</v>
      </c>
      <c r="J18" s="129">
        <f t="shared" si="6"/>
        <v>0.79434129485799998</v>
      </c>
      <c r="K18" s="134">
        <f t="shared" si="7"/>
        <v>64</v>
      </c>
      <c r="L18" s="127">
        <f>_xlfn.XLOOKUP(K18,'Data for Q3'!N:N,'Data for Q3'!O:O)</f>
        <v>5.11E-3</v>
      </c>
      <c r="M18" s="127">
        <f t="shared" si="8"/>
        <v>0.97576706504354827</v>
      </c>
      <c r="N18" s="127">
        <f t="shared" si="9"/>
        <v>0.97827295499237299</v>
      </c>
      <c r="O18" s="135">
        <f t="shared" si="10"/>
        <v>0</v>
      </c>
      <c r="P18" s="127">
        <f t="shared" si="11"/>
        <v>1</v>
      </c>
      <c r="Q18" s="127">
        <f t="shared" si="12"/>
        <v>1</v>
      </c>
      <c r="R18" s="126">
        <f t="shared" si="13"/>
        <v>76</v>
      </c>
      <c r="S18" s="124">
        <f>_xlfn.XLOOKUP(R18,'Data for Q3'!N:N,'Data for Q3'!O:O)</f>
        <v>1.6559999999999998E-2</v>
      </c>
      <c r="T18" s="124">
        <f t="shared" si="14"/>
        <v>0.92323351827347666</v>
      </c>
      <c r="U18" s="124">
        <f t="shared" si="15"/>
        <v>0.93100661427455911</v>
      </c>
      <c r="V18" s="136">
        <f t="shared" si="16"/>
        <v>0</v>
      </c>
      <c r="W18" s="124">
        <f t="shared" si="17"/>
        <v>1</v>
      </c>
      <c r="X18" s="123">
        <f t="shared" si="18"/>
        <v>1</v>
      </c>
    </row>
    <row r="19" spans="1:24">
      <c r="A19" s="133">
        <f t="shared" si="1"/>
        <v>2031</v>
      </c>
      <c r="B19" s="27">
        <f>B18*(1+'Data for Q3'!$K$15)</f>
        <v>5159.0986657402527</v>
      </c>
      <c r="C19" s="132">
        <f>1/(1+'Data for Q3'!$K$18)^(A19-$A$12-0.5)</f>
        <v>0.72823166001300332</v>
      </c>
      <c r="D19" s="131">
        <f t="shared" si="2"/>
        <v>49</v>
      </c>
      <c r="E19" s="129">
        <f>_xlfn.XLOOKUP(D19,'Data for Q3'!N:N,'Data for Q3'!O:O)</f>
        <v>1.1900000000000001E-3</v>
      </c>
      <c r="F19" s="129">
        <f t="shared" si="3"/>
        <v>0.99339867658105463</v>
      </c>
      <c r="G19" s="129">
        <f t="shared" si="4"/>
        <v>0.99399045300756794</v>
      </c>
      <c r="H19" s="130">
        <f t="shared" si="19"/>
        <v>0.03</v>
      </c>
      <c r="I19" s="129">
        <f t="shared" si="5"/>
        <v>0.75877738510851989</v>
      </c>
      <c r="J19" s="129">
        <f t="shared" si="6"/>
        <v>0.77051105601225989</v>
      </c>
      <c r="K19" s="134">
        <f t="shared" si="7"/>
        <v>65</v>
      </c>
      <c r="L19" s="127">
        <f>_xlfn.XLOOKUP(K19,'Data for Q3'!N:N,'Data for Q3'!O:O)</f>
        <v>5.62E-3</v>
      </c>
      <c r="M19" s="127">
        <f t="shared" si="8"/>
        <v>0.97028325413800354</v>
      </c>
      <c r="N19" s="127">
        <f t="shared" si="9"/>
        <v>0.97302515959077596</v>
      </c>
      <c r="O19" s="135">
        <f t="shared" si="10"/>
        <v>0</v>
      </c>
      <c r="P19" s="127">
        <f t="shared" si="11"/>
        <v>1</v>
      </c>
      <c r="Q19" s="127">
        <f t="shared" si="12"/>
        <v>1</v>
      </c>
      <c r="R19" s="126">
        <f t="shared" si="13"/>
        <v>77</v>
      </c>
      <c r="S19" s="124">
        <f>_xlfn.XLOOKUP(R19,'Data for Q3'!N:N,'Data for Q3'!O:O)</f>
        <v>1.8339999999999999E-2</v>
      </c>
      <c r="T19" s="124">
        <f t="shared" si="14"/>
        <v>0.90630141554834109</v>
      </c>
      <c r="U19" s="124">
        <f t="shared" si="15"/>
        <v>0.91476746691090882</v>
      </c>
      <c r="V19" s="136">
        <f t="shared" si="16"/>
        <v>0</v>
      </c>
      <c r="W19" s="124">
        <f t="shared" si="17"/>
        <v>1</v>
      </c>
      <c r="X19" s="123">
        <f t="shared" si="18"/>
        <v>1</v>
      </c>
    </row>
    <row r="20" spans="1:24">
      <c r="A20" s="133">
        <f t="shared" si="1"/>
        <v>2032</v>
      </c>
      <c r="B20" s="27">
        <f>B19*(1+'Data for Q3'!$K$15)</f>
        <v>5417.0535990272656</v>
      </c>
      <c r="C20" s="132">
        <f>1/(1+'Data for Q3'!$K$18)^(A20-$A$12-0.5)</f>
        <v>0.69355396191714602</v>
      </c>
      <c r="D20" s="131">
        <f t="shared" si="2"/>
        <v>50</v>
      </c>
      <c r="E20" s="129">
        <f>_xlfn.XLOOKUP(D20,'Data for Q3'!N:N,'Data for Q3'!O:O)</f>
        <v>1.2899999999999999E-3</v>
      </c>
      <c r="F20" s="129">
        <f t="shared" si="3"/>
        <v>0.992117192288265</v>
      </c>
      <c r="G20" s="129">
        <f t="shared" si="4"/>
        <v>0.99275793443465987</v>
      </c>
      <c r="H20" s="130">
        <f t="shared" si="19"/>
        <v>0.03</v>
      </c>
      <c r="I20" s="129">
        <f t="shared" si="5"/>
        <v>0.73601406355526422</v>
      </c>
      <c r="J20" s="129">
        <f t="shared" si="6"/>
        <v>0.74739572433189205</v>
      </c>
      <c r="K20" s="134">
        <f t="shared" si="7"/>
        <v>66</v>
      </c>
      <c r="L20" s="127">
        <f>_xlfn.XLOOKUP(K20,'Data for Q3'!N:N,'Data for Q3'!O:O)</f>
        <v>6.1999999999999998E-3</v>
      </c>
      <c r="M20" s="127">
        <f t="shared" si="8"/>
        <v>0.9642674979623479</v>
      </c>
      <c r="N20" s="127">
        <f t="shared" si="9"/>
        <v>0.96727537605017577</v>
      </c>
      <c r="O20" s="135">
        <f t="shared" si="10"/>
        <v>0</v>
      </c>
      <c r="P20" s="127">
        <f t="shared" si="11"/>
        <v>1</v>
      </c>
      <c r="Q20" s="127">
        <f t="shared" si="12"/>
        <v>1</v>
      </c>
      <c r="R20" s="126">
        <f t="shared" si="13"/>
        <v>78</v>
      </c>
      <c r="S20" s="124">
        <f>_xlfn.XLOOKUP(R20,'Data for Q3'!N:N,'Data for Q3'!O:O)</f>
        <v>2.0410000000000001E-2</v>
      </c>
      <c r="T20" s="124">
        <f t="shared" si="14"/>
        <v>0.8878038036569994</v>
      </c>
      <c r="U20" s="124">
        <f t="shared" si="15"/>
        <v>0.8970526096026703</v>
      </c>
      <c r="V20" s="136">
        <f t="shared" si="16"/>
        <v>0</v>
      </c>
      <c r="W20" s="124">
        <f t="shared" si="17"/>
        <v>1</v>
      </c>
      <c r="X20" s="123">
        <f t="shared" si="18"/>
        <v>1</v>
      </c>
    </row>
    <row r="21" spans="1:24">
      <c r="A21" s="133">
        <f t="shared" si="1"/>
        <v>2033</v>
      </c>
      <c r="B21" s="27">
        <f>B20*(1+'Data for Q3'!$K$15)</f>
        <v>5687.9062789786294</v>
      </c>
      <c r="C21" s="132">
        <f>1/(1+'Data for Q3'!$K$18)^(A21-$A$12-0.5)</f>
        <v>0.66052758277823431</v>
      </c>
      <c r="D21" s="131">
        <f t="shared" si="2"/>
        <v>51</v>
      </c>
      <c r="E21" s="129">
        <f>_xlfn.XLOOKUP(D21,'Data for Q3'!N:N,'Data for Q3'!O:O)</f>
        <v>1.41E-3</v>
      </c>
      <c r="F21" s="129">
        <f t="shared" si="3"/>
        <v>0.99071830704713848</v>
      </c>
      <c r="G21" s="129">
        <f t="shared" si="4"/>
        <v>0.9914177496677018</v>
      </c>
      <c r="H21" s="130">
        <f t="shared" si="19"/>
        <v>0.03</v>
      </c>
      <c r="I21" s="129">
        <f t="shared" si="5"/>
        <v>0.71393364164860629</v>
      </c>
      <c r="J21" s="129">
        <f t="shared" si="6"/>
        <v>0.72497385260193525</v>
      </c>
      <c r="K21" s="134">
        <f t="shared" si="7"/>
        <v>67</v>
      </c>
      <c r="L21" s="127">
        <f>_xlfn.XLOOKUP(K21,'Data for Q3'!N:N,'Data for Q3'!O:O)</f>
        <v>6.8599999999999998E-3</v>
      </c>
      <c r="M21" s="127">
        <f t="shared" si="8"/>
        <v>0.95765262292632625</v>
      </c>
      <c r="N21" s="127">
        <f t="shared" si="9"/>
        <v>0.96096006044433702</v>
      </c>
      <c r="O21" s="135">
        <f t="shared" si="10"/>
        <v>0</v>
      </c>
      <c r="P21" s="127">
        <f t="shared" si="11"/>
        <v>1</v>
      </c>
      <c r="Q21" s="127">
        <f t="shared" si="12"/>
        <v>1</v>
      </c>
      <c r="R21" s="126">
        <f t="shared" si="13"/>
        <v>79</v>
      </c>
      <c r="S21" s="124">
        <f>_xlfn.XLOOKUP(R21,'Data for Q3'!N:N,'Data for Q3'!O:O)</f>
        <v>2.2839999999999999E-2</v>
      </c>
      <c r="T21" s="124">
        <f t="shared" si="14"/>
        <v>0.8675263647814736</v>
      </c>
      <c r="U21" s="124">
        <f t="shared" si="15"/>
        <v>0.8776650842192365</v>
      </c>
      <c r="V21" s="136">
        <f t="shared" si="16"/>
        <v>0</v>
      </c>
      <c r="W21" s="124">
        <f t="shared" si="17"/>
        <v>1</v>
      </c>
      <c r="X21" s="123">
        <f t="shared" si="18"/>
        <v>1</v>
      </c>
    </row>
    <row r="22" spans="1:24">
      <c r="A22" s="133">
        <f t="shared" si="1"/>
        <v>2034</v>
      </c>
      <c r="B22" s="27">
        <f>B21*(1+'Data for Q3'!$K$15)</f>
        <v>5972.3015929275607</v>
      </c>
      <c r="C22" s="132">
        <f>1/(1+'Data for Q3'!$K$18)^(A22-$A$12-0.5)</f>
        <v>0.62907388836022304</v>
      </c>
      <c r="D22" s="131">
        <f t="shared" si="2"/>
        <v>52</v>
      </c>
      <c r="E22" s="129">
        <f>_xlfn.XLOOKUP(D22,'Data for Q3'!N:N,'Data for Q3'!O:O)</f>
        <v>1.5299999999999999E-3</v>
      </c>
      <c r="F22" s="129">
        <f t="shared" si="3"/>
        <v>0.98920250803735632</v>
      </c>
      <c r="G22" s="129">
        <f t="shared" si="4"/>
        <v>0.98996040754224746</v>
      </c>
      <c r="H22" s="130">
        <f t="shared" si="19"/>
        <v>0.03</v>
      </c>
      <c r="I22" s="129">
        <f t="shared" si="5"/>
        <v>0.69251563239914804</v>
      </c>
      <c r="J22" s="129">
        <f t="shared" si="6"/>
        <v>0.70322463702387716</v>
      </c>
      <c r="K22" s="134">
        <f t="shared" si="7"/>
        <v>68</v>
      </c>
      <c r="L22" s="127">
        <f>_xlfn.XLOOKUP(K22,'Data for Q3'!N:N,'Data for Q3'!O:O)</f>
        <v>7.6099999999999996E-3</v>
      </c>
      <c r="M22" s="127">
        <f t="shared" si="8"/>
        <v>0.95036488646585693</v>
      </c>
      <c r="N22" s="127">
        <f t="shared" si="9"/>
        <v>0.95400875469609159</v>
      </c>
      <c r="O22" s="135">
        <f t="shared" si="10"/>
        <v>0</v>
      </c>
      <c r="P22" s="127">
        <f t="shared" si="11"/>
        <v>1</v>
      </c>
      <c r="Q22" s="127">
        <f t="shared" si="12"/>
        <v>1</v>
      </c>
      <c r="R22" s="126">
        <f t="shared" si="13"/>
        <v>80</v>
      </c>
      <c r="S22" s="124">
        <f>_xlfn.XLOOKUP(R22,'Data for Q3'!N:N,'Data for Q3'!O:O)</f>
        <v>2.571E-2</v>
      </c>
      <c r="T22" s="124">
        <f t="shared" si="14"/>
        <v>0.84522226194294192</v>
      </c>
      <c r="U22" s="124">
        <f t="shared" si="15"/>
        <v>0.85637431336220782</v>
      </c>
      <c r="V22" s="136">
        <f t="shared" si="16"/>
        <v>0</v>
      </c>
      <c r="W22" s="124">
        <f t="shared" si="17"/>
        <v>1</v>
      </c>
      <c r="X22" s="123">
        <f t="shared" si="18"/>
        <v>1</v>
      </c>
    </row>
    <row r="23" spans="1:24">
      <c r="A23" s="133">
        <f t="shared" si="1"/>
        <v>2035</v>
      </c>
      <c r="B23" s="27">
        <f>B22*(1+'Data for Q3'!$K$15)</f>
        <v>6270.9166725739387</v>
      </c>
      <c r="C23" s="132">
        <f>1/(1+'Data for Q3'!$K$18)^(A23-$A$12-0.5)</f>
        <v>0.59911798891449808</v>
      </c>
      <c r="D23" s="131">
        <f t="shared" si="2"/>
        <v>53</v>
      </c>
      <c r="E23" s="129">
        <f>_xlfn.XLOOKUP(D23,'Data for Q3'!N:N,'Data for Q3'!O:O)</f>
        <v>1.6800000000000001E-3</v>
      </c>
      <c r="F23" s="129">
        <f t="shared" si="3"/>
        <v>0.98754064782385353</v>
      </c>
      <c r="G23" s="129">
        <f t="shared" si="4"/>
        <v>0.98837157793060504</v>
      </c>
      <c r="H23" s="130">
        <f t="shared" si="19"/>
        <v>0.03</v>
      </c>
      <c r="I23" s="129">
        <f t="shared" si="5"/>
        <v>0.67174016342717358</v>
      </c>
      <c r="J23" s="129">
        <f t="shared" si="6"/>
        <v>0.68212789791316086</v>
      </c>
      <c r="K23" s="134">
        <f t="shared" si="7"/>
        <v>69</v>
      </c>
      <c r="L23" s="127">
        <f>_xlfn.XLOOKUP(K23,'Data for Q3'!N:N,'Data for Q3'!O:O)</f>
        <v>8.4399999999999996E-3</v>
      </c>
      <c r="M23" s="127">
        <f t="shared" si="8"/>
        <v>0.94234380682408514</v>
      </c>
      <c r="N23" s="127">
        <f t="shared" si="9"/>
        <v>0.94635434664497098</v>
      </c>
      <c r="O23" s="135">
        <f t="shared" si="10"/>
        <v>0</v>
      </c>
      <c r="P23" s="127">
        <f t="shared" si="11"/>
        <v>1</v>
      </c>
      <c r="Q23" s="127">
        <f t="shared" si="12"/>
        <v>1</v>
      </c>
      <c r="R23" s="126">
        <f t="shared" si="13"/>
        <v>81</v>
      </c>
      <c r="S23" s="124">
        <f>_xlfn.XLOOKUP(R23,'Data for Q3'!N:N,'Data for Q3'!O:O)</f>
        <v>2.913E-2</v>
      </c>
      <c r="T23" s="124">
        <f t="shared" si="14"/>
        <v>0.82060093745254403</v>
      </c>
      <c r="U23" s="124">
        <f t="shared" si="15"/>
        <v>0.83291159969774298</v>
      </c>
      <c r="V23" s="136">
        <f t="shared" si="16"/>
        <v>0</v>
      </c>
      <c r="W23" s="124">
        <f t="shared" si="17"/>
        <v>1</v>
      </c>
      <c r="X23" s="123">
        <f t="shared" si="18"/>
        <v>1</v>
      </c>
    </row>
    <row r="24" spans="1:24">
      <c r="A24" s="133">
        <f t="shared" si="1"/>
        <v>2036</v>
      </c>
      <c r="B24" s="27">
        <f>B23*(1+'Data for Q3'!$K$15)</f>
        <v>6584.4625062026362</v>
      </c>
      <c r="C24" s="132">
        <f>1/(1+'Data for Q3'!$K$18)^(A24-$A$12-0.5)</f>
        <v>0.57058856087095067</v>
      </c>
      <c r="D24" s="131">
        <f t="shared" si="2"/>
        <v>54</v>
      </c>
      <c r="E24" s="129">
        <f>_xlfn.XLOOKUP(D24,'Data for Q3'!N:N,'Data for Q3'!O:O)</f>
        <v>1.8600000000000001E-3</v>
      </c>
      <c r="F24" s="129">
        <f t="shared" si="3"/>
        <v>0.98570382221890118</v>
      </c>
      <c r="G24" s="129">
        <f t="shared" si="4"/>
        <v>0.98662223502137736</v>
      </c>
      <c r="H24" s="130">
        <f t="shared" si="19"/>
        <v>0.03</v>
      </c>
      <c r="I24" s="129">
        <f t="shared" si="5"/>
        <v>0.65158795852435836</v>
      </c>
      <c r="J24" s="129">
        <f t="shared" si="6"/>
        <v>0.66166406097576591</v>
      </c>
      <c r="K24" s="134">
        <f t="shared" si="7"/>
        <v>70</v>
      </c>
      <c r="L24" s="127">
        <f>_xlfn.XLOOKUP(K24,'Data for Q3'!N:N,'Data for Q3'!O:O)</f>
        <v>9.3399999999999993E-3</v>
      </c>
      <c r="M24" s="127">
        <f t="shared" si="8"/>
        <v>0.93354231566834822</v>
      </c>
      <c r="N24" s="127">
        <f t="shared" si="9"/>
        <v>0.93794306124621674</v>
      </c>
      <c r="O24" s="135">
        <f t="shared" si="10"/>
        <v>0</v>
      </c>
      <c r="P24" s="127">
        <f t="shared" si="11"/>
        <v>1</v>
      </c>
      <c r="Q24" s="127">
        <f t="shared" si="12"/>
        <v>1</v>
      </c>
      <c r="R24" s="126">
        <f t="shared" si="13"/>
        <v>82</v>
      </c>
      <c r="S24" s="124">
        <f>_xlfn.XLOOKUP(R24,'Data for Q3'!N:N,'Data for Q3'!O:O)</f>
        <v>3.32E-2</v>
      </c>
      <c r="T24" s="124">
        <f t="shared" si="14"/>
        <v>0.79335698632911955</v>
      </c>
      <c r="U24" s="124">
        <f t="shared" si="15"/>
        <v>0.80697896189083185</v>
      </c>
      <c r="V24" s="136">
        <f t="shared" si="16"/>
        <v>0</v>
      </c>
      <c r="W24" s="124">
        <f t="shared" si="17"/>
        <v>1</v>
      </c>
      <c r="X24" s="123">
        <f t="shared" si="18"/>
        <v>1</v>
      </c>
    </row>
    <row r="25" spans="1:24">
      <c r="A25" s="133">
        <f t="shared" si="1"/>
        <v>2037</v>
      </c>
      <c r="B25" s="27">
        <f>B24*(1+'Data for Q3'!$K$15)</f>
        <v>6913.6856315127679</v>
      </c>
      <c r="C25" s="132">
        <f>1/(1+'Data for Q3'!$K$18)^(A25-$A$12-0.5)</f>
        <v>0.54341767701995292</v>
      </c>
      <c r="D25" s="131">
        <f t="shared" si="2"/>
        <v>55</v>
      </c>
      <c r="E25" s="129">
        <f>_xlfn.XLOOKUP(D25,'Data for Q3'!N:N,'Data for Q3'!O:O)</f>
        <v>2.0699999999999998E-3</v>
      </c>
      <c r="F25" s="129">
        <f t="shared" si="3"/>
        <v>0.98366341530690804</v>
      </c>
      <c r="G25" s="129">
        <f t="shared" si="4"/>
        <v>0.98468361876290467</v>
      </c>
      <c r="H25" s="130">
        <f>'Data for Q3'!K26</f>
        <v>0</v>
      </c>
      <c r="I25" s="129">
        <f t="shared" si="5"/>
        <v>0.65158795852435836</v>
      </c>
      <c r="J25" s="129">
        <f t="shared" si="6"/>
        <v>0.65158795852435836</v>
      </c>
      <c r="K25" s="134">
        <f t="shared" si="7"/>
        <v>71</v>
      </c>
      <c r="L25" s="127">
        <f>_xlfn.XLOOKUP(K25,'Data for Q3'!N:N,'Data for Q3'!O:O)</f>
        <v>1.031E-2</v>
      </c>
      <c r="M25" s="127">
        <f t="shared" si="8"/>
        <v>0.92391749439380755</v>
      </c>
      <c r="N25" s="127">
        <f t="shared" si="9"/>
        <v>0.92872990503107788</v>
      </c>
      <c r="O25" s="135">
        <f t="shared" si="10"/>
        <v>0</v>
      </c>
      <c r="P25" s="127">
        <f t="shared" si="11"/>
        <v>1</v>
      </c>
      <c r="Q25" s="127">
        <f t="shared" si="12"/>
        <v>1</v>
      </c>
      <c r="R25" s="126">
        <f t="shared" si="13"/>
        <v>83</v>
      </c>
      <c r="S25" s="124">
        <f>_xlfn.XLOOKUP(R25,'Data for Q3'!N:N,'Data for Q3'!O:O)</f>
        <v>3.805E-2</v>
      </c>
      <c r="T25" s="124">
        <f t="shared" si="14"/>
        <v>0.76316975299929657</v>
      </c>
      <c r="U25" s="124">
        <f t="shared" si="15"/>
        <v>0.77826336966420806</v>
      </c>
      <c r="V25" s="136">
        <f t="shared" si="16"/>
        <v>0</v>
      </c>
      <c r="W25" s="124">
        <f t="shared" si="17"/>
        <v>1</v>
      </c>
      <c r="X25" s="123">
        <f t="shared" si="18"/>
        <v>1</v>
      </c>
    </row>
    <row r="26" spans="1:24">
      <c r="A26" s="133">
        <f t="shared" si="1"/>
        <v>2038</v>
      </c>
      <c r="B26" s="27">
        <f>B25*(1+'Data for Q3'!$K$15)</f>
        <v>7259.369913088407</v>
      </c>
      <c r="C26" s="132">
        <f>1/(1+'Data for Q3'!$K$18)^(A26-$A$12-0.5)</f>
        <v>0.51754064478090755</v>
      </c>
      <c r="D26" s="131">
        <f t="shared" si="2"/>
        <v>56</v>
      </c>
      <c r="E26" s="129">
        <f>_xlfn.XLOOKUP(D26,'Data for Q3'!N:N,'Data for Q3'!O:O)</f>
        <v>2.31E-3</v>
      </c>
      <c r="F26" s="129">
        <f t="shared" si="3"/>
        <v>0.98139115281754907</v>
      </c>
      <c r="G26" s="129">
        <f t="shared" si="4"/>
        <v>0.98252728406222856</v>
      </c>
      <c r="H26" s="130">
        <f t="shared" ref="H26:H57" si="20">H25</f>
        <v>0</v>
      </c>
      <c r="I26" s="129">
        <f t="shared" si="5"/>
        <v>0.65158795852435836</v>
      </c>
      <c r="J26" s="129">
        <f t="shared" si="6"/>
        <v>0.65158795852435836</v>
      </c>
      <c r="K26" s="134">
        <f t="shared" si="7"/>
        <v>72</v>
      </c>
      <c r="L26" s="127">
        <f>_xlfn.XLOOKUP(K26,'Data for Q3'!N:N,'Data for Q3'!O:O)</f>
        <v>1.1339999999999999E-2</v>
      </c>
      <c r="M26" s="127">
        <f t="shared" si="8"/>
        <v>0.9134402700073817</v>
      </c>
      <c r="N26" s="127">
        <f t="shared" si="9"/>
        <v>0.91867888220059468</v>
      </c>
      <c r="O26" s="135">
        <f t="shared" si="10"/>
        <v>0</v>
      </c>
      <c r="P26" s="127">
        <f t="shared" si="11"/>
        <v>1</v>
      </c>
      <c r="Q26" s="127">
        <f t="shared" si="12"/>
        <v>1</v>
      </c>
      <c r="R26" s="126">
        <f t="shared" si="13"/>
        <v>84</v>
      </c>
      <c r="S26" s="124">
        <f>_xlfn.XLOOKUP(R26,'Data for Q3'!N:N,'Data for Q3'!O:O)</f>
        <v>4.3770000000000003E-2</v>
      </c>
      <c r="T26" s="124">
        <f t="shared" si="14"/>
        <v>0.72976581291051734</v>
      </c>
      <c r="U26" s="124">
        <f t="shared" si="15"/>
        <v>0.7464677829549069</v>
      </c>
      <c r="V26" s="136">
        <f t="shared" si="16"/>
        <v>0</v>
      </c>
      <c r="W26" s="124">
        <f t="shared" si="17"/>
        <v>1</v>
      </c>
      <c r="X26" s="123">
        <f t="shared" si="18"/>
        <v>1</v>
      </c>
    </row>
    <row r="27" spans="1:24">
      <c r="A27" s="133">
        <f t="shared" si="1"/>
        <v>2039</v>
      </c>
      <c r="B27" s="27">
        <f>B26*(1+'Data for Q3'!$K$15)</f>
        <v>7622.3384087428276</v>
      </c>
      <c r="C27" s="132">
        <f>1/(1+'Data for Q3'!$K$18)^(A27-$A$12-0.5)</f>
        <v>0.49289585217229281</v>
      </c>
      <c r="D27" s="131">
        <f t="shared" si="2"/>
        <v>57</v>
      </c>
      <c r="E27" s="129">
        <f>_xlfn.XLOOKUP(D27,'Data for Q3'!N:N,'Data for Q3'!O:O)</f>
        <v>2.5799999999999998E-3</v>
      </c>
      <c r="F27" s="129">
        <f t="shared" si="3"/>
        <v>0.97885916364327974</v>
      </c>
      <c r="G27" s="129">
        <f t="shared" si="4"/>
        <v>0.98012515823041446</v>
      </c>
      <c r="H27" s="130">
        <f t="shared" si="20"/>
        <v>0</v>
      </c>
      <c r="I27" s="129">
        <f t="shared" si="5"/>
        <v>0.65158795852435836</v>
      </c>
      <c r="J27" s="129">
        <f t="shared" si="6"/>
        <v>0.65158795852435836</v>
      </c>
      <c r="K27" s="134">
        <f t="shared" si="7"/>
        <v>73</v>
      </c>
      <c r="L27" s="127">
        <f>_xlfn.XLOOKUP(K27,'Data for Q3'!N:N,'Data for Q3'!O:O)</f>
        <v>1.244E-2</v>
      </c>
      <c r="M27" s="127">
        <f t="shared" si="8"/>
        <v>0.90207707304848983</v>
      </c>
      <c r="N27" s="127">
        <f t="shared" si="9"/>
        <v>0.90775867152793577</v>
      </c>
      <c r="O27" s="135">
        <f t="shared" si="10"/>
        <v>0</v>
      </c>
      <c r="P27" s="127">
        <f t="shared" si="11"/>
        <v>1</v>
      </c>
      <c r="Q27" s="127">
        <f t="shared" si="12"/>
        <v>1</v>
      </c>
      <c r="R27" s="126">
        <f t="shared" si="13"/>
        <v>85</v>
      </c>
      <c r="S27" s="124">
        <f>_xlfn.XLOOKUP(R27,'Data for Q3'!N:N,'Data for Q3'!O:O)</f>
        <v>5.0500000000000003E-2</v>
      </c>
      <c r="T27" s="124">
        <f t="shared" si="14"/>
        <v>0.6929126393585362</v>
      </c>
      <c r="U27" s="124">
        <f t="shared" si="15"/>
        <v>0.71133922613452683</v>
      </c>
      <c r="V27" s="136">
        <f t="shared" si="16"/>
        <v>0</v>
      </c>
      <c r="W27" s="124">
        <f t="shared" si="17"/>
        <v>1</v>
      </c>
      <c r="X27" s="123">
        <f t="shared" si="18"/>
        <v>1</v>
      </c>
    </row>
    <row r="28" spans="1:24">
      <c r="A28" s="133">
        <f t="shared" si="1"/>
        <v>2040</v>
      </c>
      <c r="B28" s="27">
        <f>B27*(1+'Data for Q3'!$K$15)</f>
        <v>8003.4553291799693</v>
      </c>
      <c r="C28" s="132">
        <f>1/(1+'Data for Q3'!$K$18)^(A28-$A$12-0.5)</f>
        <v>0.46942462111646938</v>
      </c>
      <c r="D28" s="131">
        <f t="shared" si="2"/>
        <v>58</v>
      </c>
      <c r="E28" s="129">
        <f>_xlfn.XLOOKUP(D28,'Data for Q3'!N:N,'Data for Q3'!O:O)</f>
        <v>2.8700000000000002E-3</v>
      </c>
      <c r="F28" s="129">
        <f t="shared" si="3"/>
        <v>0.97604983784362354</v>
      </c>
      <c r="G28" s="129">
        <f t="shared" si="4"/>
        <v>0.97745450074345164</v>
      </c>
      <c r="H28" s="130">
        <f t="shared" si="20"/>
        <v>0</v>
      </c>
      <c r="I28" s="129">
        <f t="shared" si="5"/>
        <v>0.65158795852435836</v>
      </c>
      <c r="J28" s="129">
        <f t="shared" si="6"/>
        <v>0.65158795852435836</v>
      </c>
      <c r="K28" s="134">
        <f t="shared" si="7"/>
        <v>74</v>
      </c>
      <c r="L28" s="127">
        <f>_xlfn.XLOOKUP(K28,'Data for Q3'!N:N,'Data for Q3'!O:O)</f>
        <v>1.366E-2</v>
      </c>
      <c r="M28" s="127">
        <f t="shared" si="8"/>
        <v>0.8897547002306474</v>
      </c>
      <c r="N28" s="127">
        <f t="shared" si="9"/>
        <v>0.89591588663956867</v>
      </c>
      <c r="O28" s="135">
        <f t="shared" si="10"/>
        <v>0</v>
      </c>
      <c r="P28" s="127">
        <f t="shared" si="11"/>
        <v>1</v>
      </c>
      <c r="Q28" s="127">
        <f t="shared" si="12"/>
        <v>1</v>
      </c>
      <c r="R28" s="126">
        <f t="shared" si="13"/>
        <v>86</v>
      </c>
      <c r="S28" s="124">
        <f>_xlfn.XLOOKUP(R28,'Data for Q3'!N:N,'Data for Q3'!O:O)</f>
        <v>5.8319999999999997E-2</v>
      </c>
      <c r="T28" s="124">
        <f t="shared" si="14"/>
        <v>0.65250197423114631</v>
      </c>
      <c r="U28" s="124">
        <f t="shared" si="15"/>
        <v>0.67270730679484125</v>
      </c>
      <c r="V28" s="136">
        <f t="shared" si="16"/>
        <v>0</v>
      </c>
      <c r="W28" s="124">
        <f t="shared" si="17"/>
        <v>1</v>
      </c>
      <c r="X28" s="123">
        <f t="shared" si="18"/>
        <v>1</v>
      </c>
    </row>
    <row r="29" spans="1:24">
      <c r="A29" s="133">
        <f t="shared" si="1"/>
        <v>2041</v>
      </c>
      <c r="B29" s="27">
        <f>B28*(1+'Data for Q3'!$K$15)</f>
        <v>8403.6280956389674</v>
      </c>
      <c r="C29" s="132">
        <f>1/(1+'Data for Q3'!$K$18)^(A29-$A$12-0.5)</f>
        <v>0.44707106772997074</v>
      </c>
      <c r="D29" s="131">
        <f t="shared" si="2"/>
        <v>59</v>
      </c>
      <c r="E29" s="129">
        <f>_xlfn.XLOOKUP(D29,'Data for Q3'!N:N,'Data for Q3'!O:O)</f>
        <v>3.1800000000000001E-3</v>
      </c>
      <c r="F29" s="129">
        <f t="shared" si="3"/>
        <v>0.97294599935928083</v>
      </c>
      <c r="G29" s="129">
        <f t="shared" si="4"/>
        <v>0.97449791860145218</v>
      </c>
      <c r="H29" s="130">
        <f t="shared" si="20"/>
        <v>0</v>
      </c>
      <c r="I29" s="129">
        <f t="shared" si="5"/>
        <v>0.65158795852435836</v>
      </c>
      <c r="J29" s="129">
        <f t="shared" si="6"/>
        <v>0.65158795852435836</v>
      </c>
      <c r="K29" s="134">
        <f t="shared" si="7"/>
        <v>75</v>
      </c>
      <c r="L29" s="127">
        <f>_xlfn.XLOOKUP(K29,'Data for Q3'!N:N,'Data for Q3'!O:O)</f>
        <v>1.502E-2</v>
      </c>
      <c r="M29" s="127">
        <f t="shared" si="8"/>
        <v>0.87639058463318309</v>
      </c>
      <c r="N29" s="127">
        <f t="shared" si="9"/>
        <v>0.88307264243191519</v>
      </c>
      <c r="O29" s="135">
        <f t="shared" si="10"/>
        <v>0</v>
      </c>
      <c r="P29" s="127">
        <f t="shared" si="11"/>
        <v>1</v>
      </c>
      <c r="Q29" s="127">
        <f t="shared" si="12"/>
        <v>1</v>
      </c>
      <c r="R29" s="126">
        <f t="shared" si="13"/>
        <v>87</v>
      </c>
      <c r="S29" s="124">
        <f>_xlfn.XLOOKUP(R29,'Data for Q3'!N:N,'Data for Q3'!O:O)</f>
        <v>6.7339999999999997E-2</v>
      </c>
      <c r="T29" s="124">
        <f t="shared" si="14"/>
        <v>0.60856249128642093</v>
      </c>
      <c r="U29" s="124">
        <f t="shared" si="15"/>
        <v>0.63053223275878367</v>
      </c>
      <c r="V29" s="136">
        <f t="shared" si="16"/>
        <v>0</v>
      </c>
      <c r="W29" s="124">
        <f t="shared" si="17"/>
        <v>1</v>
      </c>
      <c r="X29" s="123">
        <f t="shared" si="18"/>
        <v>1</v>
      </c>
    </row>
    <row r="30" spans="1:24">
      <c r="A30" s="133">
        <f t="shared" si="1"/>
        <v>2042</v>
      </c>
      <c r="B30" s="27">
        <f>B29*(1+'Data for Q3'!$K$15)</f>
        <v>8823.8095004209154</v>
      </c>
      <c r="C30" s="132">
        <f>1/(1+'Data for Q3'!$K$18)^(A30-$A$12-0.5)</f>
        <v>0.42578196926663886</v>
      </c>
      <c r="D30" s="131">
        <f t="shared" si="2"/>
        <v>60</v>
      </c>
      <c r="E30" s="129">
        <f>_xlfn.XLOOKUP(D30,'Data for Q3'!N:N,'Data for Q3'!O:O)</f>
        <v>3.5000000000000001E-3</v>
      </c>
      <c r="F30" s="129">
        <f t="shared" si="3"/>
        <v>0.96954068836152341</v>
      </c>
      <c r="G30" s="129">
        <f t="shared" si="4"/>
        <v>0.97124334386040201</v>
      </c>
      <c r="H30" s="130">
        <f t="shared" si="20"/>
        <v>0</v>
      </c>
      <c r="I30" s="129">
        <f t="shared" si="5"/>
        <v>0.65158795852435836</v>
      </c>
      <c r="J30" s="129">
        <f t="shared" si="6"/>
        <v>0.65158795852435836</v>
      </c>
      <c r="K30" s="134">
        <f t="shared" si="7"/>
        <v>76</v>
      </c>
      <c r="L30" s="127">
        <f>_xlfn.XLOOKUP(K30,'Data for Q3'!N:N,'Data for Q3'!O:O)</f>
        <v>1.6559999999999998E-2</v>
      </c>
      <c r="M30" s="127">
        <f t="shared" si="8"/>
        <v>0.86187755655165754</v>
      </c>
      <c r="N30" s="127">
        <f t="shared" si="9"/>
        <v>0.86913407059242043</v>
      </c>
      <c r="O30" s="135">
        <f t="shared" si="10"/>
        <v>0</v>
      </c>
      <c r="P30" s="127">
        <f t="shared" si="11"/>
        <v>1</v>
      </c>
      <c r="Q30" s="127">
        <f t="shared" si="12"/>
        <v>1</v>
      </c>
      <c r="R30" s="126">
        <f t="shared" si="13"/>
        <v>88</v>
      </c>
      <c r="S30" s="124">
        <f>_xlfn.XLOOKUP(R30,'Data for Q3'!N:N,'Data for Q3'!O:O)</f>
        <v>7.7649999999999997E-2</v>
      </c>
      <c r="T30" s="124">
        <f t="shared" si="14"/>
        <v>0.56130761383803029</v>
      </c>
      <c r="U30" s="124">
        <f t="shared" si="15"/>
        <v>0.58493505256222567</v>
      </c>
      <c r="V30" s="136">
        <f t="shared" si="16"/>
        <v>0</v>
      </c>
      <c r="W30" s="124">
        <f t="shared" si="17"/>
        <v>1</v>
      </c>
      <c r="X30" s="123">
        <f t="shared" si="18"/>
        <v>1</v>
      </c>
    </row>
    <row r="31" spans="1:24">
      <c r="A31" s="133">
        <f t="shared" si="1"/>
        <v>2043</v>
      </c>
      <c r="B31" s="27">
        <f>B30*(1+'Data for Q3'!$K$15)</f>
        <v>9264.9999754419623</v>
      </c>
      <c r="C31" s="132">
        <f>1/(1+'Data for Q3'!$K$18)^(A31-$A$12-0.5)</f>
        <v>0.40550663739679882</v>
      </c>
      <c r="D31" s="131">
        <f t="shared" si="2"/>
        <v>61</v>
      </c>
      <c r="E31" s="129">
        <f>_xlfn.XLOOKUP(D31,'Data for Q3'!N:N,'Data for Q3'!O:O)</f>
        <v>3.8400000000000001E-3</v>
      </c>
      <c r="F31" s="129">
        <f t="shared" si="3"/>
        <v>0.96581765211821524</v>
      </c>
      <c r="G31" s="129">
        <f t="shared" si="4"/>
        <v>0.96767917023986927</v>
      </c>
      <c r="H31" s="130">
        <f t="shared" si="20"/>
        <v>0</v>
      </c>
      <c r="I31" s="129">
        <f t="shared" si="5"/>
        <v>0.65158795852435836</v>
      </c>
      <c r="J31" s="129">
        <f t="shared" si="6"/>
        <v>0.65158795852435836</v>
      </c>
      <c r="K31" s="134">
        <f t="shared" si="7"/>
        <v>77</v>
      </c>
      <c r="L31" s="127">
        <f>_xlfn.XLOOKUP(K31,'Data for Q3'!N:N,'Data for Q3'!O:O)</f>
        <v>1.8339999999999999E-2</v>
      </c>
      <c r="M31" s="127">
        <f t="shared" si="8"/>
        <v>0.84607072216450008</v>
      </c>
      <c r="N31" s="127">
        <f t="shared" si="9"/>
        <v>0.85397413935807887</v>
      </c>
      <c r="O31" s="135">
        <f t="shared" si="10"/>
        <v>0</v>
      </c>
      <c r="P31" s="127">
        <f t="shared" si="11"/>
        <v>1</v>
      </c>
      <c r="Q31" s="127">
        <f t="shared" si="12"/>
        <v>1</v>
      </c>
      <c r="R31" s="126">
        <f t="shared" si="13"/>
        <v>89</v>
      </c>
      <c r="S31" s="124">
        <f>_xlfn.XLOOKUP(R31,'Data for Q3'!N:N,'Data for Q3'!O:O)</f>
        <v>8.9319999999999997E-2</v>
      </c>
      <c r="T31" s="124">
        <f t="shared" si="14"/>
        <v>0.51117161777001741</v>
      </c>
      <c r="U31" s="124">
        <f t="shared" si="15"/>
        <v>0.53623961580402379</v>
      </c>
      <c r="V31" s="136">
        <f t="shared" si="16"/>
        <v>0</v>
      </c>
      <c r="W31" s="124">
        <f t="shared" si="17"/>
        <v>1</v>
      </c>
      <c r="X31" s="123">
        <f t="shared" si="18"/>
        <v>1</v>
      </c>
    </row>
    <row r="32" spans="1:24">
      <c r="A32" s="133">
        <f t="shared" si="1"/>
        <v>2044</v>
      </c>
      <c r="B32" s="27">
        <f>B31*(1+'Data for Q3'!$K$15)</f>
        <v>9728.2499742140608</v>
      </c>
      <c r="C32" s="132">
        <f>1/(1+'Data for Q3'!$K$18)^(A32-$A$12-0.5)</f>
        <v>0.3861967975207608</v>
      </c>
      <c r="D32" s="131">
        <f t="shared" si="2"/>
        <v>62</v>
      </c>
      <c r="E32" s="129">
        <f>_xlfn.XLOOKUP(D32,'Data for Q3'!N:N,'Data for Q3'!O:O)</f>
        <v>4.2100000000000002E-3</v>
      </c>
      <c r="F32" s="129">
        <f t="shared" si="3"/>
        <v>0.96175155980279747</v>
      </c>
      <c r="G32" s="129">
        <f t="shared" si="4"/>
        <v>0.96378460596050641</v>
      </c>
      <c r="H32" s="130">
        <f t="shared" si="20"/>
        <v>0</v>
      </c>
      <c r="I32" s="129">
        <f t="shared" si="5"/>
        <v>0.65158795852435836</v>
      </c>
      <c r="J32" s="129">
        <f t="shared" si="6"/>
        <v>0.65158795852435836</v>
      </c>
      <c r="K32" s="134">
        <f t="shared" si="7"/>
        <v>78</v>
      </c>
      <c r="L32" s="127">
        <f>_xlfn.XLOOKUP(K32,'Data for Q3'!N:N,'Data for Q3'!O:O)</f>
        <v>2.0410000000000001E-2</v>
      </c>
      <c r="M32" s="127">
        <f t="shared" si="8"/>
        <v>0.82880241872512261</v>
      </c>
      <c r="N32" s="127">
        <f t="shared" si="9"/>
        <v>0.83743657044481135</v>
      </c>
      <c r="O32" s="135">
        <f t="shared" si="10"/>
        <v>0</v>
      </c>
      <c r="P32" s="127">
        <f t="shared" si="11"/>
        <v>1</v>
      </c>
      <c r="Q32" s="127">
        <f t="shared" si="12"/>
        <v>1</v>
      </c>
      <c r="R32" s="126">
        <f t="shared" si="13"/>
        <v>90</v>
      </c>
      <c r="S32" s="124">
        <f>_xlfn.XLOOKUP(R32,'Data for Q3'!N:N,'Data for Q3'!O:O)</f>
        <v>0.10238</v>
      </c>
      <c r="T32" s="124">
        <f t="shared" si="14"/>
        <v>0.45883786754272299</v>
      </c>
      <c r="U32" s="124">
        <f t="shared" si="15"/>
        <v>0.48500474265637022</v>
      </c>
      <c r="V32" s="136">
        <f t="shared" si="16"/>
        <v>0</v>
      </c>
      <c r="W32" s="124">
        <f t="shared" si="17"/>
        <v>1</v>
      </c>
      <c r="X32" s="123">
        <f t="shared" si="18"/>
        <v>1</v>
      </c>
    </row>
    <row r="33" spans="1:24">
      <c r="A33" s="133">
        <f t="shared" si="1"/>
        <v>2045</v>
      </c>
      <c r="B33" s="27">
        <f>B32*(1+'Data for Q3'!$K$15)</f>
        <v>10214.662472924765</v>
      </c>
      <c r="C33" s="132">
        <f>1/(1+'Data for Q3'!$K$18)^(A33-$A$12-0.5)</f>
        <v>0.36780647382929599</v>
      </c>
      <c r="D33" s="131">
        <f t="shared" si="2"/>
        <v>63</v>
      </c>
      <c r="E33" s="129">
        <f>_xlfn.XLOOKUP(D33,'Data for Q3'!N:N,'Data for Q3'!O:O)</f>
        <v>4.64E-3</v>
      </c>
      <c r="F33" s="129">
        <f t="shared" si="3"/>
        <v>0.9572890325653125</v>
      </c>
      <c r="G33" s="129">
        <f t="shared" si="4"/>
        <v>0.95952029618405499</v>
      </c>
      <c r="H33" s="130">
        <f t="shared" si="20"/>
        <v>0</v>
      </c>
      <c r="I33" s="129">
        <f t="shared" si="5"/>
        <v>0.65158795852435836</v>
      </c>
      <c r="J33" s="129">
        <f t="shared" si="6"/>
        <v>0.65158795852435836</v>
      </c>
      <c r="K33" s="134">
        <f t="shared" si="7"/>
        <v>79</v>
      </c>
      <c r="L33" s="127">
        <f>_xlfn.XLOOKUP(K33,'Data for Q3'!N:N,'Data for Q3'!O:O)</f>
        <v>2.2839999999999999E-2</v>
      </c>
      <c r="M33" s="127">
        <f t="shared" si="8"/>
        <v>0.80987257148144087</v>
      </c>
      <c r="N33" s="127">
        <f t="shared" si="9"/>
        <v>0.81933749510328169</v>
      </c>
      <c r="O33" s="135">
        <f t="shared" si="10"/>
        <v>0</v>
      </c>
      <c r="P33" s="127">
        <f t="shared" si="11"/>
        <v>1</v>
      </c>
      <c r="Q33" s="127">
        <f t="shared" si="12"/>
        <v>1</v>
      </c>
      <c r="R33" s="126">
        <f t="shared" si="13"/>
        <v>91</v>
      </c>
      <c r="S33" s="124">
        <f>_xlfn.XLOOKUP(R33,'Data for Q3'!N:N,'Data for Q3'!O:O)</f>
        <v>0.11683</v>
      </c>
      <c r="T33" s="124">
        <f t="shared" si="14"/>
        <v>0.40523183947770669</v>
      </c>
      <c r="U33" s="124">
        <f t="shared" si="15"/>
        <v>0.43203485351021481</v>
      </c>
      <c r="V33" s="136">
        <f t="shared" si="16"/>
        <v>0</v>
      </c>
      <c r="W33" s="124">
        <f t="shared" si="17"/>
        <v>1</v>
      </c>
      <c r="X33" s="123">
        <f t="shared" si="18"/>
        <v>1</v>
      </c>
    </row>
    <row r="34" spans="1:24">
      <c r="A34" s="133">
        <f t="shared" si="1"/>
        <v>2046</v>
      </c>
      <c r="B34" s="27">
        <f>B33*(1+'Data for Q3'!$K$15)</f>
        <v>10725.395596571003</v>
      </c>
      <c r="C34" s="132">
        <f>1/(1+'Data for Q3'!$K$18)^(A34-$A$12-0.5)</f>
        <v>0.35029187983742477</v>
      </c>
      <c r="D34" s="131">
        <f t="shared" si="2"/>
        <v>64</v>
      </c>
      <c r="E34" s="129">
        <f>_xlfn.XLOOKUP(D34,'Data for Q3'!N:N,'Data for Q3'!O:O)</f>
        <v>5.11E-3</v>
      </c>
      <c r="F34" s="129">
        <f t="shared" si="3"/>
        <v>0.9523972856089038</v>
      </c>
      <c r="G34" s="129">
        <f t="shared" si="4"/>
        <v>0.95484315908710815</v>
      </c>
      <c r="H34" s="130">
        <f t="shared" si="20"/>
        <v>0</v>
      </c>
      <c r="I34" s="129">
        <f t="shared" si="5"/>
        <v>0.65158795852435836</v>
      </c>
      <c r="J34" s="129">
        <f t="shared" si="6"/>
        <v>0.65158795852435836</v>
      </c>
      <c r="K34" s="134">
        <f t="shared" si="7"/>
        <v>80</v>
      </c>
      <c r="L34" s="127">
        <f>_xlfn.XLOOKUP(K34,'Data for Q3'!N:N,'Data for Q3'!O:O)</f>
        <v>2.571E-2</v>
      </c>
      <c r="M34" s="127">
        <f t="shared" si="8"/>
        <v>0.78905074766865302</v>
      </c>
      <c r="N34" s="127">
        <f t="shared" si="9"/>
        <v>0.799461659575047</v>
      </c>
      <c r="O34" s="135">
        <f t="shared" si="10"/>
        <v>0</v>
      </c>
      <c r="P34" s="127">
        <f t="shared" si="11"/>
        <v>1</v>
      </c>
      <c r="Q34" s="127">
        <f t="shared" si="12"/>
        <v>1</v>
      </c>
      <c r="R34" s="126">
        <f t="shared" si="13"/>
        <v>92</v>
      </c>
      <c r="S34" s="124">
        <f>_xlfn.XLOOKUP(R34,'Data for Q3'!N:N,'Data for Q3'!O:O)</f>
        <v>0.13261000000000001</v>
      </c>
      <c r="T34" s="124">
        <f t="shared" si="14"/>
        <v>0.35149404524456801</v>
      </c>
      <c r="U34" s="124">
        <f t="shared" si="15"/>
        <v>0.37836294236113732</v>
      </c>
      <c r="V34" s="136">
        <f t="shared" si="16"/>
        <v>0</v>
      </c>
      <c r="W34" s="124">
        <f t="shared" si="17"/>
        <v>1</v>
      </c>
      <c r="X34" s="123">
        <f t="shared" si="18"/>
        <v>1</v>
      </c>
    </row>
    <row r="35" spans="1:24">
      <c r="A35" s="133">
        <f t="shared" si="1"/>
        <v>2047</v>
      </c>
      <c r="B35" s="27">
        <f>B34*(1+'Data for Q3'!$K$15)</f>
        <v>11261.665376399553</v>
      </c>
      <c r="C35" s="132">
        <f>1/(1+'Data for Q3'!$K$18)^(A35-$A$12-0.5)</f>
        <v>0.33361131413088069</v>
      </c>
      <c r="D35" s="131">
        <f t="shared" si="2"/>
        <v>65</v>
      </c>
      <c r="E35" s="129">
        <f>_xlfn.XLOOKUP(D35,'Data for Q3'!N:N,'Data for Q3'!O:O)</f>
        <v>5.62E-3</v>
      </c>
      <c r="F35" s="129">
        <f t="shared" si="3"/>
        <v>0.94704481286378184</v>
      </c>
      <c r="G35" s="129">
        <f t="shared" si="4"/>
        <v>0.94972104923634282</v>
      </c>
      <c r="H35" s="130">
        <f t="shared" si="20"/>
        <v>0</v>
      </c>
      <c r="I35" s="129">
        <f t="shared" si="5"/>
        <v>0.65158795852435836</v>
      </c>
      <c r="J35" s="129">
        <f t="shared" si="6"/>
        <v>0.65158795852435836</v>
      </c>
      <c r="K35" s="134">
        <f t="shared" si="7"/>
        <v>81</v>
      </c>
      <c r="L35" s="127">
        <f>_xlfn.XLOOKUP(K35,'Data for Q3'!N:N,'Data for Q3'!O:O)</f>
        <v>2.913E-2</v>
      </c>
      <c r="M35" s="127">
        <f t="shared" si="8"/>
        <v>0.76606569938906521</v>
      </c>
      <c r="N35" s="127">
        <f t="shared" si="9"/>
        <v>0.77755822352885906</v>
      </c>
      <c r="O35" s="135">
        <f t="shared" si="10"/>
        <v>0</v>
      </c>
      <c r="P35" s="127">
        <f t="shared" si="11"/>
        <v>1</v>
      </c>
      <c r="Q35" s="127">
        <f t="shared" si="12"/>
        <v>1</v>
      </c>
      <c r="R35" s="126">
        <f t="shared" si="13"/>
        <v>93</v>
      </c>
      <c r="S35" s="124">
        <f>_xlfn.XLOOKUP(R35,'Data for Q3'!N:N,'Data for Q3'!O:O)</f>
        <v>0.14960999999999999</v>
      </c>
      <c r="T35" s="124">
        <f t="shared" si="14"/>
        <v>0.29890702113552819</v>
      </c>
      <c r="U35" s="124">
        <f t="shared" si="15"/>
        <v>0.3252005331900481</v>
      </c>
      <c r="V35" s="136">
        <f t="shared" si="16"/>
        <v>0</v>
      </c>
      <c r="W35" s="124">
        <f t="shared" si="17"/>
        <v>1</v>
      </c>
      <c r="X35" s="123">
        <f t="shared" si="18"/>
        <v>1</v>
      </c>
    </row>
    <row r="36" spans="1:24">
      <c r="A36" s="133">
        <f t="shared" si="1"/>
        <v>2048</v>
      </c>
      <c r="B36" s="27">
        <f>B35*(1+'Data for Q3'!$K$15)</f>
        <v>11824.748645219532</v>
      </c>
      <c r="C36" s="132">
        <f>1/(1+'Data for Q3'!$K$18)^(A36-$A$12-0.5)</f>
        <v>0.31772506107702925</v>
      </c>
      <c r="D36" s="131">
        <f t="shared" si="2"/>
        <v>66</v>
      </c>
      <c r="E36" s="129">
        <f>_xlfn.XLOOKUP(D36,'Data for Q3'!N:N,'Data for Q3'!O:O)</f>
        <v>6.1999999999999998E-3</v>
      </c>
      <c r="F36" s="129">
        <f t="shared" si="3"/>
        <v>0.94117313502402644</v>
      </c>
      <c r="G36" s="129">
        <f t="shared" si="4"/>
        <v>0.94410897394390414</v>
      </c>
      <c r="H36" s="130">
        <f t="shared" si="20"/>
        <v>0</v>
      </c>
      <c r="I36" s="129">
        <f t="shared" si="5"/>
        <v>0.65158795852435836</v>
      </c>
      <c r="J36" s="129">
        <f t="shared" si="6"/>
        <v>0.65158795852435836</v>
      </c>
      <c r="K36" s="134">
        <f t="shared" si="7"/>
        <v>82</v>
      </c>
      <c r="L36" s="127">
        <f>_xlfn.XLOOKUP(K36,'Data for Q3'!N:N,'Data for Q3'!O:O)</f>
        <v>3.32E-2</v>
      </c>
      <c r="M36" s="127">
        <f t="shared" si="8"/>
        <v>0.74063231816934827</v>
      </c>
      <c r="N36" s="127">
        <f t="shared" si="9"/>
        <v>0.75334900877920674</v>
      </c>
      <c r="O36" s="135">
        <f t="shared" si="10"/>
        <v>0</v>
      </c>
      <c r="P36" s="127">
        <f t="shared" si="11"/>
        <v>1</v>
      </c>
      <c r="Q36" s="127">
        <f t="shared" si="12"/>
        <v>1</v>
      </c>
      <c r="R36" s="126">
        <f t="shared" si="13"/>
        <v>94</v>
      </c>
      <c r="S36" s="124">
        <f>_xlfn.XLOOKUP(R36,'Data for Q3'!N:N,'Data for Q3'!O:O)</f>
        <v>0.16771</v>
      </c>
      <c r="T36" s="124">
        <f t="shared" si="14"/>
        <v>0.24877732462088875</v>
      </c>
      <c r="U36" s="124">
        <f t="shared" si="15"/>
        <v>0.2738421728782085</v>
      </c>
      <c r="V36" s="136">
        <f t="shared" si="16"/>
        <v>0</v>
      </c>
      <c r="W36" s="124">
        <f t="shared" si="17"/>
        <v>1</v>
      </c>
      <c r="X36" s="123">
        <f t="shared" si="18"/>
        <v>1</v>
      </c>
    </row>
    <row r="37" spans="1:24">
      <c r="A37" s="133">
        <f t="shared" si="1"/>
        <v>2049</v>
      </c>
      <c r="B37" s="27">
        <f>B36*(1+'Data for Q3'!$K$15)</f>
        <v>12415.986077480509</v>
      </c>
      <c r="C37" s="132">
        <f>1/(1+'Data for Q3'!$K$18)^(A37-$A$12-0.5)</f>
        <v>0.3025952962638373</v>
      </c>
      <c r="D37" s="131">
        <f t="shared" si="2"/>
        <v>67</v>
      </c>
      <c r="E37" s="129">
        <f>_xlfn.XLOOKUP(D37,'Data for Q3'!N:N,'Data for Q3'!O:O)</f>
        <v>6.8599999999999998E-3</v>
      </c>
      <c r="F37" s="129">
        <f t="shared" si="3"/>
        <v>0.9347166873177617</v>
      </c>
      <c r="G37" s="129">
        <f t="shared" si="4"/>
        <v>0.93794491117089396</v>
      </c>
      <c r="H37" s="130">
        <f t="shared" si="20"/>
        <v>0</v>
      </c>
      <c r="I37" s="129">
        <f t="shared" si="5"/>
        <v>0.65158795852435836</v>
      </c>
      <c r="J37" s="129">
        <f t="shared" si="6"/>
        <v>0.65158795852435836</v>
      </c>
      <c r="K37" s="134">
        <f t="shared" si="7"/>
        <v>83</v>
      </c>
      <c r="L37" s="127">
        <f>_xlfn.XLOOKUP(K37,'Data for Q3'!N:N,'Data for Q3'!O:O)</f>
        <v>3.805E-2</v>
      </c>
      <c r="M37" s="127">
        <f t="shared" si="8"/>
        <v>0.7124512584630045</v>
      </c>
      <c r="N37" s="127">
        <f t="shared" si="9"/>
        <v>0.72654178831617644</v>
      </c>
      <c r="O37" s="135">
        <f t="shared" si="10"/>
        <v>0</v>
      </c>
      <c r="P37" s="127">
        <f t="shared" si="11"/>
        <v>1</v>
      </c>
      <c r="Q37" s="127">
        <f t="shared" si="12"/>
        <v>1</v>
      </c>
      <c r="R37" s="126">
        <f t="shared" si="13"/>
        <v>95</v>
      </c>
      <c r="S37" s="124">
        <f>_xlfn.XLOOKUP(R37,'Data for Q3'!N:N,'Data for Q3'!O:O)</f>
        <v>0.18670999999999999</v>
      </c>
      <c r="T37" s="124">
        <f t="shared" si="14"/>
        <v>0.20232811034092263</v>
      </c>
      <c r="U37" s="124">
        <f t="shared" si="15"/>
        <v>0.22555271748090569</v>
      </c>
      <c r="V37" s="136">
        <f t="shared" si="16"/>
        <v>0</v>
      </c>
      <c r="W37" s="124">
        <f t="shared" si="17"/>
        <v>1</v>
      </c>
      <c r="X37" s="123">
        <f t="shared" si="18"/>
        <v>1</v>
      </c>
    </row>
    <row r="38" spans="1:24">
      <c r="A38" s="133">
        <f t="shared" si="1"/>
        <v>2050</v>
      </c>
      <c r="B38" s="27">
        <f>B37*(1+'Data for Q3'!$K$15)</f>
        <v>13036.785381354535</v>
      </c>
      <c r="C38" s="132">
        <f>1/(1+'Data for Q3'!$K$18)^(A38-$A$12-0.5)</f>
        <v>0.28818599644174986</v>
      </c>
      <c r="D38" s="131">
        <f t="shared" si="2"/>
        <v>68</v>
      </c>
      <c r="E38" s="129">
        <f>_xlfn.XLOOKUP(D38,'Data for Q3'!N:N,'Data for Q3'!O:O)</f>
        <v>7.6099999999999996E-3</v>
      </c>
      <c r="F38" s="129">
        <f t="shared" si="3"/>
        <v>0.92760349332727354</v>
      </c>
      <c r="G38" s="129">
        <f t="shared" si="4"/>
        <v>0.93116009032251768</v>
      </c>
      <c r="H38" s="130">
        <f t="shared" si="20"/>
        <v>0</v>
      </c>
      <c r="I38" s="129">
        <f t="shared" si="5"/>
        <v>0.65158795852435836</v>
      </c>
      <c r="J38" s="129">
        <f t="shared" si="6"/>
        <v>0.65158795852435836</v>
      </c>
      <c r="K38" s="134">
        <f t="shared" si="7"/>
        <v>84</v>
      </c>
      <c r="L38" s="127">
        <f>_xlfn.XLOOKUP(K38,'Data for Q3'!N:N,'Data for Q3'!O:O)</f>
        <v>4.3770000000000003E-2</v>
      </c>
      <c r="M38" s="127">
        <f t="shared" si="8"/>
        <v>0.68126726688007877</v>
      </c>
      <c r="N38" s="127">
        <f t="shared" si="9"/>
        <v>0.69685926267154163</v>
      </c>
      <c r="O38" s="135">
        <f t="shared" si="10"/>
        <v>0</v>
      </c>
      <c r="P38" s="127">
        <f t="shared" si="11"/>
        <v>1</v>
      </c>
      <c r="Q38" s="127">
        <f t="shared" si="12"/>
        <v>1</v>
      </c>
      <c r="R38" s="126">
        <f t="shared" si="13"/>
        <v>96</v>
      </c>
      <c r="S38" s="124">
        <f>_xlfn.XLOOKUP(R38,'Data for Q3'!N:N,'Data for Q3'!O:O)</f>
        <v>0.20644000000000001</v>
      </c>
      <c r="T38" s="124">
        <f t="shared" si="14"/>
        <v>0.16055949524214258</v>
      </c>
      <c r="U38" s="124">
        <f t="shared" si="15"/>
        <v>0.1814438027915326</v>
      </c>
      <c r="V38" s="136">
        <f t="shared" si="16"/>
        <v>0</v>
      </c>
      <c r="W38" s="124">
        <f t="shared" si="17"/>
        <v>1</v>
      </c>
      <c r="X38" s="123">
        <f t="shared" si="18"/>
        <v>1</v>
      </c>
    </row>
    <row r="39" spans="1:24">
      <c r="A39" s="133">
        <f t="shared" si="1"/>
        <v>2051</v>
      </c>
      <c r="B39" s="27">
        <f>B38*(1+'Data for Q3'!$K$15)</f>
        <v>13688.624650422262</v>
      </c>
      <c r="C39" s="132">
        <f>1/(1+'Data for Q3'!$K$18)^(A39-$A$12-0.5)</f>
        <v>0.27446285375404744</v>
      </c>
      <c r="D39" s="131">
        <f t="shared" si="2"/>
        <v>69</v>
      </c>
      <c r="E39" s="129">
        <f>_xlfn.XLOOKUP(D39,'Data for Q3'!N:N,'Data for Q3'!O:O)</f>
        <v>8.4399999999999996E-3</v>
      </c>
      <c r="F39" s="129">
        <f t="shared" si="3"/>
        <v>0.91977451984359138</v>
      </c>
      <c r="G39" s="129">
        <f t="shared" si="4"/>
        <v>0.9236890065854324</v>
      </c>
      <c r="H39" s="130">
        <f t="shared" si="20"/>
        <v>0</v>
      </c>
      <c r="I39" s="129">
        <f t="shared" si="5"/>
        <v>0.65158795852435836</v>
      </c>
      <c r="J39" s="129">
        <f t="shared" si="6"/>
        <v>0.65158795852435836</v>
      </c>
      <c r="K39" s="134">
        <f t="shared" si="7"/>
        <v>85</v>
      </c>
      <c r="L39" s="127">
        <f>_xlfn.XLOOKUP(K39,'Data for Q3'!N:N,'Data for Q3'!O:O)</f>
        <v>5.0500000000000003E-2</v>
      </c>
      <c r="M39" s="127">
        <f t="shared" si="8"/>
        <v>0.64686326990263476</v>
      </c>
      <c r="N39" s="127">
        <f t="shared" si="9"/>
        <v>0.66406526839135682</v>
      </c>
      <c r="O39" s="135">
        <f t="shared" si="10"/>
        <v>0</v>
      </c>
      <c r="P39" s="127">
        <f t="shared" si="11"/>
        <v>1</v>
      </c>
      <c r="Q39" s="127">
        <f t="shared" si="12"/>
        <v>1</v>
      </c>
      <c r="R39" s="126">
        <f t="shared" si="13"/>
        <v>97</v>
      </c>
      <c r="S39" s="124">
        <f>_xlfn.XLOOKUP(R39,'Data for Q3'!N:N,'Data for Q3'!O:O)</f>
        <v>0.22670000000000001</v>
      </c>
      <c r="T39" s="124">
        <f t="shared" si="14"/>
        <v>0.12416065767074885</v>
      </c>
      <c r="U39" s="124">
        <f t="shared" si="15"/>
        <v>0.14236007645644572</v>
      </c>
      <c r="V39" s="136">
        <f t="shared" si="16"/>
        <v>0</v>
      </c>
      <c r="W39" s="124">
        <f t="shared" si="17"/>
        <v>1</v>
      </c>
      <c r="X39" s="123">
        <f t="shared" si="18"/>
        <v>1</v>
      </c>
    </row>
    <row r="40" spans="1:24">
      <c r="A40" s="133">
        <f t="shared" si="1"/>
        <v>2052</v>
      </c>
      <c r="B40" s="27">
        <f>B39*(1+'Data for Q3'!$K$15)</f>
        <v>14373.055882943376</v>
      </c>
      <c r="C40" s="132">
        <f>1/(1+'Data for Q3'!$K$18)^(A40-$A$12-0.5)</f>
        <v>0.26139319405147377</v>
      </c>
      <c r="D40" s="131">
        <f t="shared" si="2"/>
        <v>70</v>
      </c>
      <c r="E40" s="129">
        <f>_xlfn.XLOOKUP(D40,'Data for Q3'!N:N,'Data for Q3'!O:O)</f>
        <v>9.3399999999999993E-3</v>
      </c>
      <c r="F40" s="129">
        <f t="shared" si="3"/>
        <v>0.91118382582825219</v>
      </c>
      <c r="G40" s="129">
        <f t="shared" si="4"/>
        <v>0.91547917283592184</v>
      </c>
      <c r="H40" s="130">
        <f t="shared" si="20"/>
        <v>0</v>
      </c>
      <c r="I40" s="129">
        <f t="shared" si="5"/>
        <v>0.65158795852435836</v>
      </c>
      <c r="J40" s="129">
        <f t="shared" si="6"/>
        <v>0.65158795852435836</v>
      </c>
      <c r="K40" s="134">
        <f t="shared" si="7"/>
        <v>86</v>
      </c>
      <c r="L40" s="127">
        <f>_xlfn.XLOOKUP(K40,'Data for Q3'!N:N,'Data for Q3'!O:O)</f>
        <v>5.8319999999999997E-2</v>
      </c>
      <c r="M40" s="127">
        <f t="shared" si="8"/>
        <v>0.6091382040019131</v>
      </c>
      <c r="N40" s="127">
        <f t="shared" si="9"/>
        <v>0.62800073695227399</v>
      </c>
      <c r="O40" s="135">
        <f t="shared" si="10"/>
        <v>0</v>
      </c>
      <c r="P40" s="127">
        <f t="shared" si="11"/>
        <v>1</v>
      </c>
      <c r="Q40" s="127">
        <f t="shared" si="12"/>
        <v>1</v>
      </c>
      <c r="R40" s="126">
        <f t="shared" si="13"/>
        <v>98</v>
      </c>
      <c r="S40" s="124">
        <f>_xlfn.XLOOKUP(R40,'Data for Q3'!N:N,'Data for Q3'!O:O)</f>
        <v>0.24728</v>
      </c>
      <c r="T40" s="124">
        <f t="shared" si="14"/>
        <v>9.345821024192609E-2</v>
      </c>
      <c r="U40" s="124">
        <f t="shared" si="15"/>
        <v>0.10880943395633746</v>
      </c>
      <c r="V40" s="136">
        <f t="shared" si="16"/>
        <v>0</v>
      </c>
      <c r="W40" s="124">
        <f t="shared" si="17"/>
        <v>1</v>
      </c>
      <c r="X40" s="123">
        <f t="shared" si="18"/>
        <v>1</v>
      </c>
    </row>
    <row r="41" spans="1:24">
      <c r="A41" s="133">
        <f t="shared" si="1"/>
        <v>2053</v>
      </c>
      <c r="B41" s="27">
        <f>B40*(1+'Data for Q3'!$K$15)</f>
        <v>15091.708677090544</v>
      </c>
      <c r="C41" s="132">
        <f>1/(1+'Data for Q3'!$K$18)^(A41-$A$12-0.5)</f>
        <v>0.24894589909664167</v>
      </c>
      <c r="D41" s="131">
        <f t="shared" si="2"/>
        <v>71</v>
      </c>
      <c r="E41" s="129">
        <f>_xlfn.XLOOKUP(D41,'Data for Q3'!N:N,'Data for Q3'!O:O)</f>
        <v>1.031E-2</v>
      </c>
      <c r="F41" s="129">
        <f t="shared" si="3"/>
        <v>0.90178952058396289</v>
      </c>
      <c r="G41" s="129">
        <f t="shared" si="4"/>
        <v>0.90648667320610754</v>
      </c>
      <c r="H41" s="130">
        <f t="shared" si="20"/>
        <v>0</v>
      </c>
      <c r="I41" s="129">
        <f t="shared" si="5"/>
        <v>0.65158795852435836</v>
      </c>
      <c r="J41" s="129">
        <f t="shared" si="6"/>
        <v>0.65158795852435836</v>
      </c>
      <c r="K41" s="134">
        <f t="shared" si="7"/>
        <v>87</v>
      </c>
      <c r="L41" s="127">
        <f>_xlfn.XLOOKUP(K41,'Data for Q3'!N:N,'Data for Q3'!O:O)</f>
        <v>6.7339999999999997E-2</v>
      </c>
      <c r="M41" s="127">
        <f t="shared" si="8"/>
        <v>0.56811883734442425</v>
      </c>
      <c r="N41" s="127">
        <f t="shared" si="9"/>
        <v>0.58862852067316873</v>
      </c>
      <c r="O41" s="135">
        <f t="shared" si="10"/>
        <v>0</v>
      </c>
      <c r="P41" s="127">
        <f t="shared" si="11"/>
        <v>1</v>
      </c>
      <c r="Q41" s="127">
        <f t="shared" si="12"/>
        <v>1</v>
      </c>
      <c r="R41" s="126">
        <f t="shared" si="13"/>
        <v>99</v>
      </c>
      <c r="S41" s="124">
        <f>_xlfn.XLOOKUP(R41,'Data for Q3'!N:N,'Data for Q3'!O:O)</f>
        <v>0.26871</v>
      </c>
      <c r="T41" s="124">
        <f t="shared" si="14"/>
        <v>6.8345054567818128E-2</v>
      </c>
      <c r="U41" s="124">
        <f t="shared" si="15"/>
        <v>8.0901632404872109E-2</v>
      </c>
      <c r="V41" s="136">
        <f t="shared" si="16"/>
        <v>0</v>
      </c>
      <c r="W41" s="124">
        <f t="shared" si="17"/>
        <v>1</v>
      </c>
      <c r="X41" s="123">
        <f t="shared" si="18"/>
        <v>1</v>
      </c>
    </row>
    <row r="42" spans="1:24">
      <c r="A42" s="133">
        <f t="shared" si="1"/>
        <v>2054</v>
      </c>
      <c r="B42" s="27">
        <f>B41*(1+'Data for Q3'!$K$15)</f>
        <v>15846.294110945073</v>
      </c>
      <c r="C42" s="132">
        <f>1/(1+'Data for Q3'!$K$18)^(A42-$A$12-0.5)</f>
        <v>0.23709133247299205</v>
      </c>
      <c r="D42" s="131">
        <f t="shared" si="2"/>
        <v>72</v>
      </c>
      <c r="E42" s="129">
        <f>_xlfn.XLOOKUP(D42,'Data for Q3'!N:N,'Data for Q3'!O:O)</f>
        <v>1.1339999999999999E-2</v>
      </c>
      <c r="F42" s="129">
        <f t="shared" si="3"/>
        <v>0.89156322742054073</v>
      </c>
      <c r="G42" s="129">
        <f t="shared" si="4"/>
        <v>0.89667637400225186</v>
      </c>
      <c r="H42" s="130">
        <f t="shared" si="20"/>
        <v>0</v>
      </c>
      <c r="I42" s="129">
        <f t="shared" si="5"/>
        <v>0.65158795852435836</v>
      </c>
      <c r="J42" s="129">
        <f t="shared" si="6"/>
        <v>0.65158795852435836</v>
      </c>
      <c r="K42" s="134">
        <f t="shared" si="7"/>
        <v>88</v>
      </c>
      <c r="L42" s="127">
        <f>_xlfn.XLOOKUP(K42,'Data for Q3'!N:N,'Data for Q3'!O:O)</f>
        <v>7.7649999999999997E-2</v>
      </c>
      <c r="M42" s="127">
        <f t="shared" si="8"/>
        <v>0.52400440962462969</v>
      </c>
      <c r="N42" s="127">
        <f t="shared" si="9"/>
        <v>0.54606162348452703</v>
      </c>
      <c r="O42" s="135">
        <f t="shared" si="10"/>
        <v>0</v>
      </c>
      <c r="P42" s="127">
        <f t="shared" si="11"/>
        <v>1</v>
      </c>
      <c r="Q42" s="127">
        <f t="shared" si="12"/>
        <v>1</v>
      </c>
      <c r="R42" s="126">
        <f t="shared" si="13"/>
        <v>100</v>
      </c>
      <c r="S42" s="124">
        <f>_xlfn.XLOOKUP(R42,'Data for Q3'!N:N,'Data for Q3'!O:O)</f>
        <v>0.29127999999999998</v>
      </c>
      <c r="T42" s="124">
        <f t="shared" si="14"/>
        <v>4.8437507073304062E-2</v>
      </c>
      <c r="U42" s="124">
        <f t="shared" si="15"/>
        <v>5.8391280820561095E-2</v>
      </c>
      <c r="V42" s="136">
        <f t="shared" si="16"/>
        <v>0</v>
      </c>
      <c r="W42" s="124">
        <f t="shared" si="17"/>
        <v>1</v>
      </c>
      <c r="X42" s="123">
        <f t="shared" si="18"/>
        <v>1</v>
      </c>
    </row>
    <row r="43" spans="1:24">
      <c r="A43" s="133">
        <f t="shared" si="1"/>
        <v>2055</v>
      </c>
      <c r="B43" s="27">
        <f>B42*(1+'Data for Q3'!$K$15)</f>
        <v>16638.608816492328</v>
      </c>
      <c r="C43" s="132">
        <f>1/(1+'Data for Q3'!$K$18)^(A43-$A$12-0.5)</f>
        <v>0.22580126902189715</v>
      </c>
      <c r="D43" s="131">
        <f t="shared" si="2"/>
        <v>73</v>
      </c>
      <c r="E43" s="129">
        <f>_xlfn.XLOOKUP(D43,'Data for Q3'!N:N,'Data for Q3'!O:O)</f>
        <v>1.244E-2</v>
      </c>
      <c r="F43" s="129">
        <f t="shared" si="3"/>
        <v>0.8804721808714292</v>
      </c>
      <c r="G43" s="129">
        <f t="shared" si="4"/>
        <v>0.88601770414598491</v>
      </c>
      <c r="H43" s="130">
        <f t="shared" si="20"/>
        <v>0</v>
      </c>
      <c r="I43" s="129">
        <f t="shared" si="5"/>
        <v>0.65158795852435836</v>
      </c>
      <c r="J43" s="129">
        <f t="shared" si="6"/>
        <v>0.65158795852435836</v>
      </c>
      <c r="K43" s="134">
        <f t="shared" si="7"/>
        <v>89</v>
      </c>
      <c r="L43" s="127">
        <f>_xlfn.XLOOKUP(K43,'Data for Q3'!N:N,'Data for Q3'!O:O)</f>
        <v>8.9319999999999997E-2</v>
      </c>
      <c r="M43" s="127">
        <f t="shared" si="8"/>
        <v>0.47720033575695781</v>
      </c>
      <c r="N43" s="127">
        <f t="shared" si="9"/>
        <v>0.50060237269079366</v>
      </c>
      <c r="O43" s="135">
        <f t="shared" si="10"/>
        <v>0</v>
      </c>
      <c r="P43" s="127">
        <f t="shared" si="11"/>
        <v>1</v>
      </c>
      <c r="Q43" s="127">
        <f t="shared" si="12"/>
        <v>1</v>
      </c>
      <c r="R43" s="126">
        <f t="shared" si="13"/>
        <v>101</v>
      </c>
      <c r="S43" s="124">
        <f>_xlfn.XLOOKUP(R43,'Data for Q3'!N:N,'Data for Q3'!O:O)</f>
        <v>0.31508000000000003</v>
      </c>
      <c r="T43" s="124">
        <f t="shared" si="14"/>
        <v>3.3175817344647418E-2</v>
      </c>
      <c r="U43" s="124">
        <f t="shared" si="15"/>
        <v>4.080666220897574E-2</v>
      </c>
      <c r="V43" s="136">
        <f t="shared" si="16"/>
        <v>0</v>
      </c>
      <c r="W43" s="124">
        <f t="shared" si="17"/>
        <v>1</v>
      </c>
      <c r="X43" s="123">
        <f t="shared" si="18"/>
        <v>1</v>
      </c>
    </row>
    <row r="44" spans="1:24">
      <c r="A44" s="133">
        <f t="shared" si="1"/>
        <v>2056</v>
      </c>
      <c r="B44" s="27">
        <f>B43*(1+'Data for Q3'!$K$15)</f>
        <v>17470.539257316945</v>
      </c>
      <c r="C44" s="132">
        <f>1/(1+'Data for Q3'!$K$18)^(A44-$A$12-0.5)</f>
        <v>0.21504882763990207</v>
      </c>
      <c r="D44" s="131">
        <f t="shared" si="2"/>
        <v>74</v>
      </c>
      <c r="E44" s="129">
        <f>_xlfn.XLOOKUP(D44,'Data for Q3'!N:N,'Data for Q3'!O:O)</f>
        <v>1.366E-2</v>
      </c>
      <c r="F44" s="129">
        <f t="shared" si="3"/>
        <v>0.8684449308807255</v>
      </c>
      <c r="G44" s="129">
        <f t="shared" si="4"/>
        <v>0.87445855587607735</v>
      </c>
      <c r="H44" s="130">
        <f t="shared" si="20"/>
        <v>0</v>
      </c>
      <c r="I44" s="129">
        <f t="shared" si="5"/>
        <v>0.65158795852435836</v>
      </c>
      <c r="J44" s="129">
        <f t="shared" si="6"/>
        <v>0.65158795852435836</v>
      </c>
      <c r="K44" s="134">
        <f t="shared" si="7"/>
        <v>90</v>
      </c>
      <c r="L44" s="127">
        <f>_xlfn.XLOOKUP(K44,'Data for Q3'!N:N,'Data for Q3'!O:O)</f>
        <v>0.10238</v>
      </c>
      <c r="M44" s="127">
        <f t="shared" si="8"/>
        <v>0.42834456538216042</v>
      </c>
      <c r="N44" s="127">
        <f t="shared" si="9"/>
        <v>0.45277245056955917</v>
      </c>
      <c r="O44" s="135">
        <f t="shared" si="10"/>
        <v>0</v>
      </c>
      <c r="P44" s="127">
        <f t="shared" si="11"/>
        <v>1</v>
      </c>
      <c r="Q44" s="127">
        <f t="shared" si="12"/>
        <v>1</v>
      </c>
      <c r="R44" s="126">
        <f t="shared" si="13"/>
        <v>102</v>
      </c>
      <c r="S44" s="124">
        <f>_xlfn.XLOOKUP(R44,'Data for Q3'!N:N,'Data for Q3'!O:O)</f>
        <v>0.33994999999999997</v>
      </c>
      <c r="T44" s="124">
        <f t="shared" si="14"/>
        <v>2.1897698238334529E-2</v>
      </c>
      <c r="U44" s="124">
        <f t="shared" si="15"/>
        <v>2.7536757791490972E-2</v>
      </c>
      <c r="V44" s="136">
        <f t="shared" si="16"/>
        <v>0</v>
      </c>
      <c r="W44" s="124">
        <f t="shared" si="17"/>
        <v>1</v>
      </c>
      <c r="X44" s="123">
        <f t="shared" si="18"/>
        <v>1</v>
      </c>
    </row>
    <row r="45" spans="1:24">
      <c r="A45" s="133">
        <f t="shared" ref="A45:A76" si="21">A44+1</f>
        <v>2057</v>
      </c>
      <c r="B45" s="27">
        <f>B44*(1+'Data for Q3'!$K$15)</f>
        <v>18344.066220182794</v>
      </c>
      <c r="C45" s="132">
        <f>1/(1+'Data for Q3'!$K$18)^(A45-$A$12-0.5)</f>
        <v>0.20480840727609717</v>
      </c>
      <c r="D45" s="131">
        <f t="shared" ref="D45:D76" si="22">D44+1</f>
        <v>75</v>
      </c>
      <c r="E45" s="129">
        <f>_xlfn.XLOOKUP(D45,'Data for Q3'!N:N,'Data for Q3'!O:O)</f>
        <v>1.502E-2</v>
      </c>
      <c r="F45" s="129">
        <f t="shared" ref="F45:F76" si="23">(1-E45)*F44</f>
        <v>0.85540088801889702</v>
      </c>
      <c r="G45" s="129">
        <f t="shared" ref="G45:G76" si="24">(1-E45/2)*F44</f>
        <v>0.8619229094498112</v>
      </c>
      <c r="H45" s="130">
        <f t="shared" si="20"/>
        <v>0</v>
      </c>
      <c r="I45" s="129">
        <f t="shared" ref="I45:I76" si="25">(1-H45)*I44</f>
        <v>0.65158795852435836</v>
      </c>
      <c r="J45" s="129">
        <f t="shared" ref="J45:J76" si="26">(1-H45/2)*I44</f>
        <v>0.65158795852435836</v>
      </c>
      <c r="K45" s="134">
        <f t="shared" ref="K45:K69" si="27">K44+1</f>
        <v>91</v>
      </c>
      <c r="L45" s="127">
        <f>_xlfn.XLOOKUP(K45,'Data for Q3'!N:N,'Data for Q3'!O:O)</f>
        <v>0.11683</v>
      </c>
      <c r="M45" s="127">
        <f t="shared" ref="M45:M69" si="28">(1-L45)*M44</f>
        <v>0.37830106980856265</v>
      </c>
      <c r="N45" s="127">
        <f t="shared" ref="N45:N69" si="29">(1-L45/2)*M44</f>
        <v>0.40332281759536154</v>
      </c>
      <c r="O45" s="135">
        <f t="shared" ref="O45:O69" si="30">O44</f>
        <v>0</v>
      </c>
      <c r="P45" s="127">
        <f t="shared" ref="P45:P69" si="31">(1-O45)*P44</f>
        <v>1</v>
      </c>
      <c r="Q45" s="127">
        <f t="shared" ref="Q45:Q69" si="32">(1-O45/2)*P44</f>
        <v>1</v>
      </c>
      <c r="R45" s="126">
        <f t="shared" si="13"/>
        <v>103</v>
      </c>
      <c r="S45" s="124">
        <f>_xlfn.XLOOKUP(R45,'Data for Q3'!N:N,'Data for Q3'!O:O)</f>
        <v>0.36552000000000001</v>
      </c>
      <c r="T45" s="124">
        <f t="shared" si="14"/>
        <v>1.3893651578258491E-2</v>
      </c>
      <c r="U45" s="124">
        <f t="shared" si="15"/>
        <v>1.7895674908296511E-2</v>
      </c>
      <c r="V45" s="136">
        <f t="shared" si="16"/>
        <v>0</v>
      </c>
      <c r="W45" s="124">
        <f t="shared" si="17"/>
        <v>1</v>
      </c>
      <c r="X45" s="123">
        <f t="shared" si="18"/>
        <v>1</v>
      </c>
    </row>
    <row r="46" spans="1:24">
      <c r="A46" s="133">
        <f t="shared" si="21"/>
        <v>2058</v>
      </c>
      <c r="B46" s="27">
        <f>B45*(1+'Data for Q3'!$K$15)</f>
        <v>19261.269531191934</v>
      </c>
      <c r="C46" s="132">
        <f>1/(1+'Data for Q3'!$K$18)^(A46-$A$12-0.5)</f>
        <v>0.19505562597723539</v>
      </c>
      <c r="D46" s="131">
        <f t="shared" si="22"/>
        <v>76</v>
      </c>
      <c r="E46" s="129">
        <f>_xlfn.XLOOKUP(D46,'Data for Q3'!N:N,'Data for Q3'!O:O)</f>
        <v>1.6559999999999998E-2</v>
      </c>
      <c r="F46" s="129">
        <f t="shared" si="23"/>
        <v>0.84123544931330407</v>
      </c>
      <c r="G46" s="129">
        <f t="shared" si="24"/>
        <v>0.84831816866610055</v>
      </c>
      <c r="H46" s="130">
        <f t="shared" si="20"/>
        <v>0</v>
      </c>
      <c r="I46" s="129">
        <f t="shared" si="25"/>
        <v>0.65158795852435836</v>
      </c>
      <c r="J46" s="129">
        <f t="shared" si="26"/>
        <v>0.65158795852435836</v>
      </c>
      <c r="K46" s="134">
        <f t="shared" si="27"/>
        <v>92</v>
      </c>
      <c r="L46" s="127">
        <f>_xlfn.XLOOKUP(K46,'Data for Q3'!N:N,'Data for Q3'!O:O)</f>
        <v>0.13261000000000001</v>
      </c>
      <c r="M46" s="127">
        <f t="shared" si="28"/>
        <v>0.32813456494124915</v>
      </c>
      <c r="N46" s="127">
        <f t="shared" si="29"/>
        <v>0.35321781737490587</v>
      </c>
      <c r="O46" s="135">
        <f t="shared" si="30"/>
        <v>0</v>
      </c>
      <c r="P46" s="127">
        <f t="shared" si="31"/>
        <v>1</v>
      </c>
      <c r="Q46" s="127">
        <f t="shared" si="32"/>
        <v>1</v>
      </c>
      <c r="R46" s="126">
        <f t="shared" si="13"/>
        <v>104</v>
      </c>
      <c r="S46" s="124">
        <f>_xlfn.XLOOKUP(R46,'Data for Q3'!N:N,'Data for Q3'!O:O)</f>
        <v>0.39119999999999999</v>
      </c>
      <c r="T46" s="124">
        <f t="shared" si="14"/>
        <v>8.4584550808437693E-3</v>
      </c>
      <c r="U46" s="124">
        <f t="shared" si="15"/>
        <v>1.1176053329551131E-2</v>
      </c>
      <c r="V46" s="136">
        <f t="shared" si="16"/>
        <v>0</v>
      </c>
      <c r="W46" s="124">
        <f t="shared" si="17"/>
        <v>1</v>
      </c>
      <c r="X46" s="123">
        <f t="shared" si="18"/>
        <v>1</v>
      </c>
    </row>
    <row r="47" spans="1:24">
      <c r="A47" s="133">
        <f t="shared" si="21"/>
        <v>2059</v>
      </c>
      <c r="B47" s="27">
        <f>B46*(1+'Data for Q3'!$K$15)</f>
        <v>20224.333007751531</v>
      </c>
      <c r="C47" s="132">
        <f>1/(1+'Data for Q3'!$K$18)^(A47-$A$12-0.5)</f>
        <v>0.18576726283546227</v>
      </c>
      <c r="D47" s="131">
        <f t="shared" si="22"/>
        <v>77</v>
      </c>
      <c r="E47" s="129">
        <f>_xlfn.XLOOKUP(D47,'Data for Q3'!N:N,'Data for Q3'!O:O)</f>
        <v>1.8339999999999999E-2</v>
      </c>
      <c r="F47" s="129">
        <f t="shared" si="23"/>
        <v>0.82580719117289803</v>
      </c>
      <c r="G47" s="129">
        <f t="shared" si="24"/>
        <v>0.8335213202431011</v>
      </c>
      <c r="H47" s="130">
        <f t="shared" si="20"/>
        <v>0</v>
      </c>
      <c r="I47" s="129">
        <f t="shared" si="25"/>
        <v>0.65158795852435836</v>
      </c>
      <c r="J47" s="129">
        <f t="shared" si="26"/>
        <v>0.65158795852435836</v>
      </c>
      <c r="K47" s="134">
        <f t="shared" si="27"/>
        <v>93</v>
      </c>
      <c r="L47" s="127">
        <f>_xlfn.XLOOKUP(K47,'Data for Q3'!N:N,'Data for Q3'!O:O)</f>
        <v>0.14960999999999999</v>
      </c>
      <c r="M47" s="127">
        <f t="shared" si="28"/>
        <v>0.27904235268038885</v>
      </c>
      <c r="N47" s="127">
        <f t="shared" si="29"/>
        <v>0.30358845881081903</v>
      </c>
      <c r="O47" s="135">
        <f t="shared" si="30"/>
        <v>0</v>
      </c>
      <c r="P47" s="127">
        <f t="shared" si="31"/>
        <v>1</v>
      </c>
      <c r="Q47" s="127">
        <f t="shared" si="32"/>
        <v>1</v>
      </c>
      <c r="R47" s="126">
        <f t="shared" si="13"/>
        <v>105</v>
      </c>
      <c r="S47" s="124">
        <f>_xlfn.XLOOKUP(R47,'Data for Q3'!N:N,'Data for Q3'!O:O)</f>
        <v>0.41615999999999997</v>
      </c>
      <c r="T47" s="124">
        <f t="shared" si="14"/>
        <v>4.9383844143998266E-3</v>
      </c>
      <c r="U47" s="124">
        <f t="shared" si="15"/>
        <v>6.6984197476217975E-3</v>
      </c>
      <c r="V47" s="136">
        <f t="shared" si="16"/>
        <v>0</v>
      </c>
      <c r="W47" s="124">
        <f t="shared" si="17"/>
        <v>1</v>
      </c>
      <c r="X47" s="123">
        <f t="shared" si="18"/>
        <v>1</v>
      </c>
    </row>
    <row r="48" spans="1:24">
      <c r="A48" s="133">
        <f t="shared" si="21"/>
        <v>2060</v>
      </c>
      <c r="B48" s="27">
        <f>B47*(1+'Data for Q3'!$K$15)</f>
        <v>21235.549658139109</v>
      </c>
      <c r="C48" s="132">
        <f>1/(1+'Data for Q3'!$K$18)^(A48-$A$12-0.5)</f>
        <v>0.17692120270044026</v>
      </c>
      <c r="D48" s="131">
        <f t="shared" si="22"/>
        <v>78</v>
      </c>
      <c r="E48" s="129">
        <f>_xlfn.XLOOKUP(D48,'Data for Q3'!N:N,'Data for Q3'!O:O)</f>
        <v>2.0410000000000001E-2</v>
      </c>
      <c r="F48" s="129">
        <f t="shared" si="23"/>
        <v>0.80895246640105911</v>
      </c>
      <c r="G48" s="129">
        <f t="shared" si="24"/>
        <v>0.81737982878697857</v>
      </c>
      <c r="H48" s="130">
        <f t="shared" si="20"/>
        <v>0</v>
      </c>
      <c r="I48" s="129">
        <f t="shared" si="25"/>
        <v>0.65158795852435836</v>
      </c>
      <c r="J48" s="129">
        <f t="shared" si="26"/>
        <v>0.65158795852435836</v>
      </c>
      <c r="K48" s="134">
        <f t="shared" si="27"/>
        <v>94</v>
      </c>
      <c r="L48" s="127">
        <f>_xlfn.XLOOKUP(K48,'Data for Q3'!N:N,'Data for Q3'!O:O)</f>
        <v>0.16771</v>
      </c>
      <c r="M48" s="127">
        <f t="shared" si="28"/>
        <v>0.23224415971236084</v>
      </c>
      <c r="N48" s="127">
        <f t="shared" si="29"/>
        <v>0.25564325619637485</v>
      </c>
      <c r="O48" s="135">
        <f t="shared" si="30"/>
        <v>0</v>
      </c>
      <c r="P48" s="127">
        <f t="shared" si="31"/>
        <v>1</v>
      </c>
      <c r="Q48" s="127">
        <f t="shared" si="32"/>
        <v>1</v>
      </c>
      <c r="R48" s="126">
        <f t="shared" si="13"/>
        <v>106</v>
      </c>
      <c r="S48" s="124">
        <f>_xlfn.XLOOKUP(R48,'Data for Q3'!N:N,'Data for Q3'!O:O)</f>
        <v>0.43936999999999998</v>
      </c>
      <c r="T48" s="124">
        <f t="shared" si="14"/>
        <v>2.7686064542449748E-3</v>
      </c>
      <c r="U48" s="124">
        <f t="shared" si="15"/>
        <v>3.8534954343224007E-3</v>
      </c>
      <c r="V48" s="136">
        <f t="shared" si="16"/>
        <v>0</v>
      </c>
      <c r="W48" s="124">
        <f t="shared" si="17"/>
        <v>1</v>
      </c>
      <c r="X48" s="123">
        <f t="shared" si="18"/>
        <v>1</v>
      </c>
    </row>
    <row r="49" spans="1:24">
      <c r="A49" s="133">
        <f t="shared" si="21"/>
        <v>2061</v>
      </c>
      <c r="B49" s="27">
        <f>B48*(1+'Data for Q3'!$K$15)</f>
        <v>22297.327141046066</v>
      </c>
      <c r="C49" s="132">
        <f>1/(1+'Data for Q3'!$K$18)^(A49-$A$12-0.5)</f>
        <v>0.1684963835242288</v>
      </c>
      <c r="D49" s="131">
        <f t="shared" si="22"/>
        <v>79</v>
      </c>
      <c r="E49" s="129">
        <f>_xlfn.XLOOKUP(D49,'Data for Q3'!N:N,'Data for Q3'!O:O)</f>
        <v>2.2839999999999999E-2</v>
      </c>
      <c r="F49" s="129">
        <f t="shared" si="23"/>
        <v>0.79047599206845898</v>
      </c>
      <c r="G49" s="129">
        <f t="shared" si="24"/>
        <v>0.79971422923475899</v>
      </c>
      <c r="H49" s="130">
        <f t="shared" si="20"/>
        <v>0</v>
      </c>
      <c r="I49" s="129">
        <f t="shared" si="25"/>
        <v>0.65158795852435836</v>
      </c>
      <c r="J49" s="129">
        <f t="shared" si="26"/>
        <v>0.65158795852435836</v>
      </c>
      <c r="K49" s="134">
        <f t="shared" si="27"/>
        <v>95</v>
      </c>
      <c r="L49" s="127">
        <f>_xlfn.XLOOKUP(K49,'Data for Q3'!N:N,'Data for Q3'!O:O)</f>
        <v>0.18670999999999999</v>
      </c>
      <c r="M49" s="127">
        <f t="shared" si="28"/>
        <v>0.18888185265246596</v>
      </c>
      <c r="N49" s="127">
        <f t="shared" si="29"/>
        <v>0.21056300618241341</v>
      </c>
      <c r="O49" s="135">
        <f t="shared" si="30"/>
        <v>0</v>
      </c>
      <c r="P49" s="127">
        <f t="shared" si="31"/>
        <v>1</v>
      </c>
      <c r="Q49" s="127">
        <f t="shared" si="32"/>
        <v>1</v>
      </c>
      <c r="R49" s="126">
        <f t="shared" si="13"/>
        <v>107</v>
      </c>
      <c r="S49" s="124">
        <f>_xlfn.XLOOKUP(R49,'Data for Q3'!N:N,'Data for Q3'!O:O)</f>
        <v>0.45956000000000002</v>
      </c>
      <c r="T49" s="124">
        <f t="shared" si="14"/>
        <v>1.4962656721321543E-3</v>
      </c>
      <c r="U49" s="124">
        <f t="shared" si="15"/>
        <v>2.1324360631885643E-3</v>
      </c>
      <c r="V49" s="136">
        <f t="shared" si="16"/>
        <v>0</v>
      </c>
      <c r="W49" s="124">
        <f t="shared" si="17"/>
        <v>1</v>
      </c>
      <c r="X49" s="123">
        <f t="shared" si="18"/>
        <v>1</v>
      </c>
    </row>
    <row r="50" spans="1:24">
      <c r="A50" s="133">
        <f t="shared" si="21"/>
        <v>2062</v>
      </c>
      <c r="B50" s="27">
        <f>B49*(1+'Data for Q3'!$K$15)</f>
        <v>23412.193498098371</v>
      </c>
      <c r="C50" s="132">
        <f>1/(1+'Data for Q3'!$K$18)^(A50-$A$12-0.5)</f>
        <v>0.16047274621355123</v>
      </c>
      <c r="D50" s="131">
        <f t="shared" si="22"/>
        <v>80</v>
      </c>
      <c r="E50" s="129">
        <f>_xlfn.XLOOKUP(D50,'Data for Q3'!N:N,'Data for Q3'!O:O)</f>
        <v>2.571E-2</v>
      </c>
      <c r="F50" s="129">
        <f t="shared" si="23"/>
        <v>0.7701528543123789</v>
      </c>
      <c r="G50" s="129">
        <f t="shared" si="24"/>
        <v>0.78031442319041899</v>
      </c>
      <c r="H50" s="130">
        <f t="shared" si="20"/>
        <v>0</v>
      </c>
      <c r="I50" s="129">
        <f t="shared" si="25"/>
        <v>0.65158795852435836</v>
      </c>
      <c r="J50" s="129">
        <f t="shared" si="26"/>
        <v>0.65158795852435836</v>
      </c>
      <c r="K50" s="134">
        <f t="shared" si="27"/>
        <v>96</v>
      </c>
      <c r="L50" s="127">
        <f>_xlfn.XLOOKUP(K50,'Data for Q3'!N:N,'Data for Q3'!O:O)</f>
        <v>0.20644000000000001</v>
      </c>
      <c r="M50" s="127">
        <f t="shared" si="28"/>
        <v>0.1498890829908909</v>
      </c>
      <c r="N50" s="127">
        <f t="shared" si="29"/>
        <v>0.16938546782167843</v>
      </c>
      <c r="O50" s="135">
        <f t="shared" si="30"/>
        <v>0</v>
      </c>
      <c r="P50" s="127">
        <f t="shared" si="31"/>
        <v>1</v>
      </c>
      <c r="Q50" s="127">
        <f t="shared" si="32"/>
        <v>1</v>
      </c>
      <c r="R50" s="126">
        <f t="shared" si="13"/>
        <v>108</v>
      </c>
      <c r="S50" s="124">
        <f>_xlfn.XLOOKUP(R50,'Data for Q3'!N:N,'Data for Q3'!O:O)</f>
        <v>0.47972999999999999</v>
      </c>
      <c r="T50" s="124">
        <f t="shared" si="14"/>
        <v>7.7846214124019592E-4</v>
      </c>
      <c r="U50" s="124">
        <f t="shared" si="15"/>
        <v>1.1373639066861751E-3</v>
      </c>
      <c r="V50" s="136">
        <f t="shared" si="16"/>
        <v>0</v>
      </c>
      <c r="W50" s="124">
        <f t="shared" si="17"/>
        <v>1</v>
      </c>
      <c r="X50" s="123">
        <f t="shared" si="18"/>
        <v>1</v>
      </c>
    </row>
    <row r="51" spans="1:24">
      <c r="A51" s="133">
        <f t="shared" si="21"/>
        <v>2063</v>
      </c>
      <c r="B51" s="27">
        <f>B50*(1+'Data for Q3'!$K$15)</f>
        <v>24582.803173003293</v>
      </c>
      <c r="C51" s="132">
        <f>1/(1+'Data for Q3'!$K$18)^(A51-$A$12-0.5)</f>
        <v>0.15283118687004879</v>
      </c>
      <c r="D51" s="131">
        <f t="shared" si="22"/>
        <v>81</v>
      </c>
      <c r="E51" s="129">
        <f>_xlfn.XLOOKUP(D51,'Data for Q3'!N:N,'Data for Q3'!O:O)</f>
        <v>2.913E-2</v>
      </c>
      <c r="F51" s="129">
        <f t="shared" si="23"/>
        <v>0.7477183016662593</v>
      </c>
      <c r="G51" s="129">
        <f t="shared" si="24"/>
        <v>0.7589355779893191</v>
      </c>
      <c r="H51" s="130">
        <f t="shared" si="20"/>
        <v>0</v>
      </c>
      <c r="I51" s="129">
        <f t="shared" si="25"/>
        <v>0.65158795852435836</v>
      </c>
      <c r="J51" s="129">
        <f t="shared" si="26"/>
        <v>0.65158795852435836</v>
      </c>
      <c r="K51" s="134">
        <f t="shared" si="27"/>
        <v>97</v>
      </c>
      <c r="L51" s="127">
        <f>_xlfn.XLOOKUP(K51,'Data for Q3'!N:N,'Data for Q3'!O:O)</f>
        <v>0.22670000000000001</v>
      </c>
      <c r="M51" s="127">
        <f t="shared" si="28"/>
        <v>0.11590922787685594</v>
      </c>
      <c r="N51" s="127">
        <f t="shared" si="29"/>
        <v>0.1328991554338734</v>
      </c>
      <c r="O51" s="135">
        <f t="shared" si="30"/>
        <v>0</v>
      </c>
      <c r="P51" s="127">
        <f t="shared" si="31"/>
        <v>1</v>
      </c>
      <c r="Q51" s="127">
        <f t="shared" si="32"/>
        <v>1</v>
      </c>
      <c r="R51" s="126">
        <f t="shared" si="13"/>
        <v>109</v>
      </c>
      <c r="S51" s="124">
        <f>_xlfn.XLOOKUP(R51,'Data for Q3'!N:N,'Data for Q3'!O:O)</f>
        <v>0.50988</v>
      </c>
      <c r="T51" s="124">
        <f t="shared" si="14"/>
        <v>3.8153986466464481E-4</v>
      </c>
      <c r="U51" s="124">
        <f t="shared" si="15"/>
        <v>5.8000100295242045E-4</v>
      </c>
      <c r="V51" s="136">
        <f t="shared" si="16"/>
        <v>0</v>
      </c>
      <c r="W51" s="124">
        <f t="shared" si="17"/>
        <v>1</v>
      </c>
      <c r="X51" s="123">
        <f t="shared" si="18"/>
        <v>1</v>
      </c>
    </row>
    <row r="52" spans="1:24">
      <c r="A52" s="133">
        <f t="shared" si="21"/>
        <v>2064</v>
      </c>
      <c r="B52" s="27">
        <f>B51*(1+'Data for Q3'!$K$15)</f>
        <v>25811.94333165346</v>
      </c>
      <c r="C52" s="132">
        <f>1/(1+'Data for Q3'!$K$18)^(A52-$A$12-0.5)</f>
        <v>0.14555351130480837</v>
      </c>
      <c r="D52" s="131">
        <f t="shared" si="22"/>
        <v>82</v>
      </c>
      <c r="E52" s="129">
        <f>_xlfn.XLOOKUP(D52,'Data for Q3'!N:N,'Data for Q3'!O:O)</f>
        <v>3.32E-2</v>
      </c>
      <c r="F52" s="129">
        <f t="shared" si="23"/>
        <v>0.72289405405093954</v>
      </c>
      <c r="G52" s="129">
        <f t="shared" si="24"/>
        <v>0.73530617785859942</v>
      </c>
      <c r="H52" s="130">
        <f t="shared" si="20"/>
        <v>0</v>
      </c>
      <c r="I52" s="129">
        <f t="shared" si="25"/>
        <v>0.65158795852435836</v>
      </c>
      <c r="J52" s="129">
        <f t="shared" si="26"/>
        <v>0.65158795852435836</v>
      </c>
      <c r="K52" s="134">
        <f t="shared" si="27"/>
        <v>98</v>
      </c>
      <c r="L52" s="127">
        <f>_xlfn.XLOOKUP(K52,'Data for Q3'!N:N,'Data for Q3'!O:O)</f>
        <v>0.24728</v>
      </c>
      <c r="M52" s="127">
        <f t="shared" si="28"/>
        <v>8.7247194007467013E-2</v>
      </c>
      <c r="N52" s="127">
        <f t="shared" si="29"/>
        <v>0.10157821094216148</v>
      </c>
      <c r="O52" s="135">
        <f t="shared" si="30"/>
        <v>0</v>
      </c>
      <c r="P52" s="127">
        <f t="shared" si="31"/>
        <v>1</v>
      </c>
      <c r="Q52" s="127">
        <f t="shared" si="32"/>
        <v>1</v>
      </c>
      <c r="R52" s="126">
        <f t="shared" si="13"/>
        <v>110</v>
      </c>
      <c r="S52" s="124">
        <f>_xlfn.XLOOKUP(R52,'Data for Q3'!N:N,'Data for Q3'!O:O)</f>
        <v>0.53</v>
      </c>
      <c r="T52" s="124">
        <f t="shared" si="14"/>
        <v>1.7932373639238306E-4</v>
      </c>
      <c r="U52" s="124">
        <f t="shared" si="15"/>
        <v>2.8043180052851391E-4</v>
      </c>
      <c r="V52" s="136">
        <f t="shared" si="16"/>
        <v>0</v>
      </c>
      <c r="W52" s="124">
        <f t="shared" si="17"/>
        <v>1</v>
      </c>
      <c r="X52" s="123">
        <f t="shared" si="18"/>
        <v>1</v>
      </c>
    </row>
    <row r="53" spans="1:24">
      <c r="A53" s="133">
        <f t="shared" si="21"/>
        <v>2065</v>
      </c>
      <c r="B53" s="27">
        <f>B52*(1+'Data for Q3'!$K$15)</f>
        <v>27102.540498236132</v>
      </c>
      <c r="C53" s="132">
        <f>1/(1+'Data for Q3'!$K$18)^(A53-$A$12-0.5)</f>
        <v>0.13862239171886509</v>
      </c>
      <c r="D53" s="131">
        <f t="shared" si="22"/>
        <v>83</v>
      </c>
      <c r="E53" s="129">
        <f>_xlfn.XLOOKUP(D53,'Data for Q3'!N:N,'Data for Q3'!O:O)</f>
        <v>3.805E-2</v>
      </c>
      <c r="F53" s="129">
        <f t="shared" si="23"/>
        <v>0.69538793529430132</v>
      </c>
      <c r="G53" s="129">
        <f t="shared" si="24"/>
        <v>0.70914099467262048</v>
      </c>
      <c r="H53" s="130">
        <f t="shared" si="20"/>
        <v>0</v>
      </c>
      <c r="I53" s="129">
        <f t="shared" si="25"/>
        <v>0.65158795852435836</v>
      </c>
      <c r="J53" s="129">
        <f t="shared" si="26"/>
        <v>0.65158795852435836</v>
      </c>
      <c r="K53" s="134">
        <f t="shared" si="27"/>
        <v>99</v>
      </c>
      <c r="L53" s="127">
        <f>_xlfn.XLOOKUP(K53,'Data for Q3'!N:N,'Data for Q3'!O:O)</f>
        <v>0.26871</v>
      </c>
      <c r="M53" s="127">
        <f t="shared" si="28"/>
        <v>6.3803000505720547E-2</v>
      </c>
      <c r="N53" s="127">
        <f t="shared" si="29"/>
        <v>7.5525097256593787E-2</v>
      </c>
      <c r="O53" s="135">
        <f t="shared" si="30"/>
        <v>0</v>
      </c>
      <c r="P53" s="127">
        <f t="shared" si="31"/>
        <v>1</v>
      </c>
      <c r="Q53" s="127">
        <f t="shared" si="32"/>
        <v>1</v>
      </c>
      <c r="R53" s="126">
        <f t="shared" si="13"/>
        <v>111</v>
      </c>
      <c r="S53" s="124">
        <f>_xlfn.XLOOKUP(R53,'Data for Q3'!N:N,'Data for Q3'!O:O)</f>
        <v>0.55000000000000004</v>
      </c>
      <c r="T53" s="124">
        <f t="shared" si="14"/>
        <v>8.0695681376572365E-5</v>
      </c>
      <c r="U53" s="124">
        <f t="shared" si="15"/>
        <v>1.3000970888447772E-4</v>
      </c>
      <c r="V53" s="136">
        <f t="shared" si="16"/>
        <v>0</v>
      </c>
      <c r="W53" s="124">
        <f t="shared" si="17"/>
        <v>1</v>
      </c>
      <c r="X53" s="123">
        <f t="shared" si="18"/>
        <v>1</v>
      </c>
    </row>
    <row r="54" spans="1:24">
      <c r="A54" s="133">
        <f t="shared" si="21"/>
        <v>2066</v>
      </c>
      <c r="B54" s="27">
        <f>B53*(1+'Data for Q3'!$K$15)</f>
        <v>28457.667523147938</v>
      </c>
      <c r="C54" s="132">
        <f>1/(1+'Data for Q3'!$K$18)^(A54-$A$12-0.5)</f>
        <v>0.13202132544653816</v>
      </c>
      <c r="D54" s="131">
        <f t="shared" si="22"/>
        <v>84</v>
      </c>
      <c r="E54" s="129">
        <f>_xlfn.XLOOKUP(D54,'Data for Q3'!N:N,'Data for Q3'!O:O)</f>
        <v>4.3770000000000003E-2</v>
      </c>
      <c r="F54" s="129">
        <f t="shared" si="23"/>
        <v>0.66495080536646978</v>
      </c>
      <c r="G54" s="129">
        <f t="shared" si="24"/>
        <v>0.68016937033038549</v>
      </c>
      <c r="H54" s="130">
        <f t="shared" si="20"/>
        <v>0</v>
      </c>
      <c r="I54" s="129">
        <f t="shared" si="25"/>
        <v>0.65158795852435836</v>
      </c>
      <c r="J54" s="129">
        <f t="shared" si="26"/>
        <v>0.65158795852435836</v>
      </c>
      <c r="K54" s="134">
        <f t="shared" si="27"/>
        <v>100</v>
      </c>
      <c r="L54" s="127">
        <f>_xlfn.XLOOKUP(K54,'Data for Q3'!N:N,'Data for Q3'!O:O)</f>
        <v>0.29127999999999998</v>
      </c>
      <c r="M54" s="127">
        <f t="shared" si="28"/>
        <v>4.5218462518414271E-2</v>
      </c>
      <c r="N54" s="127">
        <f t="shared" si="29"/>
        <v>5.4510731512067409E-2</v>
      </c>
      <c r="O54" s="135">
        <f t="shared" si="30"/>
        <v>0</v>
      </c>
      <c r="P54" s="127">
        <f t="shared" si="31"/>
        <v>1</v>
      </c>
      <c r="Q54" s="127">
        <f t="shared" si="32"/>
        <v>1</v>
      </c>
      <c r="R54" s="126">
        <f t="shared" si="13"/>
        <v>112</v>
      </c>
      <c r="S54" s="124">
        <f>_xlfn.XLOOKUP(R54,'Data for Q3'!N:N,'Data for Q3'!O:O)</f>
        <v>0.56999999999999995</v>
      </c>
      <c r="T54" s="124">
        <f t="shared" si="14"/>
        <v>3.4699142991926121E-5</v>
      </c>
      <c r="U54" s="124">
        <f t="shared" si="15"/>
        <v>5.769741218424925E-5</v>
      </c>
      <c r="V54" s="136">
        <f t="shared" si="16"/>
        <v>0</v>
      </c>
      <c r="W54" s="124">
        <f t="shared" si="17"/>
        <v>1</v>
      </c>
      <c r="X54" s="123">
        <f t="shared" si="18"/>
        <v>1</v>
      </c>
    </row>
    <row r="55" spans="1:24">
      <c r="A55" s="133">
        <f t="shared" si="21"/>
        <v>2067</v>
      </c>
      <c r="B55" s="27">
        <f>B54*(1+'Data for Q3'!$K$15)</f>
        <v>29880.550899305337</v>
      </c>
      <c r="C55" s="132">
        <f>1/(1+'Data for Q3'!$K$18)^(A55-$A$12-0.5)</f>
        <v>0.12573459566336972</v>
      </c>
      <c r="D55" s="131">
        <f t="shared" si="22"/>
        <v>85</v>
      </c>
      <c r="E55" s="129">
        <f>_xlfn.XLOOKUP(D55,'Data for Q3'!N:N,'Data for Q3'!O:O)</f>
        <v>5.0500000000000003E-2</v>
      </c>
      <c r="F55" s="129">
        <f t="shared" si="23"/>
        <v>0.63137078969546301</v>
      </c>
      <c r="G55" s="129">
        <f t="shared" si="24"/>
        <v>0.64816079753096645</v>
      </c>
      <c r="H55" s="130">
        <f t="shared" si="20"/>
        <v>0</v>
      </c>
      <c r="I55" s="129">
        <f t="shared" si="25"/>
        <v>0.65158795852435836</v>
      </c>
      <c r="J55" s="129">
        <f t="shared" si="26"/>
        <v>0.65158795852435836</v>
      </c>
      <c r="K55" s="134">
        <f t="shared" si="27"/>
        <v>101</v>
      </c>
      <c r="L55" s="127">
        <f>_xlfn.XLOOKUP(K55,'Data for Q3'!N:N,'Data for Q3'!O:O)</f>
        <v>0.31508000000000003</v>
      </c>
      <c r="M55" s="127">
        <f t="shared" si="28"/>
        <v>3.09710293481123E-2</v>
      </c>
      <c r="N55" s="127">
        <f t="shared" si="29"/>
        <v>3.8094745933263285E-2</v>
      </c>
      <c r="O55" s="135">
        <f t="shared" si="30"/>
        <v>0</v>
      </c>
      <c r="P55" s="127">
        <f t="shared" si="31"/>
        <v>1</v>
      </c>
      <c r="Q55" s="127">
        <f t="shared" si="32"/>
        <v>1</v>
      </c>
      <c r="R55" s="126">
        <f t="shared" si="13"/>
        <v>113</v>
      </c>
      <c r="S55" s="124">
        <f>_xlfn.XLOOKUP(R55,'Data for Q3'!N:N,'Data for Q3'!O:O)</f>
        <v>0.59</v>
      </c>
      <c r="T55" s="124">
        <f t="shared" si="14"/>
        <v>1.4226648626689711E-5</v>
      </c>
      <c r="U55" s="124">
        <f t="shared" si="15"/>
        <v>2.4462895809307918E-5</v>
      </c>
      <c r="V55" s="136">
        <f t="shared" si="16"/>
        <v>0</v>
      </c>
      <c r="W55" s="124">
        <f t="shared" si="17"/>
        <v>1</v>
      </c>
      <c r="X55" s="123">
        <f t="shared" si="18"/>
        <v>1</v>
      </c>
    </row>
    <row r="56" spans="1:24">
      <c r="A56" s="133">
        <f t="shared" si="21"/>
        <v>2068</v>
      </c>
      <c r="B56" s="27">
        <f>B55*(1+'Data for Q3'!$K$15)</f>
        <v>31374.578444270606</v>
      </c>
      <c r="C56" s="132">
        <f>1/(1+'Data for Q3'!$K$18)^(A56-$A$12-0.5)</f>
        <v>0.119747233965114</v>
      </c>
      <c r="D56" s="131">
        <f t="shared" si="22"/>
        <v>86</v>
      </c>
      <c r="E56" s="129">
        <f>_xlfn.XLOOKUP(D56,'Data for Q3'!N:N,'Data for Q3'!O:O)</f>
        <v>5.8319999999999997E-2</v>
      </c>
      <c r="F56" s="129">
        <f t="shared" si="23"/>
        <v>0.59454924524042363</v>
      </c>
      <c r="G56" s="129">
        <f t="shared" si="24"/>
        <v>0.61296001746794337</v>
      </c>
      <c r="H56" s="130">
        <f t="shared" si="20"/>
        <v>0</v>
      </c>
      <c r="I56" s="129">
        <f t="shared" si="25"/>
        <v>0.65158795852435836</v>
      </c>
      <c r="J56" s="129">
        <f t="shared" si="26"/>
        <v>0.65158795852435836</v>
      </c>
      <c r="K56" s="134">
        <f t="shared" si="27"/>
        <v>102</v>
      </c>
      <c r="L56" s="127">
        <f>_xlfn.XLOOKUP(K56,'Data for Q3'!N:N,'Data for Q3'!O:O)</f>
        <v>0.33994999999999997</v>
      </c>
      <c r="M56" s="127">
        <f t="shared" si="28"/>
        <v>2.0442427921221525E-2</v>
      </c>
      <c r="N56" s="127">
        <f t="shared" si="29"/>
        <v>2.5706728634666911E-2</v>
      </c>
      <c r="O56" s="135">
        <f t="shared" si="30"/>
        <v>0</v>
      </c>
      <c r="P56" s="127">
        <f t="shared" si="31"/>
        <v>1</v>
      </c>
      <c r="Q56" s="127">
        <f t="shared" si="32"/>
        <v>1</v>
      </c>
      <c r="R56" s="126">
        <f t="shared" si="13"/>
        <v>114</v>
      </c>
      <c r="S56" s="124">
        <f>_xlfn.XLOOKUP(R56,'Data for Q3'!N:N,'Data for Q3'!O:O)</f>
        <v>0.61</v>
      </c>
      <c r="T56" s="124">
        <f t="shared" si="14"/>
        <v>5.5483929644089877E-6</v>
      </c>
      <c r="U56" s="124">
        <f t="shared" si="15"/>
        <v>9.8875207955493508E-6</v>
      </c>
      <c r="V56" s="136">
        <f t="shared" si="16"/>
        <v>0</v>
      </c>
      <c r="W56" s="124">
        <f t="shared" si="17"/>
        <v>1</v>
      </c>
      <c r="X56" s="123">
        <f t="shared" si="18"/>
        <v>1</v>
      </c>
    </row>
    <row r="57" spans="1:24">
      <c r="A57" s="133">
        <f t="shared" si="21"/>
        <v>2069</v>
      </c>
      <c r="B57" s="27">
        <f>B56*(1+'Data for Q3'!$K$15)</f>
        <v>32943.307366484136</v>
      </c>
      <c r="C57" s="132">
        <f>1/(1+'Data for Q3'!$K$18)^(A57-$A$12-0.5)</f>
        <v>0.11404498472867998</v>
      </c>
      <c r="D57" s="131">
        <f t="shared" si="22"/>
        <v>87</v>
      </c>
      <c r="E57" s="129">
        <f>_xlfn.XLOOKUP(D57,'Data for Q3'!N:N,'Data for Q3'!O:O)</f>
        <v>6.7339999999999997E-2</v>
      </c>
      <c r="F57" s="129">
        <f t="shared" si="23"/>
        <v>0.55451229906593358</v>
      </c>
      <c r="G57" s="129">
        <f t="shared" si="24"/>
        <v>0.5745307721531786</v>
      </c>
      <c r="H57" s="130">
        <f t="shared" si="20"/>
        <v>0</v>
      </c>
      <c r="I57" s="129">
        <f t="shared" si="25"/>
        <v>0.65158795852435836</v>
      </c>
      <c r="J57" s="129">
        <f t="shared" si="26"/>
        <v>0.65158795852435836</v>
      </c>
      <c r="K57" s="134">
        <f t="shared" si="27"/>
        <v>103</v>
      </c>
      <c r="L57" s="127">
        <f>_xlfn.XLOOKUP(K57,'Data for Q3'!N:N,'Data for Q3'!O:O)</f>
        <v>0.36552000000000001</v>
      </c>
      <c r="M57" s="127">
        <f t="shared" si="28"/>
        <v>1.2970311667456632E-2</v>
      </c>
      <c r="N57" s="127">
        <f t="shared" si="29"/>
        <v>1.6706369794339079E-2</v>
      </c>
      <c r="O57" s="135">
        <f t="shared" si="30"/>
        <v>0</v>
      </c>
      <c r="P57" s="127">
        <f t="shared" si="31"/>
        <v>1</v>
      </c>
      <c r="Q57" s="127">
        <f t="shared" si="32"/>
        <v>1</v>
      </c>
      <c r="R57" s="126">
        <f t="shared" si="13"/>
        <v>115</v>
      </c>
      <c r="S57" s="124">
        <f>_xlfn.XLOOKUP(R57,'Data for Q3'!N:N,'Data for Q3'!O:O)</f>
        <v>1</v>
      </c>
      <c r="T57" s="124">
        <f t="shared" si="14"/>
        <v>0</v>
      </c>
      <c r="U57" s="124">
        <f t="shared" si="15"/>
        <v>2.7741964822044939E-6</v>
      </c>
      <c r="V57" s="136">
        <f t="shared" si="16"/>
        <v>0</v>
      </c>
      <c r="W57" s="124">
        <f t="shared" si="17"/>
        <v>1</v>
      </c>
      <c r="X57" s="123">
        <f t="shared" si="18"/>
        <v>1</v>
      </c>
    </row>
    <row r="58" spans="1:24">
      <c r="A58" s="133">
        <f t="shared" si="21"/>
        <v>2070</v>
      </c>
      <c r="B58" s="27">
        <f>B57*(1+'Data for Q3'!$K$15)</f>
        <v>34590.472734808347</v>
      </c>
      <c r="C58" s="132">
        <f>1/(1+'Data for Q3'!$K$18)^(A58-$A$12-0.5)</f>
        <v>0.1086142711701714</v>
      </c>
      <c r="D58" s="131">
        <f t="shared" si="22"/>
        <v>88</v>
      </c>
      <c r="E58" s="129">
        <f>_xlfn.XLOOKUP(D58,'Data for Q3'!N:N,'Data for Q3'!O:O)</f>
        <v>7.7649999999999997E-2</v>
      </c>
      <c r="F58" s="129">
        <f t="shared" si="23"/>
        <v>0.51145441904346389</v>
      </c>
      <c r="G58" s="129">
        <f t="shared" si="24"/>
        <v>0.53298335905469874</v>
      </c>
      <c r="H58" s="130">
        <f t="shared" ref="H58:H85" si="33">H57</f>
        <v>0</v>
      </c>
      <c r="I58" s="129">
        <f t="shared" si="25"/>
        <v>0.65158795852435836</v>
      </c>
      <c r="J58" s="129">
        <f t="shared" si="26"/>
        <v>0.65158795852435836</v>
      </c>
      <c r="K58" s="134">
        <f t="shared" si="27"/>
        <v>104</v>
      </c>
      <c r="L58" s="127">
        <f>_xlfn.XLOOKUP(K58,'Data for Q3'!N:N,'Data for Q3'!O:O)</f>
        <v>0.39119999999999999</v>
      </c>
      <c r="M58" s="127">
        <f t="shared" si="28"/>
        <v>7.8963257431475982E-3</v>
      </c>
      <c r="N58" s="127">
        <f t="shared" si="29"/>
        <v>1.0433318705302114E-2</v>
      </c>
      <c r="O58" s="135">
        <f t="shared" si="30"/>
        <v>0</v>
      </c>
      <c r="P58" s="127">
        <f t="shared" si="31"/>
        <v>1</v>
      </c>
      <c r="Q58" s="127">
        <f t="shared" si="32"/>
        <v>1</v>
      </c>
      <c r="R58" s="126"/>
      <c r="S58" s="124"/>
      <c r="T58" s="124"/>
      <c r="U58" s="124"/>
      <c r="V58" s="125"/>
      <c r="W58" s="124"/>
      <c r="X58" s="123"/>
    </row>
    <row r="59" spans="1:24">
      <c r="A59" s="133">
        <f t="shared" si="21"/>
        <v>2071</v>
      </c>
      <c r="B59" s="27">
        <f>B58*(1+'Data for Q3'!$K$15)</f>
        <v>36319.996371548768</v>
      </c>
      <c r="C59" s="132">
        <f>1/(1+'Data for Q3'!$K$18)^(A59-$A$12-0.5)</f>
        <v>0.10344216301921087</v>
      </c>
      <c r="D59" s="131">
        <f t="shared" si="22"/>
        <v>89</v>
      </c>
      <c r="E59" s="129">
        <f>_xlfn.XLOOKUP(D59,'Data for Q3'!N:N,'Data for Q3'!O:O)</f>
        <v>8.9319999999999997E-2</v>
      </c>
      <c r="F59" s="129">
        <f t="shared" si="23"/>
        <v>0.4657713103345017</v>
      </c>
      <c r="G59" s="129">
        <f t="shared" si="24"/>
        <v>0.4886128646889828</v>
      </c>
      <c r="H59" s="130">
        <f t="shared" si="33"/>
        <v>0</v>
      </c>
      <c r="I59" s="129">
        <f t="shared" si="25"/>
        <v>0.65158795852435836</v>
      </c>
      <c r="J59" s="129">
        <f t="shared" si="26"/>
        <v>0.65158795852435836</v>
      </c>
      <c r="K59" s="134">
        <f t="shared" si="27"/>
        <v>105</v>
      </c>
      <c r="L59" s="127">
        <f>_xlfn.XLOOKUP(K59,'Data for Q3'!N:N,'Data for Q3'!O:O)</f>
        <v>0.41615999999999997</v>
      </c>
      <c r="M59" s="127">
        <f t="shared" si="28"/>
        <v>4.6101908218792939E-3</v>
      </c>
      <c r="N59" s="127">
        <f t="shared" si="29"/>
        <v>6.2532582825134461E-3</v>
      </c>
      <c r="O59" s="135">
        <f t="shared" si="30"/>
        <v>0</v>
      </c>
      <c r="P59" s="127">
        <f t="shared" si="31"/>
        <v>1</v>
      </c>
      <c r="Q59" s="127">
        <f t="shared" si="32"/>
        <v>1</v>
      </c>
      <c r="R59" s="126"/>
      <c r="S59" s="124"/>
      <c r="T59" s="124"/>
      <c r="U59" s="124"/>
      <c r="V59" s="125"/>
      <c r="W59" s="124"/>
      <c r="X59" s="123"/>
    </row>
    <row r="60" spans="1:24">
      <c r="A60" s="133">
        <f t="shared" si="21"/>
        <v>2072</v>
      </c>
      <c r="B60" s="27">
        <f>B59*(1+'Data for Q3'!$K$15)</f>
        <v>38135.996190126207</v>
      </c>
      <c r="C60" s="132">
        <f>1/(1+'Data for Q3'!$K$18)^(A60-$A$12-0.5)</f>
        <v>9.8516345732581778E-2</v>
      </c>
      <c r="D60" s="131">
        <f t="shared" si="22"/>
        <v>90</v>
      </c>
      <c r="E60" s="129">
        <f>_xlfn.XLOOKUP(D60,'Data for Q3'!N:N,'Data for Q3'!O:O)</f>
        <v>0.10238</v>
      </c>
      <c r="F60" s="129">
        <f t="shared" si="23"/>
        <v>0.41808564358245542</v>
      </c>
      <c r="G60" s="129">
        <f t="shared" si="24"/>
        <v>0.44192847695847859</v>
      </c>
      <c r="H60" s="130">
        <f t="shared" si="33"/>
        <v>0</v>
      </c>
      <c r="I60" s="129">
        <f t="shared" si="25"/>
        <v>0.65158795852435836</v>
      </c>
      <c r="J60" s="129">
        <f t="shared" si="26"/>
        <v>0.65158795852435836</v>
      </c>
      <c r="K60" s="134">
        <f t="shared" si="27"/>
        <v>106</v>
      </c>
      <c r="L60" s="127">
        <f>_xlfn.XLOOKUP(K60,'Data for Q3'!N:N,'Data for Q3'!O:O)</f>
        <v>0.43936999999999998</v>
      </c>
      <c r="M60" s="127">
        <f t="shared" si="28"/>
        <v>2.5846112804701884E-3</v>
      </c>
      <c r="N60" s="127">
        <f t="shared" si="29"/>
        <v>3.5974010511747412E-3</v>
      </c>
      <c r="O60" s="135">
        <f t="shared" si="30"/>
        <v>0</v>
      </c>
      <c r="P60" s="127">
        <f t="shared" si="31"/>
        <v>1</v>
      </c>
      <c r="Q60" s="127">
        <f t="shared" si="32"/>
        <v>1</v>
      </c>
      <c r="R60" s="126"/>
      <c r="S60" s="124"/>
      <c r="T60" s="124"/>
      <c r="U60" s="124"/>
      <c r="V60" s="125"/>
      <c r="W60" s="124"/>
      <c r="X60" s="123"/>
    </row>
    <row r="61" spans="1:24">
      <c r="A61" s="133">
        <f t="shared" si="21"/>
        <v>2073</v>
      </c>
      <c r="B61" s="27">
        <f>B60*(1+'Data for Q3'!$K$15)</f>
        <v>40042.795999632515</v>
      </c>
      <c r="C61" s="132">
        <f>1/(1+'Data for Q3'!$K$18)^(A61-$A$12-0.5)</f>
        <v>9.382509117388739E-2</v>
      </c>
      <c r="D61" s="131">
        <f t="shared" si="22"/>
        <v>91</v>
      </c>
      <c r="E61" s="129">
        <f>_xlfn.XLOOKUP(D61,'Data for Q3'!N:N,'Data for Q3'!O:O)</f>
        <v>0.11683</v>
      </c>
      <c r="F61" s="129">
        <f t="shared" si="23"/>
        <v>0.36924069784271718</v>
      </c>
      <c r="G61" s="129">
        <f t="shared" si="24"/>
        <v>0.39366317071258627</v>
      </c>
      <c r="H61" s="130">
        <f t="shared" si="33"/>
        <v>0</v>
      </c>
      <c r="I61" s="129">
        <f t="shared" si="25"/>
        <v>0.65158795852435836</v>
      </c>
      <c r="J61" s="129">
        <f t="shared" si="26"/>
        <v>0.65158795852435836</v>
      </c>
      <c r="K61" s="134">
        <f t="shared" si="27"/>
        <v>107</v>
      </c>
      <c r="L61" s="127">
        <f>_xlfn.XLOOKUP(K61,'Data for Q3'!N:N,'Data for Q3'!O:O)</f>
        <v>0.45956000000000002</v>
      </c>
      <c r="M61" s="127">
        <f t="shared" si="28"/>
        <v>1.3968273204173088E-3</v>
      </c>
      <c r="N61" s="127">
        <f t="shared" si="29"/>
        <v>1.9907193004437486E-3</v>
      </c>
      <c r="O61" s="135">
        <f t="shared" si="30"/>
        <v>0</v>
      </c>
      <c r="P61" s="127">
        <f t="shared" si="31"/>
        <v>1</v>
      </c>
      <c r="Q61" s="127">
        <f t="shared" si="32"/>
        <v>1</v>
      </c>
      <c r="R61" s="126"/>
      <c r="S61" s="124"/>
      <c r="T61" s="124"/>
      <c r="U61" s="124"/>
      <c r="V61" s="125"/>
      <c r="W61" s="124"/>
      <c r="X61" s="123"/>
    </row>
    <row r="62" spans="1:24">
      <c r="A62" s="133">
        <f t="shared" si="21"/>
        <v>2074</v>
      </c>
      <c r="B62" s="27">
        <f>B61*(1+'Data for Q3'!$K$15)</f>
        <v>42044.935799614141</v>
      </c>
      <c r="C62" s="132">
        <f>1/(1+'Data for Q3'!$K$18)^(A62-$A$12-0.5)</f>
        <v>8.9357229689416548E-2</v>
      </c>
      <c r="D62" s="131">
        <f t="shared" si="22"/>
        <v>92</v>
      </c>
      <c r="E62" s="129">
        <f>_xlfn.XLOOKUP(D62,'Data for Q3'!N:N,'Data for Q3'!O:O)</f>
        <v>0.13261000000000001</v>
      </c>
      <c r="F62" s="129">
        <f t="shared" si="23"/>
        <v>0.32027568890179448</v>
      </c>
      <c r="G62" s="129">
        <f t="shared" si="24"/>
        <v>0.34475819337225577</v>
      </c>
      <c r="H62" s="130">
        <f t="shared" si="33"/>
        <v>0</v>
      </c>
      <c r="I62" s="129">
        <f t="shared" si="25"/>
        <v>0.65158795852435836</v>
      </c>
      <c r="J62" s="129">
        <f t="shared" si="26"/>
        <v>0.65158795852435836</v>
      </c>
      <c r="K62" s="134">
        <f t="shared" si="27"/>
        <v>108</v>
      </c>
      <c r="L62" s="127">
        <f>_xlfn.XLOOKUP(K62,'Data for Q3'!N:N,'Data for Q3'!O:O)</f>
        <v>0.47972999999999999</v>
      </c>
      <c r="M62" s="127">
        <f t="shared" si="28"/>
        <v>7.2672734999351327E-4</v>
      </c>
      <c r="N62" s="127">
        <f t="shared" si="29"/>
        <v>1.061777335205411E-3</v>
      </c>
      <c r="O62" s="135">
        <f t="shared" si="30"/>
        <v>0</v>
      </c>
      <c r="P62" s="127">
        <f t="shared" si="31"/>
        <v>1</v>
      </c>
      <c r="Q62" s="127">
        <f t="shared" si="32"/>
        <v>1</v>
      </c>
      <c r="R62" s="126"/>
      <c r="S62" s="124"/>
      <c r="T62" s="124"/>
      <c r="U62" s="124"/>
      <c r="V62" s="125"/>
      <c r="W62" s="124"/>
      <c r="X62" s="123"/>
    </row>
    <row r="63" spans="1:24">
      <c r="A63" s="133">
        <f t="shared" si="21"/>
        <v>2075</v>
      </c>
      <c r="B63" s="27">
        <f>B62*(1+'Data for Q3'!$K$15)</f>
        <v>44147.18258959485</v>
      </c>
      <c r="C63" s="132">
        <f>1/(1+'Data for Q3'!$K$18)^(A63-$A$12-0.5)</f>
        <v>8.5102123513730074E-2</v>
      </c>
      <c r="D63" s="131">
        <f t="shared" si="22"/>
        <v>93</v>
      </c>
      <c r="E63" s="129">
        <f>_xlfn.XLOOKUP(D63,'Data for Q3'!N:N,'Data for Q3'!O:O)</f>
        <v>0.14960999999999999</v>
      </c>
      <c r="F63" s="129">
        <f t="shared" si="23"/>
        <v>0.27235924308519699</v>
      </c>
      <c r="G63" s="129">
        <f t="shared" si="24"/>
        <v>0.29631746599349573</v>
      </c>
      <c r="H63" s="130">
        <f t="shared" si="33"/>
        <v>0</v>
      </c>
      <c r="I63" s="129">
        <f t="shared" si="25"/>
        <v>0.65158795852435836</v>
      </c>
      <c r="J63" s="129">
        <f t="shared" si="26"/>
        <v>0.65158795852435836</v>
      </c>
      <c r="K63" s="134">
        <f t="shared" si="27"/>
        <v>109</v>
      </c>
      <c r="L63" s="127">
        <f>_xlfn.XLOOKUP(K63,'Data for Q3'!N:N,'Data for Q3'!O:O)</f>
        <v>0.50988</v>
      </c>
      <c r="M63" s="127">
        <f t="shared" si="28"/>
        <v>3.5618360877882074E-4</v>
      </c>
      <c r="N63" s="127">
        <f t="shared" si="29"/>
        <v>5.4145547938616709E-4</v>
      </c>
      <c r="O63" s="135">
        <f t="shared" si="30"/>
        <v>0</v>
      </c>
      <c r="P63" s="127">
        <f t="shared" si="31"/>
        <v>1</v>
      </c>
      <c r="Q63" s="127">
        <f t="shared" si="32"/>
        <v>1</v>
      </c>
      <c r="R63" s="126"/>
      <c r="S63" s="124"/>
      <c r="T63" s="124"/>
      <c r="U63" s="124"/>
      <c r="V63" s="125"/>
      <c r="W63" s="124"/>
      <c r="X63" s="123"/>
    </row>
    <row r="64" spans="1:24">
      <c r="A64" s="133">
        <f t="shared" si="21"/>
        <v>2076</v>
      </c>
      <c r="B64" s="27">
        <f>B63*(1+'Data for Q3'!$K$15)</f>
        <v>46354.541719074594</v>
      </c>
      <c r="C64" s="132">
        <f>1/(1+'Data for Q3'!$K$18)^(A64-$A$12-0.5)</f>
        <v>8.1049641441647682E-2</v>
      </c>
      <c r="D64" s="131">
        <f t="shared" si="22"/>
        <v>94</v>
      </c>
      <c r="E64" s="129">
        <f>_xlfn.XLOOKUP(D64,'Data for Q3'!N:N,'Data for Q3'!O:O)</f>
        <v>0.16771</v>
      </c>
      <c r="F64" s="129">
        <f t="shared" si="23"/>
        <v>0.22668187442737858</v>
      </c>
      <c r="G64" s="129">
        <f t="shared" si="24"/>
        <v>0.24952055875628779</v>
      </c>
      <c r="H64" s="130">
        <f t="shared" si="33"/>
        <v>0</v>
      </c>
      <c r="I64" s="129">
        <f t="shared" si="25"/>
        <v>0.65158795852435836</v>
      </c>
      <c r="J64" s="129">
        <f t="shared" si="26"/>
        <v>0.65158795852435836</v>
      </c>
      <c r="K64" s="134">
        <f t="shared" si="27"/>
        <v>110</v>
      </c>
      <c r="L64" s="127">
        <f>_xlfn.XLOOKUP(K64,'Data for Q3'!N:N,'Data for Q3'!O:O)</f>
        <v>0.53</v>
      </c>
      <c r="M64" s="127">
        <f t="shared" si="28"/>
        <v>1.6740629612604574E-4</v>
      </c>
      <c r="N64" s="127">
        <f t="shared" si="29"/>
        <v>2.6179495245243326E-4</v>
      </c>
      <c r="O64" s="135">
        <f t="shared" si="30"/>
        <v>0</v>
      </c>
      <c r="P64" s="127">
        <f t="shared" si="31"/>
        <v>1</v>
      </c>
      <c r="Q64" s="127">
        <f t="shared" si="32"/>
        <v>1</v>
      </c>
      <c r="R64" s="126"/>
      <c r="S64" s="124"/>
      <c r="T64" s="124"/>
      <c r="U64" s="124"/>
      <c r="V64" s="125"/>
      <c r="W64" s="124"/>
      <c r="X64" s="123"/>
    </row>
    <row r="65" spans="1:24">
      <c r="A65" s="133">
        <f t="shared" si="21"/>
        <v>2077</v>
      </c>
      <c r="B65" s="27">
        <f>B64*(1+'Data for Q3'!$K$15)</f>
        <v>48672.268805028325</v>
      </c>
      <c r="C65" s="132">
        <f>1/(1+'Data for Q3'!$K$18)^(A65-$A$12-0.5)</f>
        <v>7.7190134706331112E-2</v>
      </c>
      <c r="D65" s="131">
        <f t="shared" si="22"/>
        <v>95</v>
      </c>
      <c r="E65" s="129">
        <f>_xlfn.XLOOKUP(D65,'Data for Q3'!N:N,'Data for Q3'!O:O)</f>
        <v>0.18670999999999999</v>
      </c>
      <c r="F65" s="129">
        <f t="shared" si="23"/>
        <v>0.18435810165304276</v>
      </c>
      <c r="G65" s="129">
        <f t="shared" si="24"/>
        <v>0.20551998804021065</v>
      </c>
      <c r="H65" s="130">
        <f t="shared" si="33"/>
        <v>0</v>
      </c>
      <c r="I65" s="129">
        <f t="shared" si="25"/>
        <v>0.65158795852435836</v>
      </c>
      <c r="J65" s="129">
        <f t="shared" si="26"/>
        <v>0.65158795852435836</v>
      </c>
      <c r="K65" s="134">
        <f t="shared" si="27"/>
        <v>111</v>
      </c>
      <c r="L65" s="127">
        <f>_xlfn.XLOOKUP(K65,'Data for Q3'!N:N,'Data for Q3'!O:O)</f>
        <v>0.55000000000000004</v>
      </c>
      <c r="M65" s="127">
        <f t="shared" si="28"/>
        <v>7.533283325672057E-5</v>
      </c>
      <c r="N65" s="127">
        <f t="shared" si="29"/>
        <v>1.2136956469138315E-4</v>
      </c>
      <c r="O65" s="135">
        <f t="shared" si="30"/>
        <v>0</v>
      </c>
      <c r="P65" s="127">
        <f t="shared" si="31"/>
        <v>1</v>
      </c>
      <c r="Q65" s="127">
        <f t="shared" si="32"/>
        <v>1</v>
      </c>
      <c r="R65" s="126"/>
      <c r="S65" s="124"/>
      <c r="T65" s="124"/>
      <c r="U65" s="124"/>
      <c r="V65" s="125"/>
      <c r="W65" s="124"/>
      <c r="X65" s="123"/>
    </row>
    <row r="66" spans="1:24">
      <c r="A66" s="133">
        <f t="shared" si="21"/>
        <v>2078</v>
      </c>
      <c r="B66" s="27">
        <f>B65*(1+'Data for Q3'!$K$15)</f>
        <v>51105.882245279747</v>
      </c>
      <c r="C66" s="132">
        <f>1/(1+'Data for Q3'!$K$18)^(A66-$A$12-0.5)</f>
        <v>7.3514414006029608E-2</v>
      </c>
      <c r="D66" s="131">
        <f t="shared" si="22"/>
        <v>96</v>
      </c>
      <c r="E66" s="129">
        <f>_xlfn.XLOOKUP(D66,'Data for Q3'!N:N,'Data for Q3'!O:O)</f>
        <v>0.20644000000000001</v>
      </c>
      <c r="F66" s="129">
        <f t="shared" si="23"/>
        <v>0.14629921514778862</v>
      </c>
      <c r="G66" s="129">
        <f t="shared" si="24"/>
        <v>0.16532865840041569</v>
      </c>
      <c r="H66" s="130">
        <f t="shared" si="33"/>
        <v>0</v>
      </c>
      <c r="I66" s="129">
        <f t="shared" si="25"/>
        <v>0.65158795852435836</v>
      </c>
      <c r="J66" s="129">
        <f t="shared" si="26"/>
        <v>0.65158795852435836</v>
      </c>
      <c r="K66" s="134">
        <f t="shared" si="27"/>
        <v>112</v>
      </c>
      <c r="L66" s="127">
        <f>_xlfn.XLOOKUP(K66,'Data for Q3'!N:N,'Data for Q3'!O:O)</f>
        <v>0.56999999999999995</v>
      </c>
      <c r="M66" s="127">
        <f t="shared" si="28"/>
        <v>3.2393118300389849E-5</v>
      </c>
      <c r="N66" s="127">
        <f t="shared" si="29"/>
        <v>5.3862975778555213E-5</v>
      </c>
      <c r="O66" s="135">
        <f t="shared" si="30"/>
        <v>0</v>
      </c>
      <c r="P66" s="127">
        <f t="shared" si="31"/>
        <v>1</v>
      </c>
      <c r="Q66" s="127">
        <f t="shared" si="32"/>
        <v>1</v>
      </c>
      <c r="R66" s="126"/>
      <c r="S66" s="124"/>
      <c r="T66" s="124"/>
      <c r="U66" s="124"/>
      <c r="V66" s="125"/>
      <c r="W66" s="124"/>
      <c r="X66" s="123"/>
    </row>
    <row r="67" spans="1:24">
      <c r="A67" s="133">
        <f t="shared" si="21"/>
        <v>2079</v>
      </c>
      <c r="B67" s="27">
        <f>B66*(1+'Data for Q3'!$K$15)</f>
        <v>53661.176357543736</v>
      </c>
      <c r="C67" s="132">
        <f>1/(1+'Data for Q3'!$K$18)^(A67-$A$12-0.5)</f>
        <v>7.001372762479012E-2</v>
      </c>
      <c r="D67" s="131">
        <f t="shared" si="22"/>
        <v>97</v>
      </c>
      <c r="E67" s="129">
        <f>_xlfn.XLOOKUP(D67,'Data for Q3'!N:N,'Data for Q3'!O:O)</f>
        <v>0.22670000000000001</v>
      </c>
      <c r="F67" s="129">
        <f t="shared" si="23"/>
        <v>0.11313318307378495</v>
      </c>
      <c r="G67" s="129">
        <f t="shared" si="24"/>
        <v>0.12971619911078677</v>
      </c>
      <c r="H67" s="130">
        <f t="shared" si="33"/>
        <v>0</v>
      </c>
      <c r="I67" s="129">
        <f t="shared" si="25"/>
        <v>0.65158795852435836</v>
      </c>
      <c r="J67" s="129">
        <f t="shared" si="26"/>
        <v>0.65158795852435836</v>
      </c>
      <c r="K67" s="134">
        <f t="shared" si="27"/>
        <v>113</v>
      </c>
      <c r="L67" s="127">
        <f>_xlfn.XLOOKUP(K67,'Data for Q3'!N:N,'Data for Q3'!O:O)</f>
        <v>0.59</v>
      </c>
      <c r="M67" s="127">
        <f t="shared" si="28"/>
        <v>1.328117850315984E-5</v>
      </c>
      <c r="N67" s="127">
        <f t="shared" si="29"/>
        <v>2.2837148401774845E-5</v>
      </c>
      <c r="O67" s="135">
        <f t="shared" si="30"/>
        <v>0</v>
      </c>
      <c r="P67" s="127">
        <f t="shared" si="31"/>
        <v>1</v>
      </c>
      <c r="Q67" s="127">
        <f t="shared" si="32"/>
        <v>1</v>
      </c>
      <c r="R67" s="126"/>
      <c r="S67" s="124"/>
      <c r="T67" s="124"/>
      <c r="U67" s="124"/>
      <c r="V67" s="125"/>
      <c r="W67" s="124"/>
      <c r="X67" s="123"/>
    </row>
    <row r="68" spans="1:24">
      <c r="A68" s="133">
        <f t="shared" si="21"/>
        <v>2080</v>
      </c>
      <c r="B68" s="27">
        <f>B67*(1+'Data for Q3'!$K$15)</f>
        <v>56344.235175420923</v>
      </c>
      <c r="C68" s="132">
        <f>1/(1+'Data for Q3'!$K$18)^(A68-$A$12-0.5)</f>
        <v>6.6679740595038201E-2</v>
      </c>
      <c r="D68" s="131">
        <f t="shared" si="22"/>
        <v>98</v>
      </c>
      <c r="E68" s="129">
        <f>_xlfn.XLOOKUP(D68,'Data for Q3'!N:N,'Data for Q3'!O:O)</f>
        <v>0.24728</v>
      </c>
      <c r="F68" s="129">
        <f t="shared" si="23"/>
        <v>8.5157609563299416E-2</v>
      </c>
      <c r="G68" s="129">
        <f t="shared" si="24"/>
        <v>9.9145396318542175E-2</v>
      </c>
      <c r="H68" s="130">
        <f t="shared" si="33"/>
        <v>0</v>
      </c>
      <c r="I68" s="129">
        <f t="shared" si="25"/>
        <v>0.65158795852435836</v>
      </c>
      <c r="J68" s="129">
        <f t="shared" si="26"/>
        <v>0.65158795852435836</v>
      </c>
      <c r="K68" s="134">
        <f t="shared" si="27"/>
        <v>114</v>
      </c>
      <c r="L68" s="127">
        <f>_xlfn.XLOOKUP(K68,'Data for Q3'!N:N,'Data for Q3'!O:O)</f>
        <v>0.61</v>
      </c>
      <c r="M68" s="127">
        <f t="shared" si="28"/>
        <v>5.1796596162323375E-6</v>
      </c>
      <c r="N68" s="127">
        <f t="shared" si="29"/>
        <v>9.2304190596960895E-6</v>
      </c>
      <c r="O68" s="135">
        <f t="shared" si="30"/>
        <v>0</v>
      </c>
      <c r="P68" s="127">
        <f t="shared" si="31"/>
        <v>1</v>
      </c>
      <c r="Q68" s="127">
        <f t="shared" si="32"/>
        <v>1</v>
      </c>
      <c r="R68" s="126"/>
      <c r="S68" s="124"/>
      <c r="T68" s="124"/>
      <c r="U68" s="124"/>
      <c r="V68" s="125"/>
      <c r="W68" s="124"/>
      <c r="X68" s="123"/>
    </row>
    <row r="69" spans="1:24">
      <c r="A69" s="133">
        <f t="shared" si="21"/>
        <v>2081</v>
      </c>
      <c r="B69" s="27">
        <f>B68*(1+'Data for Q3'!$K$15)</f>
        <v>59161.446934191968</v>
      </c>
      <c r="C69" s="132">
        <f>1/(1+'Data for Q3'!$K$18)^(A69-$A$12-0.5)</f>
        <v>6.3504514852417329E-2</v>
      </c>
      <c r="D69" s="131">
        <f t="shared" si="22"/>
        <v>99</v>
      </c>
      <c r="E69" s="129">
        <f>_xlfn.XLOOKUP(D69,'Data for Q3'!N:N,'Data for Q3'!O:O)</f>
        <v>0.26871</v>
      </c>
      <c r="F69" s="129">
        <f t="shared" si="23"/>
        <v>6.2274908297545228E-2</v>
      </c>
      <c r="G69" s="129">
        <f t="shared" si="24"/>
        <v>7.3716258930422329E-2</v>
      </c>
      <c r="H69" s="130">
        <f t="shared" si="33"/>
        <v>0</v>
      </c>
      <c r="I69" s="129">
        <f t="shared" si="25"/>
        <v>0.65158795852435836</v>
      </c>
      <c r="J69" s="129">
        <f t="shared" si="26"/>
        <v>0.65158795852435836</v>
      </c>
      <c r="K69" s="134">
        <f t="shared" si="27"/>
        <v>115</v>
      </c>
      <c r="L69" s="127">
        <f>_xlfn.XLOOKUP(K69,'Data for Q3'!N:N,'Data for Q3'!O:O)</f>
        <v>1</v>
      </c>
      <c r="M69" s="127">
        <f t="shared" si="28"/>
        <v>0</v>
      </c>
      <c r="N69" s="127">
        <f t="shared" si="29"/>
        <v>2.5898298081161688E-6</v>
      </c>
      <c r="O69" s="135">
        <f t="shared" si="30"/>
        <v>0</v>
      </c>
      <c r="P69" s="127">
        <f t="shared" si="31"/>
        <v>1</v>
      </c>
      <c r="Q69" s="127">
        <f t="shared" si="32"/>
        <v>1</v>
      </c>
      <c r="R69" s="126"/>
      <c r="S69" s="124"/>
      <c r="T69" s="124"/>
      <c r="U69" s="124"/>
      <c r="V69" s="125"/>
      <c r="W69" s="124"/>
      <c r="X69" s="123"/>
    </row>
    <row r="70" spans="1:24">
      <c r="A70" s="133">
        <f t="shared" si="21"/>
        <v>2082</v>
      </c>
      <c r="B70" s="27">
        <f>B69*(1+'Data for Q3'!$K$15)</f>
        <v>62119.519280901572</v>
      </c>
      <c r="C70" s="132">
        <f>1/(1+'Data for Q3'!$K$18)^(A70-$A$12-0.5)</f>
        <v>6.0480490335635545E-2</v>
      </c>
      <c r="D70" s="131">
        <f t="shared" si="22"/>
        <v>100</v>
      </c>
      <c r="E70" s="129">
        <f>_xlfn.XLOOKUP(D70,'Data for Q3'!N:N,'Data for Q3'!O:O)</f>
        <v>0.29127999999999998</v>
      </c>
      <c r="F70" s="129">
        <f t="shared" si="23"/>
        <v>4.4135473008636253E-2</v>
      </c>
      <c r="G70" s="129">
        <f t="shared" si="24"/>
        <v>5.3205190653090741E-2</v>
      </c>
      <c r="H70" s="130">
        <f t="shared" si="33"/>
        <v>0</v>
      </c>
      <c r="I70" s="129">
        <f t="shared" si="25"/>
        <v>0.65158795852435836</v>
      </c>
      <c r="J70" s="129">
        <f t="shared" si="26"/>
        <v>0.65158795852435836</v>
      </c>
      <c r="K70" s="134"/>
      <c r="L70" s="127"/>
      <c r="M70" s="127"/>
      <c r="N70" s="127"/>
      <c r="O70" s="128"/>
      <c r="P70" s="127"/>
      <c r="Q70" s="127"/>
      <c r="R70" s="126"/>
      <c r="S70" s="124"/>
      <c r="T70" s="124"/>
      <c r="U70" s="124"/>
      <c r="V70" s="125"/>
      <c r="W70" s="124"/>
      <c r="X70" s="123"/>
    </row>
    <row r="71" spans="1:24">
      <c r="A71" s="133">
        <f t="shared" si="21"/>
        <v>2083</v>
      </c>
      <c r="B71" s="27">
        <f>B70*(1+'Data for Q3'!$K$15)</f>
        <v>65225.495244946651</v>
      </c>
      <c r="C71" s="132">
        <f>1/(1+'Data for Q3'!$K$18)^(A71-$A$12-0.5)</f>
        <v>5.7600466986319585E-2</v>
      </c>
      <c r="D71" s="131">
        <f t="shared" si="22"/>
        <v>101</v>
      </c>
      <c r="E71" s="129">
        <f>_xlfn.XLOOKUP(D71,'Data for Q3'!N:N,'Data for Q3'!O:O)</f>
        <v>0.31508000000000003</v>
      </c>
      <c r="F71" s="129">
        <f t="shared" si="23"/>
        <v>3.0229268173075141E-2</v>
      </c>
      <c r="G71" s="129">
        <f t="shared" si="24"/>
        <v>3.7182370590855697E-2</v>
      </c>
      <c r="H71" s="130">
        <f t="shared" si="33"/>
        <v>0</v>
      </c>
      <c r="I71" s="129">
        <f t="shared" si="25"/>
        <v>0.65158795852435836</v>
      </c>
      <c r="J71" s="129">
        <f t="shared" si="26"/>
        <v>0.65158795852435836</v>
      </c>
      <c r="K71" s="134"/>
      <c r="L71" s="127"/>
      <c r="M71" s="127"/>
      <c r="N71" s="127"/>
      <c r="O71" s="128"/>
      <c r="P71" s="127"/>
      <c r="Q71" s="127"/>
      <c r="R71" s="126"/>
      <c r="S71" s="124"/>
      <c r="T71" s="124"/>
      <c r="U71" s="124"/>
      <c r="V71" s="125"/>
      <c r="W71" s="124"/>
      <c r="X71" s="123"/>
    </row>
    <row r="72" spans="1:24">
      <c r="A72" s="133">
        <f t="shared" si="21"/>
        <v>2084</v>
      </c>
      <c r="B72" s="27">
        <f>B71*(1+'Data for Q3'!$K$15)</f>
        <v>68486.770007193991</v>
      </c>
      <c r="C72" s="132">
        <f>1/(1+'Data for Q3'!$K$18)^(A72-$A$12-0.5)</f>
        <v>5.4857587606018644E-2</v>
      </c>
      <c r="D72" s="131">
        <f t="shared" si="22"/>
        <v>102</v>
      </c>
      <c r="E72" s="129">
        <f>_xlfn.XLOOKUP(D72,'Data for Q3'!N:N,'Data for Q3'!O:O)</f>
        <v>0.33994999999999997</v>
      </c>
      <c r="F72" s="129">
        <f t="shared" si="23"/>
        <v>1.9952828457638249E-2</v>
      </c>
      <c r="G72" s="129">
        <f t="shared" si="24"/>
        <v>2.5091048315356693E-2</v>
      </c>
      <c r="H72" s="130">
        <f t="shared" si="33"/>
        <v>0</v>
      </c>
      <c r="I72" s="129">
        <f t="shared" si="25"/>
        <v>0.65158795852435836</v>
      </c>
      <c r="J72" s="129">
        <f t="shared" si="26"/>
        <v>0.65158795852435836</v>
      </c>
      <c r="K72" s="127"/>
      <c r="L72" s="127"/>
      <c r="M72" s="127"/>
      <c r="N72" s="127"/>
      <c r="O72" s="128"/>
      <c r="P72" s="127"/>
      <c r="Q72" s="127"/>
      <c r="R72" s="126"/>
      <c r="S72" s="124"/>
      <c r="T72" s="124"/>
      <c r="U72" s="124"/>
      <c r="V72" s="125"/>
      <c r="W72" s="124"/>
      <c r="X72" s="123"/>
    </row>
    <row r="73" spans="1:24">
      <c r="A73" s="133">
        <f t="shared" si="21"/>
        <v>2085</v>
      </c>
      <c r="B73" s="27">
        <f>B72*(1+'Data for Q3'!$K$15)</f>
        <v>71911.108507553698</v>
      </c>
      <c r="C73" s="132">
        <f>1/(1+'Data for Q3'!$K$18)^(A73-$A$12-0.5)</f>
        <v>5.2245321529541554E-2</v>
      </c>
      <c r="D73" s="131">
        <f t="shared" si="22"/>
        <v>103</v>
      </c>
      <c r="E73" s="129">
        <f>_xlfn.XLOOKUP(D73,'Data for Q3'!N:N,'Data for Q3'!O:O)</f>
        <v>0.36552000000000001</v>
      </c>
      <c r="F73" s="129">
        <f t="shared" si="23"/>
        <v>1.2659670599802315E-2</v>
      </c>
      <c r="G73" s="129">
        <f t="shared" si="24"/>
        <v>1.6306249528720281E-2</v>
      </c>
      <c r="H73" s="130">
        <f t="shared" si="33"/>
        <v>0</v>
      </c>
      <c r="I73" s="129">
        <f t="shared" si="25"/>
        <v>0.65158795852435836</v>
      </c>
      <c r="J73" s="129">
        <f t="shared" si="26"/>
        <v>0.65158795852435836</v>
      </c>
      <c r="K73" s="127"/>
      <c r="L73" s="127"/>
      <c r="M73" s="127"/>
      <c r="N73" s="127"/>
      <c r="O73" s="128"/>
      <c r="P73" s="127"/>
      <c r="Q73" s="127"/>
      <c r="R73" s="126"/>
      <c r="S73" s="124"/>
      <c r="T73" s="124"/>
      <c r="U73" s="124"/>
      <c r="V73" s="125"/>
      <c r="W73" s="124"/>
      <c r="X73" s="123"/>
    </row>
    <row r="74" spans="1:24">
      <c r="A74" s="133">
        <f t="shared" si="21"/>
        <v>2086</v>
      </c>
      <c r="B74" s="27">
        <f>B73*(1+'Data for Q3'!$K$15)</f>
        <v>75506.663932931391</v>
      </c>
      <c r="C74" s="132">
        <f>1/(1+'Data for Q3'!$K$18)^(A74-$A$12-0.5)</f>
        <v>4.9757449075753857E-2</v>
      </c>
      <c r="D74" s="131">
        <f t="shared" si="22"/>
        <v>104</v>
      </c>
      <c r="E74" s="129">
        <f>_xlfn.XLOOKUP(D74,'Data for Q3'!N:N,'Data for Q3'!O:O)</f>
        <v>0.39119999999999999</v>
      </c>
      <c r="F74" s="129">
        <f t="shared" si="23"/>
        <v>7.7072074611596493E-3</v>
      </c>
      <c r="G74" s="129">
        <f t="shared" si="24"/>
        <v>1.0183439030480983E-2</v>
      </c>
      <c r="H74" s="130">
        <f t="shared" si="33"/>
        <v>0</v>
      </c>
      <c r="I74" s="129">
        <f t="shared" si="25"/>
        <v>0.65158795852435836</v>
      </c>
      <c r="J74" s="129">
        <f t="shared" si="26"/>
        <v>0.65158795852435836</v>
      </c>
      <c r="K74" s="127"/>
      <c r="L74" s="127"/>
      <c r="M74" s="127"/>
      <c r="N74" s="127"/>
      <c r="O74" s="128"/>
      <c r="P74" s="127"/>
      <c r="Q74" s="127"/>
      <c r="R74" s="126"/>
      <c r="S74" s="124"/>
      <c r="T74" s="124"/>
      <c r="U74" s="124"/>
      <c r="V74" s="125"/>
      <c r="W74" s="124"/>
      <c r="X74" s="123"/>
    </row>
    <row r="75" spans="1:24">
      <c r="A75" s="133">
        <f t="shared" si="21"/>
        <v>2087</v>
      </c>
      <c r="B75" s="27">
        <f>B74*(1+'Data for Q3'!$K$15)</f>
        <v>79281.997129577969</v>
      </c>
      <c r="C75" s="132">
        <f>1/(1+'Data for Q3'!$K$18)^(A75-$A$12-0.5)</f>
        <v>4.7388046738813201E-2</v>
      </c>
      <c r="D75" s="131">
        <f t="shared" si="22"/>
        <v>105</v>
      </c>
      <c r="E75" s="129">
        <f>_xlfn.XLOOKUP(D75,'Data for Q3'!N:N,'Data for Q3'!O:O)</f>
        <v>0.41615999999999997</v>
      </c>
      <c r="F75" s="129">
        <f t="shared" si="23"/>
        <v>4.4997760041234494E-3</v>
      </c>
      <c r="G75" s="129">
        <f t="shared" si="24"/>
        <v>6.1034917326415489E-3</v>
      </c>
      <c r="H75" s="130">
        <f t="shared" si="33"/>
        <v>0</v>
      </c>
      <c r="I75" s="129">
        <f t="shared" si="25"/>
        <v>0.65158795852435836</v>
      </c>
      <c r="J75" s="129">
        <f t="shared" si="26"/>
        <v>0.65158795852435836</v>
      </c>
      <c r="K75" s="127"/>
      <c r="L75" s="127"/>
      <c r="M75" s="127"/>
      <c r="N75" s="127"/>
      <c r="O75" s="128"/>
      <c r="P75" s="127"/>
      <c r="Q75" s="127"/>
      <c r="R75" s="126"/>
      <c r="S75" s="124"/>
      <c r="T75" s="124"/>
      <c r="U75" s="124"/>
      <c r="V75" s="125"/>
      <c r="W75" s="124"/>
      <c r="X75" s="123"/>
    </row>
    <row r="76" spans="1:24">
      <c r="A76" s="133">
        <f t="shared" si="21"/>
        <v>2088</v>
      </c>
      <c r="B76" s="27">
        <f>B75*(1+'Data for Q3'!$K$15)</f>
        <v>83246.096986056873</v>
      </c>
      <c r="C76" s="132">
        <f>1/(1+'Data for Q3'!$K$18)^(A76-$A$12-0.5)</f>
        <v>4.5131473084583998E-2</v>
      </c>
      <c r="D76" s="131">
        <f t="shared" si="22"/>
        <v>106</v>
      </c>
      <c r="E76" s="129">
        <f>_xlfn.XLOOKUP(D76,'Data for Q3'!N:N,'Data for Q3'!O:O)</f>
        <v>0.43936999999999998</v>
      </c>
      <c r="F76" s="129">
        <f t="shared" si="23"/>
        <v>2.5227094211917292E-3</v>
      </c>
      <c r="G76" s="129">
        <f t="shared" si="24"/>
        <v>3.5112427126575895E-3</v>
      </c>
      <c r="H76" s="130">
        <f t="shared" si="33"/>
        <v>0</v>
      </c>
      <c r="I76" s="129">
        <f t="shared" si="25"/>
        <v>0.65158795852435836</v>
      </c>
      <c r="J76" s="129">
        <f t="shared" si="26"/>
        <v>0.65158795852435836</v>
      </c>
      <c r="K76" s="127"/>
      <c r="L76" s="127"/>
      <c r="M76" s="127"/>
      <c r="N76" s="127"/>
      <c r="O76" s="128"/>
      <c r="P76" s="127"/>
      <c r="Q76" s="127"/>
      <c r="R76" s="126"/>
      <c r="S76" s="124"/>
      <c r="T76" s="124"/>
      <c r="U76" s="124"/>
      <c r="V76" s="125"/>
      <c r="W76" s="124"/>
      <c r="X76" s="123"/>
    </row>
    <row r="77" spans="1:24">
      <c r="A77" s="133">
        <f t="shared" ref="A77:A85" si="34">A76+1</f>
        <v>2089</v>
      </c>
      <c r="B77" s="27">
        <f>B76*(1+'Data for Q3'!$K$15)</f>
        <v>87408.40183535972</v>
      </c>
      <c r="C77" s="132">
        <f>1/(1+'Data for Q3'!$K$18)^(A77-$A$12-0.5)</f>
        <v>4.2982355318651418E-2</v>
      </c>
      <c r="D77" s="131">
        <f t="shared" ref="D77:D85" si="35">D76+1</f>
        <v>107</v>
      </c>
      <c r="E77" s="129">
        <f>_xlfn.XLOOKUP(D77,'Data for Q3'!N:N,'Data for Q3'!O:O)</f>
        <v>0.45956000000000002</v>
      </c>
      <c r="F77" s="129">
        <f t="shared" ref="F77:F85" si="36">(1-E77)*F76</f>
        <v>1.3633730795888583E-3</v>
      </c>
      <c r="G77" s="129">
        <f t="shared" ref="G77:G85" si="37">(1-E77/2)*F76</f>
        <v>1.9430412503902937E-3</v>
      </c>
      <c r="H77" s="130">
        <f t="shared" si="33"/>
        <v>0</v>
      </c>
      <c r="I77" s="129">
        <f t="shared" ref="I77:I85" si="38">(1-H77)*I76</f>
        <v>0.65158795852435836</v>
      </c>
      <c r="J77" s="129">
        <f t="shared" ref="J77:J85" si="39">(1-H77/2)*I76</f>
        <v>0.65158795852435836</v>
      </c>
      <c r="K77" s="127"/>
      <c r="L77" s="127"/>
      <c r="M77" s="127"/>
      <c r="N77" s="127"/>
      <c r="O77" s="128"/>
      <c r="P77" s="127"/>
      <c r="Q77" s="127"/>
      <c r="R77" s="126"/>
      <c r="S77" s="124"/>
      <c r="T77" s="124"/>
      <c r="U77" s="124"/>
      <c r="V77" s="125"/>
      <c r="W77" s="124"/>
      <c r="X77" s="123"/>
    </row>
    <row r="78" spans="1:24">
      <c r="A78" s="133">
        <f t="shared" si="34"/>
        <v>2090</v>
      </c>
      <c r="B78" s="27">
        <f>B77*(1+'Data for Q3'!$K$15)</f>
        <v>91778.821927127705</v>
      </c>
      <c r="C78" s="132">
        <f>1/(1+'Data for Q3'!$K$18)^(A78-$A$12-0.5)</f>
        <v>4.0935576493953726E-2</v>
      </c>
      <c r="D78" s="131">
        <f t="shared" si="35"/>
        <v>108</v>
      </c>
      <c r="E78" s="129">
        <f>_xlfn.XLOOKUP(D78,'Data for Q3'!N:N,'Data for Q3'!O:O)</f>
        <v>0.47972999999999999</v>
      </c>
      <c r="F78" s="129">
        <f t="shared" si="36"/>
        <v>7.0932211211769531E-4</v>
      </c>
      <c r="G78" s="129">
        <f t="shared" si="37"/>
        <v>1.0363475958532768E-3</v>
      </c>
      <c r="H78" s="130">
        <f t="shared" si="33"/>
        <v>0</v>
      </c>
      <c r="I78" s="129">
        <f t="shared" si="38"/>
        <v>0.65158795852435836</v>
      </c>
      <c r="J78" s="129">
        <f t="shared" si="39"/>
        <v>0.65158795852435836</v>
      </c>
      <c r="K78" s="127"/>
      <c r="L78" s="127"/>
      <c r="M78" s="127"/>
      <c r="N78" s="127"/>
      <c r="O78" s="128"/>
      <c r="P78" s="127"/>
      <c r="Q78" s="127"/>
      <c r="R78" s="126"/>
      <c r="S78" s="124"/>
      <c r="T78" s="124"/>
      <c r="U78" s="124"/>
      <c r="V78" s="125"/>
      <c r="W78" s="124"/>
      <c r="X78" s="123"/>
    </row>
    <row r="79" spans="1:24">
      <c r="A79" s="133">
        <f t="shared" si="34"/>
        <v>2091</v>
      </c>
      <c r="B79" s="27">
        <f>B78*(1+'Data for Q3'!$K$15)</f>
        <v>96367.763023484091</v>
      </c>
      <c r="C79" s="132">
        <f>1/(1+'Data for Q3'!$K$18)^(A79-$A$12-0.5)</f>
        <v>3.8986263327574988E-2</v>
      </c>
      <c r="D79" s="131">
        <f t="shared" si="35"/>
        <v>109</v>
      </c>
      <c r="E79" s="129">
        <f>_xlfn.XLOOKUP(D79,'Data for Q3'!N:N,'Data for Q3'!O:O)</f>
        <v>0.50988</v>
      </c>
      <c r="F79" s="129">
        <f t="shared" si="36"/>
        <v>3.4765295359112484E-4</v>
      </c>
      <c r="G79" s="129">
        <f t="shared" si="37"/>
        <v>5.2848753285441013E-4</v>
      </c>
      <c r="H79" s="130">
        <f t="shared" si="33"/>
        <v>0</v>
      </c>
      <c r="I79" s="129">
        <f t="shared" si="38"/>
        <v>0.65158795852435836</v>
      </c>
      <c r="J79" s="129">
        <f t="shared" si="39"/>
        <v>0.65158795852435836</v>
      </c>
      <c r="K79" s="127"/>
      <c r="L79" s="127"/>
      <c r="M79" s="127"/>
      <c r="N79" s="127"/>
      <c r="O79" s="128"/>
      <c r="P79" s="127"/>
      <c r="Q79" s="127"/>
      <c r="R79" s="126"/>
      <c r="S79" s="124"/>
      <c r="T79" s="124"/>
      <c r="U79" s="124"/>
      <c r="V79" s="125"/>
      <c r="W79" s="124"/>
      <c r="X79" s="123"/>
    </row>
    <row r="80" spans="1:24">
      <c r="A80" s="133">
        <f t="shared" si="34"/>
        <v>2092</v>
      </c>
      <c r="B80" s="27">
        <f>B79*(1+'Data for Q3'!$K$15)</f>
        <v>101186.1511746583</v>
      </c>
      <c r="C80" s="132">
        <f>1/(1+'Data for Q3'!$K$18)^(A80-$A$12-0.5)</f>
        <v>3.7129774597690457E-2</v>
      </c>
      <c r="D80" s="131">
        <f t="shared" si="35"/>
        <v>110</v>
      </c>
      <c r="E80" s="129">
        <f>_xlfn.XLOOKUP(D80,'Data for Q3'!N:N,'Data for Q3'!O:O)</f>
        <v>0.53</v>
      </c>
      <c r="F80" s="129">
        <f t="shared" si="36"/>
        <v>1.6339688818782866E-4</v>
      </c>
      <c r="G80" s="129">
        <f t="shared" si="37"/>
        <v>2.5552492088947674E-4</v>
      </c>
      <c r="H80" s="130">
        <f t="shared" si="33"/>
        <v>0</v>
      </c>
      <c r="I80" s="129">
        <f t="shared" si="38"/>
        <v>0.65158795852435836</v>
      </c>
      <c r="J80" s="129">
        <f t="shared" si="39"/>
        <v>0.65158795852435836</v>
      </c>
      <c r="K80" s="127"/>
      <c r="L80" s="127"/>
      <c r="M80" s="127"/>
      <c r="N80" s="127"/>
      <c r="O80" s="128"/>
      <c r="P80" s="127"/>
      <c r="Q80" s="127"/>
      <c r="R80" s="126"/>
      <c r="S80" s="124"/>
      <c r="T80" s="124"/>
      <c r="U80" s="124"/>
      <c r="V80" s="125"/>
      <c r="W80" s="124"/>
      <c r="X80" s="123"/>
    </row>
    <row r="81" spans="1:24">
      <c r="A81" s="133">
        <f t="shared" si="34"/>
        <v>2093</v>
      </c>
      <c r="B81" s="27">
        <f>B80*(1+'Data for Q3'!$K$15)</f>
        <v>106245.45873339122</v>
      </c>
      <c r="C81" s="132">
        <f>1/(1+'Data for Q3'!$K$18)^(A81-$A$12-0.5)</f>
        <v>3.5361690093038529E-2</v>
      </c>
      <c r="D81" s="131">
        <f t="shared" si="35"/>
        <v>111</v>
      </c>
      <c r="E81" s="129">
        <f>_xlfn.XLOOKUP(D81,'Data for Q3'!N:N,'Data for Q3'!O:O)</f>
        <v>0.55000000000000004</v>
      </c>
      <c r="F81" s="129">
        <f t="shared" si="36"/>
        <v>7.3528599684522883E-5</v>
      </c>
      <c r="G81" s="129">
        <f t="shared" si="37"/>
        <v>1.1846274393617577E-4</v>
      </c>
      <c r="H81" s="130">
        <f t="shared" si="33"/>
        <v>0</v>
      </c>
      <c r="I81" s="129">
        <f t="shared" si="38"/>
        <v>0.65158795852435836</v>
      </c>
      <c r="J81" s="129">
        <f t="shared" si="39"/>
        <v>0.65158795852435836</v>
      </c>
      <c r="K81" s="127"/>
      <c r="L81" s="127"/>
      <c r="M81" s="127"/>
      <c r="N81" s="127"/>
      <c r="O81" s="128"/>
      <c r="P81" s="127"/>
      <c r="Q81" s="127"/>
      <c r="R81" s="126"/>
      <c r="S81" s="124"/>
      <c r="T81" s="124"/>
      <c r="U81" s="124"/>
      <c r="V81" s="125"/>
      <c r="W81" s="124"/>
      <c r="X81" s="123"/>
    </row>
    <row r="82" spans="1:24">
      <c r="A82" s="133">
        <f t="shared" si="34"/>
        <v>2094</v>
      </c>
      <c r="B82" s="27">
        <f>B81*(1+'Data for Q3'!$K$15)</f>
        <v>111557.73167006079</v>
      </c>
      <c r="C82" s="132">
        <f>1/(1+'Data for Q3'!$K$18)^(A82-$A$12-0.5)</f>
        <v>3.3677800088608122E-2</v>
      </c>
      <c r="D82" s="131">
        <f t="shared" si="35"/>
        <v>112</v>
      </c>
      <c r="E82" s="129">
        <f>_xlfn.XLOOKUP(D82,'Data for Q3'!N:N,'Data for Q3'!O:O)</f>
        <v>0.56999999999999995</v>
      </c>
      <c r="F82" s="129">
        <f t="shared" si="36"/>
        <v>3.1617297864344842E-5</v>
      </c>
      <c r="G82" s="129">
        <f t="shared" si="37"/>
        <v>5.2572948774433866E-5</v>
      </c>
      <c r="H82" s="130">
        <f t="shared" si="33"/>
        <v>0</v>
      </c>
      <c r="I82" s="129">
        <f t="shared" si="38"/>
        <v>0.65158795852435836</v>
      </c>
      <c r="J82" s="129">
        <f t="shared" si="39"/>
        <v>0.65158795852435836</v>
      </c>
      <c r="K82" s="127"/>
      <c r="L82" s="127"/>
      <c r="M82" s="127"/>
      <c r="N82" s="127"/>
      <c r="O82" s="128"/>
      <c r="P82" s="127"/>
      <c r="Q82" s="127"/>
      <c r="R82" s="126"/>
      <c r="S82" s="124"/>
      <c r="T82" s="124"/>
      <c r="U82" s="124"/>
      <c r="V82" s="125"/>
      <c r="W82" s="124"/>
      <c r="X82" s="123"/>
    </row>
    <row r="83" spans="1:24">
      <c r="A83" s="133">
        <f t="shared" si="34"/>
        <v>2095</v>
      </c>
      <c r="B83" s="27">
        <f>B82*(1+'Data for Q3'!$K$15)</f>
        <v>117135.61825356384</v>
      </c>
      <c r="C83" s="132">
        <f>1/(1+'Data for Q3'!$K$18)^(A83-$A$12-0.5)</f>
        <v>3.2074095322483932E-2</v>
      </c>
      <c r="D83" s="131">
        <f t="shared" si="35"/>
        <v>113</v>
      </c>
      <c r="E83" s="129">
        <f>_xlfn.XLOOKUP(D83,'Data for Q3'!N:N,'Data for Q3'!O:O)</f>
        <v>0.59</v>
      </c>
      <c r="F83" s="129">
        <f t="shared" si="36"/>
        <v>1.2963092124381387E-5</v>
      </c>
      <c r="G83" s="129">
        <f t="shared" si="37"/>
        <v>2.2290194994363116E-5</v>
      </c>
      <c r="H83" s="130">
        <f t="shared" si="33"/>
        <v>0</v>
      </c>
      <c r="I83" s="129">
        <f t="shared" si="38"/>
        <v>0.65158795852435836</v>
      </c>
      <c r="J83" s="129">
        <f t="shared" si="39"/>
        <v>0.65158795852435836</v>
      </c>
      <c r="K83" s="127"/>
      <c r="L83" s="127"/>
      <c r="M83" s="127"/>
      <c r="N83" s="127"/>
      <c r="O83" s="128"/>
      <c r="P83" s="127"/>
      <c r="Q83" s="127"/>
      <c r="R83" s="126"/>
      <c r="S83" s="124"/>
      <c r="T83" s="124"/>
      <c r="U83" s="124"/>
      <c r="V83" s="125"/>
      <c r="W83" s="124"/>
      <c r="X83" s="123"/>
    </row>
    <row r="84" spans="1:24">
      <c r="A84" s="133">
        <f t="shared" si="34"/>
        <v>2096</v>
      </c>
      <c r="B84" s="27">
        <f>B83*(1+'Data for Q3'!$K$15)</f>
        <v>122992.39916624203</v>
      </c>
      <c r="C84" s="132">
        <f>1/(1+'Data for Q3'!$K$18)^(A84-$A$12-0.5)</f>
        <v>3.0546757449984689E-2</v>
      </c>
      <c r="D84" s="131">
        <f t="shared" si="35"/>
        <v>114</v>
      </c>
      <c r="E84" s="129">
        <f>_xlfn.XLOOKUP(D84,'Data for Q3'!N:N,'Data for Q3'!O:O)</f>
        <v>0.61</v>
      </c>
      <c r="F84" s="129">
        <f t="shared" si="36"/>
        <v>5.0556059285087414E-6</v>
      </c>
      <c r="G84" s="129">
        <f t="shared" si="37"/>
        <v>9.0093490264450642E-6</v>
      </c>
      <c r="H84" s="130">
        <f t="shared" si="33"/>
        <v>0</v>
      </c>
      <c r="I84" s="129">
        <f t="shared" si="38"/>
        <v>0.65158795852435836</v>
      </c>
      <c r="J84" s="129">
        <f t="shared" si="39"/>
        <v>0.65158795852435836</v>
      </c>
      <c r="K84" s="127"/>
      <c r="L84" s="127"/>
      <c r="M84" s="127"/>
      <c r="N84" s="127"/>
      <c r="O84" s="128"/>
      <c r="P84" s="127"/>
      <c r="Q84" s="127"/>
      <c r="R84" s="126"/>
      <c r="S84" s="124"/>
      <c r="T84" s="124"/>
      <c r="U84" s="124"/>
      <c r="V84" s="125"/>
      <c r="W84" s="124"/>
      <c r="X84" s="123"/>
    </row>
    <row r="85" spans="1:24">
      <c r="A85" s="133">
        <f t="shared" si="34"/>
        <v>2097</v>
      </c>
      <c r="B85" s="27">
        <f>B84*(1+'Data for Q3'!$K$15)</f>
        <v>129142.01912455414</v>
      </c>
      <c r="C85" s="132">
        <f>1/(1+'Data for Q3'!$K$18)^(A85-$A$12-0.5)</f>
        <v>2.9092149952366367E-2</v>
      </c>
      <c r="D85" s="131">
        <f t="shared" si="35"/>
        <v>115</v>
      </c>
      <c r="E85" s="129">
        <f>_xlfn.XLOOKUP(D85,'Data for Q3'!N:N,'Data for Q3'!O:O)</f>
        <v>1</v>
      </c>
      <c r="F85" s="129">
        <f t="shared" si="36"/>
        <v>0</v>
      </c>
      <c r="G85" s="129">
        <f t="shared" si="37"/>
        <v>2.5278029642543707E-6</v>
      </c>
      <c r="H85" s="130">
        <f t="shared" si="33"/>
        <v>0</v>
      </c>
      <c r="I85" s="129">
        <f t="shared" si="38"/>
        <v>0.65158795852435836</v>
      </c>
      <c r="J85" s="129">
        <f t="shared" si="39"/>
        <v>0.65158795852435836</v>
      </c>
      <c r="K85" s="127"/>
      <c r="L85" s="127"/>
      <c r="M85" s="127"/>
      <c r="N85" s="127"/>
      <c r="O85" s="128"/>
      <c r="P85" s="127"/>
      <c r="Q85" s="127"/>
      <c r="R85" s="126"/>
      <c r="S85" s="124"/>
      <c r="T85" s="124"/>
      <c r="U85" s="124"/>
      <c r="V85" s="125"/>
      <c r="W85" s="124"/>
      <c r="X85" s="123"/>
    </row>
    <row r="86" spans="1:24" ht="15.75">
      <c r="A86" s="122"/>
      <c r="D86" s="121"/>
    </row>
    <row r="87" spans="1:24" ht="15.75">
      <c r="A87" s="122"/>
      <c r="D87" s="121"/>
    </row>
    <row r="88" spans="1:24" ht="15.75">
      <c r="A88" s="122"/>
      <c r="D88" s="121"/>
    </row>
    <row r="89" spans="1:24" ht="15.75">
      <c r="A89" s="122"/>
      <c r="D89" s="121"/>
    </row>
    <row r="90" spans="1:24" ht="15.75">
      <c r="A90" s="120"/>
      <c r="D90" s="119"/>
    </row>
    <row r="92" spans="1:24">
      <c r="A92" s="25"/>
      <c r="D92" s="119"/>
    </row>
  </sheetData>
  <mergeCells count="3">
    <mergeCell ref="D10:J10"/>
    <mergeCell ref="K10:Q10"/>
    <mergeCell ref="R10:X10"/>
  </mergeCells>
  <pageMargins left="0.7" right="0.7" top="0.75" bottom="0.75" header="0.3" footer="0.3"/>
  <ignoredErrors>
    <ignoredError sqref="H15:H25" formula="1"/>
  </ignoredError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3AEEA-1D05-4E95-96C7-4EBD219B60DF}">
  <dimension ref="A1:L24"/>
  <sheetViews>
    <sheetView zoomScale="85" zoomScaleNormal="85" workbookViewId="0">
      <selection activeCell="C8" sqref="C8"/>
    </sheetView>
  </sheetViews>
  <sheetFormatPr defaultColWidth="8.7109375" defaultRowHeight="15"/>
  <cols>
    <col min="2" max="2" width="30.28515625" customWidth="1"/>
    <col min="3" max="3" width="31.28515625" bestFit="1" customWidth="1"/>
    <col min="4" max="5" width="14.28515625" customWidth="1"/>
    <col min="6" max="6" width="16.28515625" customWidth="1"/>
  </cols>
  <sheetData>
    <row r="1" spans="1:12" ht="22.5">
      <c r="A1" s="2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5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126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48" t="s">
        <v>125</v>
      </c>
      <c r="B5" s="4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48" t="s">
        <v>124</v>
      </c>
      <c r="B6" s="4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48" t="s">
        <v>123</v>
      </c>
      <c r="B7" s="4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4" t="s">
        <v>255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3"/>
      <c r="B10" s="4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6" t="s">
        <v>122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4" t="s">
        <v>4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23" spans="1:12" ht="15.75">
      <c r="A23" s="6" t="s">
        <v>121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5.75">
      <c r="A24" s="4" t="s">
        <v>4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B863A-359F-4CC1-955E-443722E45FC5}">
  <dimension ref="B4:C27"/>
  <sheetViews>
    <sheetView topLeftCell="A4" zoomScale="85" zoomScaleNormal="85" workbookViewId="0">
      <selection activeCell="C12" sqref="C12"/>
    </sheetView>
  </sheetViews>
  <sheetFormatPr defaultColWidth="11.5703125" defaultRowHeight="15"/>
  <cols>
    <col min="2" max="2" width="53.5703125" bestFit="1" customWidth="1"/>
    <col min="3" max="3" width="11.5703125" style="96"/>
  </cols>
  <sheetData>
    <row r="4" spans="2:3">
      <c r="B4" s="25" t="s">
        <v>149</v>
      </c>
    </row>
    <row r="5" spans="2:3">
      <c r="B5" s="49" t="s">
        <v>148</v>
      </c>
      <c r="C5" s="244">
        <v>2500</v>
      </c>
    </row>
    <row r="6" spans="2:3">
      <c r="B6" s="49" t="s">
        <v>147</v>
      </c>
      <c r="C6" s="244">
        <v>1500</v>
      </c>
    </row>
    <row r="7" spans="2:3">
      <c r="B7" s="97" t="s">
        <v>146</v>
      </c>
      <c r="C7" s="244">
        <v>1000</v>
      </c>
    </row>
    <row r="8" spans="2:3">
      <c r="B8" s="97" t="s">
        <v>145</v>
      </c>
      <c r="C8" s="244">
        <v>500</v>
      </c>
    </row>
    <row r="9" spans="2:3">
      <c r="B9" s="49" t="s">
        <v>144</v>
      </c>
      <c r="C9" s="244">
        <v>300</v>
      </c>
    </row>
    <row r="10" spans="2:3">
      <c r="B10" s="49" t="s">
        <v>143</v>
      </c>
      <c r="C10" s="244">
        <v>1000</v>
      </c>
    </row>
    <row r="11" spans="2:3">
      <c r="B11" s="49" t="s">
        <v>142</v>
      </c>
      <c r="C11" s="244">
        <v>300</v>
      </c>
    </row>
    <row r="12" spans="2:3">
      <c r="B12" s="49" t="s">
        <v>141</v>
      </c>
      <c r="C12" s="244">
        <v>800</v>
      </c>
    </row>
    <row r="13" spans="2:3">
      <c r="B13" s="49" t="s">
        <v>140</v>
      </c>
      <c r="C13" s="244">
        <v>4000</v>
      </c>
    </row>
    <row r="14" spans="2:3">
      <c r="B14" s="49" t="s">
        <v>139</v>
      </c>
      <c r="C14" s="244">
        <v>200</v>
      </c>
    </row>
    <row r="15" spans="2:3">
      <c r="B15" s="49" t="s">
        <v>138</v>
      </c>
      <c r="C15" s="244">
        <v>800</v>
      </c>
    </row>
    <row r="16" spans="2:3">
      <c r="B16" s="49" t="s">
        <v>137</v>
      </c>
      <c r="C16" s="244">
        <v>950</v>
      </c>
    </row>
    <row r="18" spans="2:3">
      <c r="B18" s="25" t="s">
        <v>136</v>
      </c>
    </row>
    <row r="19" spans="2:3">
      <c r="B19" s="49" t="s">
        <v>135</v>
      </c>
      <c r="C19" s="244">
        <v>1500</v>
      </c>
    </row>
    <row r="20" spans="2:3">
      <c r="B20" s="49" t="s">
        <v>134</v>
      </c>
      <c r="C20" s="244">
        <v>2500</v>
      </c>
    </row>
    <row r="21" spans="2:3">
      <c r="B21" s="49" t="s">
        <v>133</v>
      </c>
      <c r="C21" s="244">
        <v>4000</v>
      </c>
    </row>
    <row r="22" spans="2:3">
      <c r="B22" s="49" t="s">
        <v>132</v>
      </c>
      <c r="C22" s="244">
        <v>200</v>
      </c>
    </row>
    <row r="23" spans="2:3">
      <c r="B23" s="49" t="s">
        <v>131</v>
      </c>
      <c r="C23" s="244">
        <v>500</v>
      </c>
    </row>
    <row r="24" spans="2:3">
      <c r="B24" s="49" t="s">
        <v>130</v>
      </c>
      <c r="C24" s="244">
        <v>100</v>
      </c>
    </row>
    <row r="25" spans="2:3">
      <c r="B25" s="49" t="s">
        <v>129</v>
      </c>
      <c r="C25" s="244">
        <v>300</v>
      </c>
    </row>
    <row r="27" spans="2:3">
      <c r="B27" s="49" t="s">
        <v>128</v>
      </c>
      <c r="C27" s="245">
        <v>1.01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397D9-3099-4F70-9D37-D7D31FDD479F}">
  <dimension ref="A3:D75"/>
  <sheetViews>
    <sheetView topLeftCell="A58" zoomScale="85" zoomScaleNormal="85" workbookViewId="0">
      <selection activeCell="C82" sqref="C82"/>
    </sheetView>
  </sheetViews>
  <sheetFormatPr defaultColWidth="9.85546875" defaultRowHeight="15"/>
  <cols>
    <col min="1" max="1" width="10.7109375" style="183" customWidth="1"/>
    <col min="2" max="2" width="50.7109375" style="183" customWidth="1"/>
    <col min="3" max="3" width="6.140625" style="184" bestFit="1" customWidth="1"/>
    <col min="4" max="4" width="9.85546875" style="185"/>
    <col min="5" max="16384" width="9.85546875" style="183"/>
  </cols>
  <sheetData>
    <row r="3" spans="1:4">
      <c r="D3" s="186"/>
    </row>
    <row r="4" spans="1:4">
      <c r="B4" s="187" t="s">
        <v>357</v>
      </c>
    </row>
    <row r="5" spans="1:4">
      <c r="B5" s="183" t="s">
        <v>148</v>
      </c>
      <c r="C5" s="184">
        <f>'Data for Q4'!C5</f>
        <v>2500</v>
      </c>
    </row>
    <row r="6" spans="1:4">
      <c r="B6" s="188" t="s">
        <v>358</v>
      </c>
      <c r="C6" s="184">
        <f>'Data for Q4'!C6</f>
        <v>1500</v>
      </c>
    </row>
    <row r="7" spans="1:4">
      <c r="A7" s="189"/>
      <c r="B7" s="190" t="s">
        <v>359</v>
      </c>
      <c r="C7" s="184">
        <f>'Data for Q4'!C7</f>
        <v>1000</v>
      </c>
    </row>
    <row r="8" spans="1:4">
      <c r="A8" s="189"/>
      <c r="B8" s="190" t="s">
        <v>360</v>
      </c>
      <c r="C8" s="184">
        <f>'Data for Q4'!C8</f>
        <v>500</v>
      </c>
    </row>
    <row r="9" spans="1:4">
      <c r="B9" s="191" t="s">
        <v>361</v>
      </c>
      <c r="C9" s="192">
        <f>SUM(C5:C8)</f>
        <v>5500</v>
      </c>
    </row>
    <row r="11" spans="1:4">
      <c r="B11" s="187" t="s">
        <v>362</v>
      </c>
    </row>
    <row r="12" spans="1:4">
      <c r="B12" s="183" t="s">
        <v>144</v>
      </c>
      <c r="C12" s="184">
        <f>'Data for Q4'!C9</f>
        <v>300</v>
      </c>
    </row>
    <row r="13" spans="1:4">
      <c r="B13" s="188" t="s">
        <v>363</v>
      </c>
      <c r="C13" s="184">
        <f>'Data for Q4'!C10</f>
        <v>1000</v>
      </c>
    </row>
    <row r="14" spans="1:4">
      <c r="B14" s="188" t="s">
        <v>364</v>
      </c>
      <c r="C14" s="184">
        <f>'Data for Q4'!C11</f>
        <v>300</v>
      </c>
    </row>
    <row r="15" spans="1:4">
      <c r="B15" s="188" t="s">
        <v>365</v>
      </c>
      <c r="C15" s="184">
        <f>70%*'Data for Q4'!C12</f>
        <v>560</v>
      </c>
    </row>
    <row r="16" spans="1:4">
      <c r="B16" s="191" t="s">
        <v>366</v>
      </c>
      <c r="C16" s="192">
        <f>SUM(C12:C15)</f>
        <v>2160</v>
      </c>
    </row>
    <row r="18" spans="2:3">
      <c r="B18" s="187" t="s">
        <v>367</v>
      </c>
    </row>
    <row r="19" spans="2:3">
      <c r="B19" s="183" t="s">
        <v>361</v>
      </c>
      <c r="C19" s="184">
        <f>C9</f>
        <v>5500</v>
      </c>
    </row>
    <row r="20" spans="2:3">
      <c r="B20" s="193" t="s">
        <v>368</v>
      </c>
      <c r="C20" s="194">
        <f>C16</f>
        <v>2160</v>
      </c>
    </row>
    <row r="21" spans="2:3">
      <c r="B21" s="183" t="s">
        <v>369</v>
      </c>
      <c r="C21" s="184">
        <f>C19-C20</f>
        <v>3340</v>
      </c>
    </row>
    <row r="23" spans="2:3">
      <c r="B23" s="187" t="s">
        <v>370</v>
      </c>
    </row>
    <row r="24" spans="2:3">
      <c r="B24" s="183" t="s">
        <v>140</v>
      </c>
      <c r="C24" s="184">
        <f>'Data for Q4'!C13</f>
        <v>4000</v>
      </c>
    </row>
    <row r="25" spans="2:3">
      <c r="B25" s="188" t="s">
        <v>365</v>
      </c>
      <c r="C25" s="184">
        <f>70%*'Data for Q4'!C12</f>
        <v>560</v>
      </c>
    </row>
    <row r="26" spans="2:3">
      <c r="B26" s="191" t="s">
        <v>371</v>
      </c>
      <c r="C26" s="192">
        <f>C24+C25</f>
        <v>4560</v>
      </c>
    </row>
    <row r="28" spans="2:3">
      <c r="B28" s="187" t="s">
        <v>372</v>
      </c>
    </row>
    <row r="29" spans="2:3">
      <c r="B29" s="183" t="s">
        <v>373</v>
      </c>
      <c r="C29" s="184">
        <v>0</v>
      </c>
    </row>
    <row r="31" spans="2:3">
      <c r="B31" s="187" t="s">
        <v>367</v>
      </c>
    </row>
    <row r="32" spans="2:3">
      <c r="B32" s="183" t="s">
        <v>371</v>
      </c>
      <c r="C32" s="184">
        <f>C26</f>
        <v>4560</v>
      </c>
    </row>
    <row r="33" spans="2:3">
      <c r="B33" s="188" t="s">
        <v>374</v>
      </c>
      <c r="C33" s="184">
        <f>C29</f>
        <v>0</v>
      </c>
    </row>
    <row r="34" spans="2:3">
      <c r="B34" s="191" t="s">
        <v>375</v>
      </c>
      <c r="C34" s="192">
        <f>C26-C29</f>
        <v>4560</v>
      </c>
    </row>
    <row r="35" spans="2:3">
      <c r="B35" s="243" t="s">
        <v>376</v>
      </c>
    </row>
    <row r="36" spans="2:3">
      <c r="B36" s="183" t="s">
        <v>375</v>
      </c>
      <c r="C36" s="184">
        <f>MIN(C21, C34)</f>
        <v>3340</v>
      </c>
    </row>
    <row r="38" spans="2:3">
      <c r="B38" s="187" t="s">
        <v>377</v>
      </c>
    </row>
    <row r="39" spans="2:3">
      <c r="B39" s="183" t="s">
        <v>139</v>
      </c>
      <c r="C39" s="184">
        <f>'Data for Q4'!C14</f>
        <v>200</v>
      </c>
    </row>
    <row r="40" spans="2:3">
      <c r="B40" s="188" t="s">
        <v>378</v>
      </c>
      <c r="C40" s="184">
        <f>'Data for Q4'!C15</f>
        <v>800</v>
      </c>
    </row>
    <row r="41" spans="2:3">
      <c r="B41" s="191" t="s">
        <v>379</v>
      </c>
      <c r="C41" s="192">
        <f>C39+C40</f>
        <v>1000</v>
      </c>
    </row>
    <row r="43" spans="2:3">
      <c r="B43" s="187" t="s">
        <v>380</v>
      </c>
    </row>
    <row r="44" spans="2:3">
      <c r="B44" s="183" t="s">
        <v>369</v>
      </c>
      <c r="C44" s="184">
        <f>C21</f>
        <v>3340</v>
      </c>
    </row>
    <row r="45" spans="2:3">
      <c r="B45" s="188" t="s">
        <v>381</v>
      </c>
      <c r="C45" s="184">
        <f>C36</f>
        <v>3340</v>
      </c>
    </row>
    <row r="46" spans="2:3">
      <c r="B46" s="191" t="s">
        <v>382</v>
      </c>
      <c r="C46" s="192">
        <f>C44+C45</f>
        <v>6680</v>
      </c>
    </row>
    <row r="48" spans="2:3">
      <c r="B48" s="187" t="s">
        <v>383</v>
      </c>
    </row>
    <row r="49" spans="2:3">
      <c r="B49" s="183" t="s">
        <v>135</v>
      </c>
      <c r="C49" s="184">
        <f>'Data for Q4'!C19</f>
        <v>1500</v>
      </c>
    </row>
    <row r="50" spans="2:3">
      <c r="B50" s="188" t="s">
        <v>384</v>
      </c>
      <c r="C50" s="184">
        <f>'Data for Q4'!C20</f>
        <v>2500</v>
      </c>
    </row>
    <row r="51" spans="2:3">
      <c r="B51" s="188" t="s">
        <v>385</v>
      </c>
      <c r="C51" s="184">
        <f>'Data for Q4'!C21</f>
        <v>4000</v>
      </c>
    </row>
    <row r="52" spans="2:3">
      <c r="B52" s="188" t="s">
        <v>386</v>
      </c>
      <c r="C52" s="184">
        <f>'Data for Q4'!C22</f>
        <v>200</v>
      </c>
    </row>
    <row r="53" spans="2:3">
      <c r="B53" s="188" t="s">
        <v>387</v>
      </c>
      <c r="C53" s="184">
        <f>'Data for Q4'!C23</f>
        <v>500</v>
      </c>
    </row>
    <row r="54" spans="2:3">
      <c r="B54" s="188" t="s">
        <v>388</v>
      </c>
      <c r="C54" s="184">
        <f>-'Data for Q4'!C24</f>
        <v>-100</v>
      </c>
    </row>
    <row r="55" spans="2:3">
      <c r="B55" s="188" t="s">
        <v>389</v>
      </c>
      <c r="C55" s="184">
        <f>-'Data for Q4'!C25</f>
        <v>-300</v>
      </c>
    </row>
    <row r="56" spans="2:3">
      <c r="B56" s="191" t="s">
        <v>303</v>
      </c>
      <c r="C56" s="192">
        <f>SUM(C49:C55)</f>
        <v>8300</v>
      </c>
    </row>
    <row r="57" spans="2:3">
      <c r="B57" s="188" t="s">
        <v>390</v>
      </c>
      <c r="C57" s="196">
        <f>'Data for Q4'!C27</f>
        <v>1.01</v>
      </c>
    </row>
    <row r="58" spans="2:3">
      <c r="B58" s="191" t="s">
        <v>391</v>
      </c>
      <c r="C58" s="192">
        <f>C56*C57</f>
        <v>8383</v>
      </c>
    </row>
    <row r="60" spans="2:3">
      <c r="B60" s="187" t="s">
        <v>392</v>
      </c>
    </row>
    <row r="61" spans="2:3">
      <c r="B61" s="183" t="s">
        <v>393</v>
      </c>
      <c r="C61" s="184">
        <f>C46</f>
        <v>6680</v>
      </c>
    </row>
    <row r="62" spans="2:3">
      <c r="B62" s="188" t="s">
        <v>394</v>
      </c>
      <c r="C62" s="184">
        <f>'Data for Q4'!C16</f>
        <v>950</v>
      </c>
    </row>
    <row r="63" spans="2:3">
      <c r="B63" s="188" t="s">
        <v>395</v>
      </c>
      <c r="C63" s="184">
        <f>C41</f>
        <v>1000</v>
      </c>
    </row>
    <row r="64" spans="2:3">
      <c r="B64" s="188" t="s">
        <v>396</v>
      </c>
      <c r="C64" s="184">
        <f>C58</f>
        <v>8383</v>
      </c>
    </row>
    <row r="65" spans="2:3">
      <c r="B65" s="191" t="s">
        <v>397</v>
      </c>
      <c r="C65" s="197">
        <f>(C61+C62+C63)/C64</f>
        <v>1.0294643922223548</v>
      </c>
    </row>
    <row r="67" spans="2:3">
      <c r="B67" s="187" t="s">
        <v>398</v>
      </c>
    </row>
    <row r="68" spans="2:3">
      <c r="B68" s="183" t="s">
        <v>399</v>
      </c>
      <c r="C68" s="184">
        <f>C21</f>
        <v>3340</v>
      </c>
    </row>
    <row r="69" spans="2:3">
      <c r="B69" s="188" t="s">
        <v>400</v>
      </c>
      <c r="C69" s="184">
        <f>70%*'Data for Q4'!C16</f>
        <v>665</v>
      </c>
    </row>
    <row r="70" spans="2:3">
      <c r="B70" s="188" t="s">
        <v>401</v>
      </c>
      <c r="C70" s="184">
        <f>70%*C41</f>
        <v>700</v>
      </c>
    </row>
    <row r="71" spans="2:3">
      <c r="B71" s="183" t="s">
        <v>402</v>
      </c>
      <c r="C71" s="184">
        <f>C58</f>
        <v>8383</v>
      </c>
    </row>
    <row r="72" spans="2:3">
      <c r="B72" s="191" t="s">
        <v>403</v>
      </c>
      <c r="C72" s="197">
        <f>(C68+C69+C70)/C71</f>
        <v>0.56125492067279015</v>
      </c>
    </row>
    <row r="75" spans="2:3">
      <c r="B75" s="19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C35CF-1878-4771-B32C-C27AD5EA9C0C}">
  <dimension ref="A1:L38"/>
  <sheetViews>
    <sheetView zoomScale="85" zoomScaleNormal="85" workbookViewId="0">
      <selection activeCell="C9" sqref="C9"/>
    </sheetView>
  </sheetViews>
  <sheetFormatPr defaultColWidth="8.7109375" defaultRowHeight="15"/>
  <cols>
    <col min="2" max="2" width="19.28515625" customWidth="1"/>
    <col min="3" max="4" width="52" customWidth="1"/>
    <col min="5" max="5" width="14.28515625" customWidth="1"/>
    <col min="6" max="6" width="16.28515625" customWidth="1"/>
  </cols>
  <sheetData>
    <row r="1" spans="1:12" ht="22.5">
      <c r="A1" s="2" t="s">
        <v>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172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5" t="s">
        <v>256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5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48" t="s">
        <v>173</v>
      </c>
      <c r="B7" s="4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48" t="s">
        <v>174</v>
      </c>
      <c r="B8" s="4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48" t="s">
        <v>175</v>
      </c>
      <c r="B9" s="4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5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4" t="s">
        <v>176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5" t="s">
        <v>4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.75">
      <c r="A13" s="1"/>
    </row>
    <row r="14" spans="1:12" ht="15.75">
      <c r="A14" s="1"/>
    </row>
    <row r="15" spans="1:12" ht="15.75">
      <c r="A15" s="1"/>
    </row>
    <row r="16" spans="1:12" ht="15.75">
      <c r="A16" s="1"/>
    </row>
    <row r="17" spans="1:12" ht="15.75">
      <c r="A17" s="1"/>
    </row>
    <row r="18" spans="1:12" ht="15.75">
      <c r="A18" s="1"/>
    </row>
    <row r="19" spans="1:12" ht="15.75">
      <c r="A19" s="1"/>
    </row>
    <row r="20" spans="1:12" ht="15.75">
      <c r="A20" s="1"/>
    </row>
    <row r="21" spans="1:12" ht="15.75">
      <c r="A21" s="1"/>
    </row>
    <row r="22" spans="1:12" ht="15.75">
      <c r="A22" s="1"/>
    </row>
    <row r="23" spans="1:12" ht="15.75">
      <c r="A23" s="4" t="s">
        <v>177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5.75">
      <c r="A24" s="3"/>
      <c r="B24" s="4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5.75">
      <c r="A25" s="6" t="s">
        <v>257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5.75">
      <c r="A26" s="4" t="s">
        <v>4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37" spans="1:12" ht="15.75">
      <c r="A37" s="6" t="s">
        <v>258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5.75">
      <c r="A38" s="4" t="s">
        <v>4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</sheetData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3E1C-D21F-4510-9F38-0B2D57100D70}">
  <dimension ref="B1:E27"/>
  <sheetViews>
    <sheetView showGridLines="0" zoomScale="85" zoomScaleNormal="85" workbookViewId="0">
      <selection activeCell="C22" sqref="C22"/>
    </sheetView>
  </sheetViews>
  <sheetFormatPr defaultColWidth="8.7109375" defaultRowHeight="15"/>
  <cols>
    <col min="2" max="2" width="34.5703125" customWidth="1"/>
    <col min="3" max="3" width="13.7109375" customWidth="1"/>
    <col min="4" max="5" width="14.28515625" customWidth="1"/>
    <col min="7" max="7" width="15.28515625" customWidth="1"/>
    <col min="8" max="8" width="8.28515625" bestFit="1" customWidth="1"/>
  </cols>
  <sheetData>
    <row r="1" spans="2:5" ht="15.75">
      <c r="B1" s="1"/>
      <c r="C1" s="1"/>
    </row>
    <row r="2" spans="2:5" ht="16.5" thickBot="1">
      <c r="B2" s="1" t="s">
        <v>154</v>
      </c>
      <c r="C2" s="1"/>
    </row>
    <row r="3" spans="2:5" ht="15.75">
      <c r="B3" s="313" t="s">
        <v>155</v>
      </c>
      <c r="C3" s="54"/>
      <c r="D3" s="55" t="s">
        <v>73</v>
      </c>
      <c r="E3" s="56" t="s">
        <v>74</v>
      </c>
    </row>
    <row r="4" spans="2:5" ht="15.75">
      <c r="B4" s="314"/>
      <c r="C4" s="57" t="s">
        <v>75</v>
      </c>
      <c r="D4" s="58">
        <v>331</v>
      </c>
      <c r="E4" s="59">
        <v>391</v>
      </c>
    </row>
    <row r="5" spans="2:5" ht="16.5" thickBot="1">
      <c r="B5" s="84"/>
      <c r="C5" s="60"/>
      <c r="D5" s="61"/>
      <c r="E5" s="62"/>
    </row>
    <row r="6" spans="2:5" ht="31.5" customHeight="1" thickBot="1">
      <c r="B6" s="84" t="s">
        <v>156</v>
      </c>
      <c r="C6" s="63">
        <v>0.08</v>
      </c>
      <c r="D6" s="100" t="s">
        <v>157</v>
      </c>
      <c r="E6" s="65"/>
    </row>
    <row r="7" spans="2:5" ht="15.75">
      <c r="B7" s="98" t="s">
        <v>76</v>
      </c>
      <c r="C7" s="54"/>
      <c r="D7" s="66" t="s">
        <v>158</v>
      </c>
      <c r="E7" s="67" t="s">
        <v>77</v>
      </c>
    </row>
    <row r="8" spans="2:5" ht="15.75">
      <c r="B8" s="99"/>
      <c r="C8" s="57" t="s">
        <v>75</v>
      </c>
      <c r="D8" s="68">
        <v>8.99</v>
      </c>
      <c r="E8" s="69">
        <v>19.989999999999998</v>
      </c>
    </row>
    <row r="9" spans="2:5" ht="16.5" thickBot="1">
      <c r="B9" s="84"/>
      <c r="C9" s="60"/>
      <c r="D9" s="70"/>
      <c r="E9" s="71"/>
    </row>
    <row r="10" spans="2:5" ht="31.5" customHeight="1" thickBot="1">
      <c r="B10" s="84" t="s">
        <v>159</v>
      </c>
      <c r="C10" s="63">
        <v>0</v>
      </c>
      <c r="D10" s="100"/>
      <c r="E10" s="65"/>
    </row>
    <row r="11" spans="2:5" ht="16.5" thickBot="1">
      <c r="B11" s="84" t="s">
        <v>78</v>
      </c>
      <c r="C11" s="63">
        <v>0.9</v>
      </c>
      <c r="D11" s="64"/>
      <c r="E11" s="65"/>
    </row>
    <row r="12" spans="2:5" ht="16.5" thickBot="1">
      <c r="B12" s="84" t="s">
        <v>79</v>
      </c>
      <c r="C12" s="63" t="s">
        <v>80</v>
      </c>
      <c r="D12" s="64"/>
      <c r="E12" s="65"/>
    </row>
    <row r="14" spans="2:5" ht="16.5" thickBot="1">
      <c r="B14" s="1" t="s">
        <v>183</v>
      </c>
      <c r="C14" s="1"/>
    </row>
    <row r="15" spans="2:5" ht="16.5" thickBot="1">
      <c r="B15" s="50" t="s">
        <v>5</v>
      </c>
      <c r="C15" s="51" t="s">
        <v>70</v>
      </c>
    </row>
    <row r="16" spans="2:5" ht="16.5" thickBot="1">
      <c r="B16" s="52" t="s">
        <v>71</v>
      </c>
      <c r="C16" s="53">
        <v>0</v>
      </c>
    </row>
    <row r="17" spans="2:3" ht="16.5" thickBot="1">
      <c r="B17" s="52">
        <v>61</v>
      </c>
      <c r="C17" s="53">
        <v>1</v>
      </c>
    </row>
    <row r="18" spans="2:3" ht="16.5" thickBot="1">
      <c r="B18" s="52">
        <v>62</v>
      </c>
      <c r="C18" s="53">
        <v>1</v>
      </c>
    </row>
    <row r="19" spans="2:3" ht="16.5" thickBot="1">
      <c r="B19" s="52">
        <v>63</v>
      </c>
      <c r="C19" s="53">
        <v>0</v>
      </c>
    </row>
    <row r="20" spans="2:3" ht="16.5" thickBot="1">
      <c r="B20" s="52">
        <v>64</v>
      </c>
      <c r="C20" s="53">
        <v>1</v>
      </c>
    </row>
    <row r="21" spans="2:3" ht="16.5" thickBot="1">
      <c r="B21" s="52" t="s">
        <v>72</v>
      </c>
      <c r="C21" s="53">
        <v>0</v>
      </c>
    </row>
    <row r="22" spans="2:3" ht="15.75">
      <c r="B22" s="1"/>
      <c r="C22" s="1"/>
    </row>
    <row r="23" spans="2:3" ht="15.75">
      <c r="B23" s="1" t="s">
        <v>178</v>
      </c>
    </row>
    <row r="24" spans="2:3" ht="15.75">
      <c r="B24" s="101" t="s">
        <v>179</v>
      </c>
    </row>
    <row r="25" spans="2:3" ht="15.75">
      <c r="B25" s="101" t="s">
        <v>180</v>
      </c>
    </row>
    <row r="26" spans="2:3" ht="15.75">
      <c r="B26" s="101" t="s">
        <v>182</v>
      </c>
    </row>
    <row r="27" spans="2:3" ht="15.75">
      <c r="B27" s="101" t="s">
        <v>181</v>
      </c>
    </row>
  </sheetData>
  <mergeCells count="1">
    <mergeCell ref="B3:B4"/>
  </mergeCell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923F7-2A10-47B2-B414-BFF49775B2E2}">
  <dimension ref="A2:K19"/>
  <sheetViews>
    <sheetView showGridLines="0" zoomScale="85" zoomScaleNormal="85" workbookViewId="0">
      <selection activeCell="E11" sqref="E11"/>
    </sheetView>
  </sheetViews>
  <sheetFormatPr defaultColWidth="8.7109375" defaultRowHeight="15"/>
  <cols>
    <col min="1" max="1" width="8.7109375" style="22"/>
    <col min="2" max="2" width="27.140625" style="22" customWidth="1"/>
    <col min="3" max="5" width="15.85546875" style="22" customWidth="1"/>
    <col min="7" max="9" width="8.7109375" style="22"/>
    <col min="11" max="16384" width="8.7109375" style="22"/>
  </cols>
  <sheetData>
    <row r="2" spans="1:11">
      <c r="A2" s="180" t="s">
        <v>335</v>
      </c>
      <c r="B2" s="179"/>
      <c r="C2" s="179"/>
      <c r="D2" s="179"/>
      <c r="F2" s="22"/>
      <c r="J2" s="22"/>
    </row>
    <row r="3" spans="1:11">
      <c r="F3" s="22"/>
      <c r="J3" s="22"/>
    </row>
    <row r="4" spans="1:11">
      <c r="A4" s="178" t="s">
        <v>334</v>
      </c>
      <c r="B4" s="176"/>
      <c r="C4" s="176"/>
      <c r="D4" s="176"/>
      <c r="E4" s="176"/>
      <c r="F4" s="177"/>
      <c r="G4" s="176"/>
      <c r="H4" s="176"/>
      <c r="I4" s="176"/>
      <c r="J4" s="177"/>
      <c r="K4" s="176"/>
    </row>
    <row r="6" spans="1:11">
      <c r="A6" s="22" t="s">
        <v>333</v>
      </c>
    </row>
    <row r="7" spans="1:11">
      <c r="B7" s="175" t="s">
        <v>5</v>
      </c>
      <c r="C7" s="175" t="s">
        <v>70</v>
      </c>
    </row>
    <row r="8" spans="1:11" ht="15" customHeight="1">
      <c r="B8" s="174" t="s">
        <v>71</v>
      </c>
      <c r="C8" s="174">
        <f>'Data for Q5'!C16</f>
        <v>0</v>
      </c>
    </row>
    <row r="9" spans="1:11">
      <c r="B9" s="174">
        <v>61</v>
      </c>
      <c r="C9" s="174">
        <f>'Data for Q5'!C17</f>
        <v>1</v>
      </c>
    </row>
    <row r="10" spans="1:11">
      <c r="B10" s="174">
        <v>62</v>
      </c>
      <c r="C10" s="174">
        <f>'Data for Q5'!C18</f>
        <v>1</v>
      </c>
    </row>
    <row r="11" spans="1:11">
      <c r="B11" s="174">
        <v>63</v>
      </c>
      <c r="C11" s="174">
        <f>'Data for Q5'!C19</f>
        <v>0</v>
      </c>
    </row>
    <row r="12" spans="1:11">
      <c r="B12" s="174">
        <v>64</v>
      </c>
      <c r="C12" s="174">
        <f>'Data for Q5'!C20</f>
        <v>1</v>
      </c>
    </row>
    <row r="13" spans="1:11">
      <c r="B13" s="174" t="s">
        <v>72</v>
      </c>
      <c r="C13" s="174">
        <f>'Data for Q5'!C21</f>
        <v>0</v>
      </c>
    </row>
    <row r="15" spans="1:11">
      <c r="A15" s="173" t="s">
        <v>332</v>
      </c>
    </row>
    <row r="17" spans="1:5">
      <c r="A17" s="22" t="s">
        <v>331</v>
      </c>
    </row>
    <row r="18" spans="1:5">
      <c r="B18" s="17"/>
      <c r="C18" s="172" t="s">
        <v>330</v>
      </c>
      <c r="D18" s="172" t="s">
        <v>329</v>
      </c>
      <c r="E18" s="172" t="s">
        <v>303</v>
      </c>
    </row>
    <row r="19" spans="1:5">
      <c r="B19" s="17" t="s">
        <v>70</v>
      </c>
      <c r="C19" s="171">
        <f>('Data for Q5'!$E$4*12)*SUM($C$8:$C$12)/0.9*(1+0.09)</f>
        <v>17047.600000000002</v>
      </c>
      <c r="D19" s="171">
        <f>('Data for Q5'!$D$8*12)*SUM($C$8:$C$12)/'Data for Q5'!$C$11*(1+0.09)</f>
        <v>391.964</v>
      </c>
      <c r="E19" s="170">
        <f>SUM(C19:D19)</f>
        <v>17439.564000000002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923AE-4565-4439-AF99-CF76F237017B}">
  <dimension ref="A2:K60"/>
  <sheetViews>
    <sheetView showGridLines="0" zoomScale="85" zoomScaleNormal="85" workbookViewId="0">
      <selection activeCell="D18" sqref="D18"/>
    </sheetView>
  </sheetViews>
  <sheetFormatPr defaultColWidth="8.7109375" defaultRowHeight="15"/>
  <cols>
    <col min="1" max="1" width="8.7109375" style="22"/>
    <col min="2" max="2" width="27.140625" style="22" customWidth="1"/>
    <col min="3" max="5" width="15.85546875" style="22" customWidth="1"/>
    <col min="7" max="9" width="8.7109375" style="22"/>
    <col min="11" max="16384" width="8.7109375" style="22"/>
  </cols>
  <sheetData>
    <row r="2" spans="1:11">
      <c r="A2" s="180" t="s">
        <v>335</v>
      </c>
      <c r="B2" s="179"/>
      <c r="C2" s="179"/>
      <c r="D2" s="179"/>
      <c r="F2" s="22"/>
      <c r="J2" s="22"/>
    </row>
    <row r="3" spans="1:11">
      <c r="F3" s="22"/>
      <c r="J3" s="22"/>
    </row>
    <row r="4" spans="1:11">
      <c r="A4" s="178" t="s">
        <v>356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</row>
    <row r="5" spans="1:11">
      <c r="F5" s="22"/>
      <c r="J5" s="22"/>
    </row>
    <row r="6" spans="1:11">
      <c r="B6" s="35" t="s">
        <v>70</v>
      </c>
      <c r="F6" s="22"/>
      <c r="J6" s="22"/>
    </row>
    <row r="7" spans="1:11">
      <c r="A7" s="173" t="s">
        <v>73</v>
      </c>
      <c r="B7" s="171">
        <f>'Data for Q5'!$D$4*(1+'Data for Q5'!C6)</f>
        <v>357.48</v>
      </c>
      <c r="F7" s="22"/>
      <c r="J7" s="22"/>
    </row>
    <row r="8" spans="1:11">
      <c r="A8" s="173" t="s">
        <v>74</v>
      </c>
      <c r="B8" s="171">
        <f>'Data for Q5'!$E$4*(1+'Data for Q5'!C6)</f>
        <v>422.28000000000003</v>
      </c>
      <c r="C8" s="182"/>
      <c r="F8" s="22"/>
      <c r="J8" s="22"/>
    </row>
    <row r="9" spans="1:11">
      <c r="F9" s="22"/>
      <c r="J9" s="22"/>
    </row>
    <row r="10" spans="1:11">
      <c r="A10" s="178" t="s">
        <v>355</v>
      </c>
      <c r="B10" s="176"/>
      <c r="C10" s="176"/>
      <c r="D10" s="176"/>
      <c r="E10" s="176"/>
      <c r="F10" s="176"/>
      <c r="G10" s="176"/>
      <c r="H10" s="176"/>
      <c r="I10" s="176"/>
      <c r="J10" s="176"/>
      <c r="K10" s="176"/>
    </row>
    <row r="11" spans="1:11">
      <c r="F11" s="22"/>
      <c r="J11" s="22"/>
    </row>
    <row r="12" spans="1:11">
      <c r="A12" s="180" t="s">
        <v>354</v>
      </c>
      <c r="B12" s="180"/>
      <c r="C12" s="180"/>
      <c r="D12" s="180"/>
      <c r="F12" s="22"/>
      <c r="J12" s="22"/>
    </row>
    <row r="14" spans="1:11">
      <c r="A14" s="22" t="s">
        <v>353</v>
      </c>
    </row>
    <row r="16" spans="1:11">
      <c r="A16" s="22" t="s">
        <v>352</v>
      </c>
    </row>
    <row r="17" spans="1:11">
      <c r="B17" s="35" t="s">
        <v>70</v>
      </c>
    </row>
    <row r="18" spans="1:11">
      <c r="A18" s="173" t="s">
        <v>73</v>
      </c>
      <c r="B18" s="171">
        <f>B7*0.18</f>
        <v>64.346400000000003</v>
      </c>
    </row>
    <row r="19" spans="1:11">
      <c r="A19" s="173" t="s">
        <v>74</v>
      </c>
      <c r="B19" s="171">
        <f>B8*0.18</f>
        <v>76.010400000000004</v>
      </c>
    </row>
    <row r="21" spans="1:11">
      <c r="A21" s="178" t="s">
        <v>351</v>
      </c>
      <c r="B21" s="176"/>
      <c r="C21" s="176"/>
      <c r="D21" s="176"/>
      <c r="E21" s="176"/>
      <c r="F21" s="177"/>
      <c r="G21" s="176"/>
      <c r="H21" s="176"/>
      <c r="I21" s="176"/>
      <c r="J21" s="177"/>
      <c r="K21" s="176"/>
    </row>
    <row r="23" spans="1:11">
      <c r="A23" s="22" t="s">
        <v>350</v>
      </c>
    </row>
    <row r="24" spans="1:11">
      <c r="B24" s="175" t="s">
        <v>5</v>
      </c>
      <c r="C24" s="175" t="s">
        <v>70</v>
      </c>
    </row>
    <row r="25" spans="1:11" ht="15" customHeight="1">
      <c r="B25" s="174" t="s">
        <v>71</v>
      </c>
      <c r="C25" s="174">
        <v>0</v>
      </c>
    </row>
    <row r="26" spans="1:11">
      <c r="B26" s="174">
        <v>61</v>
      </c>
      <c r="C26" s="174">
        <v>0</v>
      </c>
    </row>
    <row r="27" spans="1:11">
      <c r="B27" s="174">
        <v>62</v>
      </c>
      <c r="C27" s="174">
        <v>1</v>
      </c>
    </row>
    <row r="28" spans="1:11">
      <c r="B28" s="174">
        <v>63</v>
      </c>
      <c r="C28" s="174">
        <v>1</v>
      </c>
    </row>
    <row r="29" spans="1:11">
      <c r="B29" s="174">
        <v>64</v>
      </c>
      <c r="C29" s="174">
        <v>0</v>
      </c>
    </row>
    <row r="30" spans="1:11">
      <c r="B30" s="174" t="s">
        <v>72</v>
      </c>
      <c r="C30" s="174">
        <v>1</v>
      </c>
    </row>
    <row r="32" spans="1:11">
      <c r="A32" s="22" t="s">
        <v>349</v>
      </c>
    </row>
    <row r="33" spans="1:5">
      <c r="B33" s="17"/>
      <c r="C33" s="172" t="s">
        <v>330</v>
      </c>
      <c r="D33" s="172" t="s">
        <v>329</v>
      </c>
      <c r="E33" s="172" t="s">
        <v>303</v>
      </c>
    </row>
    <row r="34" spans="1:5">
      <c r="B34" s="17" t="s">
        <v>70</v>
      </c>
      <c r="C34" s="171">
        <f>($B$19*12)*SUM($C$25:$C$29)/'Data for Q5'!$C$11*(1+0.09)</f>
        <v>2209.3689600000002</v>
      </c>
      <c r="D34" s="171">
        <f>('Data for Q5'!$E$8*12)*SUM($C$25:$C$29)/'Data for Q5'!$C$11*(1+0.09)</f>
        <v>581.04266666666661</v>
      </c>
      <c r="E34" s="181">
        <f>SUM(C34:D34)</f>
        <v>2790.411626666667</v>
      </c>
    </row>
    <row r="35" spans="1:5">
      <c r="A35" s="173"/>
      <c r="B35" s="173"/>
      <c r="C35" s="173"/>
      <c r="D35" s="173"/>
      <c r="E35" s="173"/>
    </row>
    <row r="36" spans="1:5">
      <c r="A36" s="22" t="s">
        <v>348</v>
      </c>
    </row>
    <row r="38" spans="1:5">
      <c r="A38" s="22" t="s">
        <v>347</v>
      </c>
    </row>
    <row r="39" spans="1:5">
      <c r="A39" s="22" t="s">
        <v>346</v>
      </c>
    </row>
    <row r="40" spans="1:5">
      <c r="A40" s="22" t="s">
        <v>345</v>
      </c>
    </row>
    <row r="41" spans="1:5">
      <c r="A41" s="22" t="s">
        <v>344</v>
      </c>
    </row>
    <row r="42" spans="1:5">
      <c r="A42" s="22" t="s">
        <v>343</v>
      </c>
    </row>
    <row r="44" spans="1:5">
      <c r="A44" s="22" t="s">
        <v>342</v>
      </c>
    </row>
    <row r="46" spans="1:5">
      <c r="A46" s="22" t="s">
        <v>341</v>
      </c>
      <c r="D46" s="181" t="s">
        <v>303</v>
      </c>
    </row>
    <row r="47" spans="1:5">
      <c r="B47" s="22" t="s">
        <v>337</v>
      </c>
      <c r="C47" s="181">
        <f>(($B$19+'Data for Q5'!$E$8)*12)*$C$30/'Data for Q5'!$C$11*(1+0.09)</f>
        <v>1395.2058133333335</v>
      </c>
      <c r="D47" s="170">
        <f>C47+$E$34</f>
        <v>4185.61744</v>
      </c>
    </row>
    <row r="48" spans="1:5">
      <c r="B48" s="22" t="s">
        <v>336</v>
      </c>
      <c r="C48" s="181">
        <f>((22.9+33%*($B$18+'Data for Q5'!$E$8-22.9))*12)*$C$30/'Data for Q5'!$C$11*(1+0.09)</f>
        <v>627.46230773333332</v>
      </c>
      <c r="D48" s="170">
        <f>C48+$E$34</f>
        <v>3417.8739344000005</v>
      </c>
    </row>
    <row r="50" spans="1:11">
      <c r="A50" s="178" t="s">
        <v>340</v>
      </c>
      <c r="B50" s="176"/>
      <c r="C50" s="176"/>
      <c r="D50" s="176"/>
      <c r="E50" s="176"/>
      <c r="F50" s="177"/>
      <c r="G50" s="176"/>
      <c r="H50" s="176"/>
      <c r="I50" s="176"/>
      <c r="J50" s="177"/>
      <c r="K50" s="176"/>
    </row>
    <row r="52" spans="1:11">
      <c r="A52" s="22" t="s">
        <v>339</v>
      </c>
    </row>
    <row r="54" spans="1:11">
      <c r="B54" s="17"/>
      <c r="C54" s="172" t="s">
        <v>330</v>
      </c>
      <c r="D54" s="172" t="s">
        <v>329</v>
      </c>
      <c r="E54" s="172" t="s">
        <v>303</v>
      </c>
    </row>
    <row r="55" spans="1:11">
      <c r="B55" s="17" t="s">
        <v>70</v>
      </c>
      <c r="C55" s="171">
        <f>($B$8*12)*SUM($C$25:$C$29)/'Data for Q5'!$C$11*(1+0.09)</f>
        <v>12274.272000000003</v>
      </c>
      <c r="D55" s="171">
        <f>('Data for Q5'!$D$8*12)*SUM($C$25:$C$29)/'Data for Q5'!$C$11*(1+0.09)</f>
        <v>261.30933333333331</v>
      </c>
      <c r="E55" s="181">
        <f>SUM(C55:D55)</f>
        <v>12535.581333333335</v>
      </c>
    </row>
    <row r="56" spans="1:11">
      <c r="B56"/>
      <c r="C56"/>
      <c r="D56"/>
      <c r="E56"/>
    </row>
    <row r="57" spans="1:11">
      <c r="A57" s="22" t="s">
        <v>338</v>
      </c>
      <c r="D57" s="181" t="s">
        <v>303</v>
      </c>
    </row>
    <row r="58" spans="1:11">
      <c r="A58"/>
      <c r="B58" s="22" t="s">
        <v>337</v>
      </c>
      <c r="C58" s="171">
        <f>(($B$8+'Data for Q5'!$D$8)*12)*$C$30/'Data for Q5'!$C$11*(1+0.09)</f>
        <v>6267.7906666666677</v>
      </c>
      <c r="D58" s="170">
        <f>C58+$E$55</f>
        <v>18803.372000000003</v>
      </c>
      <c r="E58"/>
    </row>
    <row r="59" spans="1:11">
      <c r="A59"/>
      <c r="B59" s="22" t="s">
        <v>336</v>
      </c>
      <c r="C59" s="171">
        <f>((22.9+33%*($B$7+'Data for Q5'!$D$8-22.9))*12)*$C$30/'Data for Q5'!$C$11*(1+0.09)</f>
        <v>1980.5750533333339</v>
      </c>
      <c r="D59" s="170">
        <f>C59+$E$55</f>
        <v>14516.156386666669</v>
      </c>
      <c r="E59"/>
    </row>
    <row r="60" spans="1:11">
      <c r="A60"/>
      <c r="B60"/>
      <c r="C60"/>
      <c r="D60"/>
      <c r="E6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5AC02-3D62-4CB7-8A34-92CDA688168C}">
  <dimension ref="A1:L47"/>
  <sheetViews>
    <sheetView zoomScale="85" zoomScaleNormal="85" workbookViewId="0">
      <selection activeCell="E18" sqref="E18"/>
    </sheetView>
  </sheetViews>
  <sheetFormatPr defaultColWidth="8.7109375" defaultRowHeight="15"/>
  <cols>
    <col min="2" max="2" width="30.28515625" customWidth="1"/>
    <col min="3" max="3" width="31.28515625" bestFit="1" customWidth="1"/>
    <col min="4" max="5" width="14.28515625" customWidth="1"/>
    <col min="6" max="6" width="16.28515625" customWidth="1"/>
  </cols>
  <sheetData>
    <row r="1" spans="1:12" ht="22.5">
      <c r="A1" s="2" t="s">
        <v>127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5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40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48" t="s">
        <v>184</v>
      </c>
      <c r="B5" s="4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48" t="s">
        <v>153</v>
      </c>
      <c r="B6" s="4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48"/>
      <c r="B7" s="4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85" t="s">
        <v>185</v>
      </c>
      <c r="B8" s="4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5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4" t="s">
        <v>107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4" t="s">
        <v>4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22" spans="1:12" ht="15.75">
      <c r="A22" s="4" t="s">
        <v>106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5.75">
      <c r="A23" s="4" t="s">
        <v>4</v>
      </c>
      <c r="B23" s="4"/>
      <c r="C23" s="3"/>
      <c r="D23" s="3"/>
      <c r="E23" s="3"/>
      <c r="F23" s="3"/>
      <c r="G23" s="3"/>
      <c r="H23" s="3"/>
      <c r="I23" s="3"/>
      <c r="J23" s="3"/>
      <c r="K23" s="3"/>
      <c r="L23" s="3"/>
    </row>
    <row r="34" spans="1:12" ht="15.75">
      <c r="A34" s="4" t="s">
        <v>105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5.75">
      <c r="A35" s="4" t="s">
        <v>4</v>
      </c>
      <c r="B35" s="4"/>
      <c r="C35" s="3"/>
      <c r="D35" s="3"/>
      <c r="E35" s="3"/>
      <c r="F35" s="3"/>
      <c r="G35" s="3"/>
      <c r="H35" s="3"/>
      <c r="I35" s="3"/>
      <c r="J35" s="3"/>
      <c r="K35" s="3"/>
      <c r="L35" s="3"/>
    </row>
    <row r="46" spans="1:12" ht="15.75">
      <c r="A46" s="4" t="s">
        <v>104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5.75">
      <c r="A47" s="4" t="s">
        <v>4</v>
      </c>
      <c r="B47" s="4"/>
      <c r="C47" s="3"/>
      <c r="D47" s="3"/>
      <c r="E47" s="3"/>
      <c r="F47" s="3"/>
      <c r="G47" s="3"/>
      <c r="H47" s="3"/>
      <c r="I47" s="3"/>
      <c r="J47" s="3"/>
      <c r="K47" s="3"/>
      <c r="L47" s="3"/>
    </row>
  </sheetData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397C0-DEE7-4571-99AA-D69C13BF7726}">
  <dimension ref="B2:P28"/>
  <sheetViews>
    <sheetView zoomScale="85" zoomScaleNormal="85" workbookViewId="0">
      <selection activeCell="O9" sqref="O9:P9"/>
    </sheetView>
  </sheetViews>
  <sheetFormatPr defaultColWidth="12.28515625" defaultRowHeight="14.25"/>
  <cols>
    <col min="1" max="1" width="12.28515625" style="86"/>
    <col min="2" max="2" width="16.5703125" style="86" bestFit="1" customWidth="1"/>
    <col min="3" max="12" width="5.28515625" style="86" bestFit="1" customWidth="1"/>
    <col min="13" max="13" width="7.5703125" style="86" customWidth="1"/>
    <col min="14" max="14" width="21.7109375" style="86" bestFit="1" customWidth="1"/>
    <col min="15" max="15" width="8.28515625" style="86" customWidth="1"/>
    <col min="16" max="16" width="44.42578125" style="86" customWidth="1"/>
    <col min="17" max="24" width="4.42578125" style="86" bestFit="1" customWidth="1"/>
    <col min="25" max="16384" width="12.28515625" style="86"/>
  </cols>
  <sheetData>
    <row r="2" spans="2:16" ht="16.5" thickBot="1">
      <c r="B2" s="315" t="s">
        <v>164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N2" s="95" t="s">
        <v>163</v>
      </c>
      <c r="O2" s="95"/>
      <c r="P2" s="95"/>
    </row>
    <row r="3" spans="2:16" ht="15" thickBot="1">
      <c r="B3" s="89" t="s">
        <v>39</v>
      </c>
      <c r="C3" s="88">
        <v>2023</v>
      </c>
      <c r="D3" s="88">
        <v>2024</v>
      </c>
      <c r="E3" s="88">
        <v>2025</v>
      </c>
      <c r="F3" s="88">
        <v>2026</v>
      </c>
      <c r="G3" s="88">
        <v>2027</v>
      </c>
      <c r="H3" s="88">
        <v>2028</v>
      </c>
      <c r="I3" s="88">
        <v>2029</v>
      </c>
      <c r="J3" s="88">
        <v>2030</v>
      </c>
      <c r="K3" s="88">
        <v>2031</v>
      </c>
      <c r="L3" s="88">
        <v>2032</v>
      </c>
      <c r="N3" s="92" t="s">
        <v>120</v>
      </c>
      <c r="O3" s="94">
        <v>4.4999999999999998E-2</v>
      </c>
      <c r="P3" s="93"/>
    </row>
    <row r="4" spans="2:16" ht="15" thickBot="1">
      <c r="B4" s="89" t="s">
        <v>110</v>
      </c>
      <c r="C4" s="88">
        <v>151</v>
      </c>
      <c r="D4" s="88">
        <v>121</v>
      </c>
      <c r="E4" s="88">
        <v>100</v>
      </c>
      <c r="F4" s="88">
        <v>95</v>
      </c>
      <c r="G4" s="88">
        <v>87</v>
      </c>
      <c r="H4" s="88">
        <v>85</v>
      </c>
      <c r="I4" s="88">
        <v>75</v>
      </c>
      <c r="J4" s="88">
        <v>63</v>
      </c>
      <c r="K4" s="88">
        <v>50</v>
      </c>
      <c r="L4" s="88">
        <v>21</v>
      </c>
      <c r="N4" s="92" t="s">
        <v>119</v>
      </c>
      <c r="O4" s="94">
        <v>0.05</v>
      </c>
      <c r="P4" s="90" t="s">
        <v>118</v>
      </c>
    </row>
    <row r="5" spans="2:16" ht="15" thickBot="1">
      <c r="B5" s="89" t="s">
        <v>109</v>
      </c>
      <c r="C5" s="88">
        <v>45</v>
      </c>
      <c r="D5" s="88">
        <v>36</v>
      </c>
      <c r="E5" s="88">
        <v>30</v>
      </c>
      <c r="F5" s="88">
        <v>29</v>
      </c>
      <c r="G5" s="88">
        <v>26</v>
      </c>
      <c r="H5" s="88">
        <v>26</v>
      </c>
      <c r="I5" s="88">
        <v>23</v>
      </c>
      <c r="J5" s="88">
        <v>19</v>
      </c>
      <c r="K5" s="88">
        <v>15</v>
      </c>
      <c r="L5" s="88">
        <v>6</v>
      </c>
      <c r="N5" s="92" t="s">
        <v>117</v>
      </c>
      <c r="O5" s="94">
        <v>1.4999999999999999E-2</v>
      </c>
      <c r="P5" s="90" t="s">
        <v>116</v>
      </c>
    </row>
    <row r="6" spans="2:16" ht="15" thickBot="1">
      <c r="B6" s="89" t="s">
        <v>108</v>
      </c>
      <c r="C6" s="88">
        <v>1</v>
      </c>
      <c r="D6" s="88">
        <v>15</v>
      </c>
      <c r="E6" s="88">
        <v>18</v>
      </c>
      <c r="F6" s="88">
        <v>25</v>
      </c>
      <c r="G6" s="88">
        <v>30</v>
      </c>
      <c r="H6" s="88">
        <v>30</v>
      </c>
      <c r="I6" s="88">
        <v>26</v>
      </c>
      <c r="J6" s="88">
        <v>34</v>
      </c>
      <c r="K6" s="88">
        <v>22</v>
      </c>
      <c r="L6" s="88">
        <v>10</v>
      </c>
      <c r="N6" s="92" t="s">
        <v>115</v>
      </c>
      <c r="O6" s="94">
        <v>5.5E-2</v>
      </c>
      <c r="P6" s="93"/>
    </row>
    <row r="7" spans="2:16" ht="15" thickBot="1">
      <c r="N7" s="92" t="s">
        <v>114</v>
      </c>
      <c r="O7" s="91" t="s">
        <v>7</v>
      </c>
      <c r="P7" s="90"/>
    </row>
    <row r="8" spans="2:16" ht="14.65" customHeight="1">
      <c r="N8" s="320" t="s">
        <v>113</v>
      </c>
      <c r="O8" s="316" t="s">
        <v>112</v>
      </c>
      <c r="P8" s="317"/>
    </row>
    <row r="9" spans="2:16" ht="15" customHeight="1" thickBot="1">
      <c r="N9" s="304"/>
      <c r="O9" s="318" t="s">
        <v>111</v>
      </c>
      <c r="P9" s="319"/>
    </row>
    <row r="16" spans="2:16" ht="15.75">
      <c r="J16" s="87"/>
    </row>
    <row r="22" spans="10:10" ht="15.75">
      <c r="J22" s="87"/>
    </row>
    <row r="28" spans="10:10" ht="15.75">
      <c r="J28" s="87"/>
    </row>
  </sheetData>
  <mergeCells count="4">
    <mergeCell ref="B2:L2"/>
    <mergeCell ref="O8:P8"/>
    <mergeCell ref="O9:P9"/>
    <mergeCell ref="N8:N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E52FE-6E1C-4A97-B0F3-060027E4FE44}">
  <dimension ref="B2:N36"/>
  <sheetViews>
    <sheetView topLeftCell="A27" zoomScale="85" zoomScaleNormal="85" workbookViewId="0">
      <selection activeCell="E51" sqref="E51"/>
    </sheetView>
  </sheetViews>
  <sheetFormatPr defaultColWidth="8.7109375" defaultRowHeight="15"/>
  <cols>
    <col min="2" max="2" width="18" customWidth="1"/>
    <col min="3" max="14" width="13.5703125" customWidth="1"/>
  </cols>
  <sheetData>
    <row r="2" spans="2:14">
      <c r="B2" s="104" t="s">
        <v>197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2:14">
      <c r="B3" s="105"/>
      <c r="C3" s="294" t="s">
        <v>198</v>
      </c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6"/>
    </row>
    <row r="4" spans="2:14">
      <c r="B4" s="106" t="s">
        <v>199</v>
      </c>
      <c r="C4" s="107" t="s">
        <v>200</v>
      </c>
      <c r="D4" s="107" t="s">
        <v>201</v>
      </c>
      <c r="E4" s="107" t="s">
        <v>202</v>
      </c>
      <c r="F4" s="107" t="s">
        <v>203</v>
      </c>
      <c r="G4" s="107" t="s">
        <v>204</v>
      </c>
      <c r="H4" s="107" t="s">
        <v>205</v>
      </c>
      <c r="I4" s="107" t="s">
        <v>206</v>
      </c>
      <c r="J4" s="107" t="s">
        <v>207</v>
      </c>
      <c r="K4" s="107" t="s">
        <v>208</v>
      </c>
      <c r="L4" s="107" t="s">
        <v>209</v>
      </c>
      <c r="M4" s="107" t="s">
        <v>210</v>
      </c>
      <c r="N4" s="107" t="s">
        <v>211</v>
      </c>
    </row>
    <row r="5" spans="2:14">
      <c r="B5" s="107" t="s">
        <v>200</v>
      </c>
      <c r="C5" s="291">
        <v>50</v>
      </c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</row>
    <row r="6" spans="2:14">
      <c r="B6" s="107" t="s">
        <v>201</v>
      </c>
      <c r="C6" s="291">
        <v>98</v>
      </c>
      <c r="D6" s="291">
        <v>55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</row>
    <row r="7" spans="2:14">
      <c r="B7" s="107" t="s">
        <v>202</v>
      </c>
      <c r="C7" s="291">
        <v>119</v>
      </c>
      <c r="D7" s="291">
        <v>58</v>
      </c>
      <c r="E7" s="291">
        <v>51</v>
      </c>
      <c r="F7" s="108"/>
      <c r="G7" s="108"/>
      <c r="H7" s="108"/>
      <c r="I7" s="108"/>
      <c r="J7" s="108"/>
      <c r="K7" s="108"/>
      <c r="L7" s="108"/>
      <c r="M7" s="108"/>
      <c r="N7" s="108"/>
    </row>
    <row r="8" spans="2:14">
      <c r="B8" s="107" t="s">
        <v>203</v>
      </c>
      <c r="C8" s="291">
        <v>122</v>
      </c>
      <c r="D8" s="291">
        <v>58</v>
      </c>
      <c r="E8" s="291">
        <v>93</v>
      </c>
      <c r="F8" s="291">
        <v>52</v>
      </c>
      <c r="G8" s="108"/>
      <c r="H8" s="108"/>
      <c r="I8" s="108"/>
      <c r="J8" s="108"/>
      <c r="K8" s="108"/>
      <c r="L8" s="108"/>
      <c r="M8" s="108"/>
      <c r="N8" s="108"/>
    </row>
    <row r="9" spans="2:14">
      <c r="B9" s="107" t="s">
        <v>204</v>
      </c>
      <c r="C9" s="291">
        <v>126</v>
      </c>
      <c r="D9" s="291">
        <v>78</v>
      </c>
      <c r="E9" s="291">
        <v>114</v>
      </c>
      <c r="F9" s="291">
        <v>89</v>
      </c>
      <c r="G9" s="291">
        <v>53</v>
      </c>
      <c r="H9" s="108"/>
      <c r="I9" s="108"/>
      <c r="J9" s="108"/>
      <c r="K9" s="108"/>
      <c r="L9" s="108"/>
      <c r="M9" s="108"/>
      <c r="N9" s="108"/>
    </row>
    <row r="10" spans="2:14">
      <c r="B10" s="107" t="s">
        <v>205</v>
      </c>
      <c r="C10" s="291">
        <v>126</v>
      </c>
      <c r="D10" s="291">
        <v>87</v>
      </c>
      <c r="E10" s="291">
        <v>119</v>
      </c>
      <c r="F10" s="291">
        <v>116</v>
      </c>
      <c r="G10" s="291">
        <v>53</v>
      </c>
      <c r="H10" s="291">
        <v>55</v>
      </c>
      <c r="I10" s="108"/>
      <c r="J10" s="108"/>
      <c r="K10" s="108"/>
      <c r="L10" s="108"/>
      <c r="M10" s="108"/>
      <c r="N10" s="108"/>
    </row>
    <row r="11" spans="2:14">
      <c r="B11" s="107" t="s">
        <v>206</v>
      </c>
      <c r="C11" s="291">
        <v>126</v>
      </c>
      <c r="D11" s="291">
        <v>87</v>
      </c>
      <c r="E11" s="291">
        <v>128</v>
      </c>
      <c r="F11" s="291">
        <v>121</v>
      </c>
      <c r="G11" s="291">
        <v>54</v>
      </c>
      <c r="H11" s="291">
        <v>75</v>
      </c>
      <c r="I11" s="291">
        <v>60</v>
      </c>
      <c r="J11" s="108"/>
      <c r="K11" s="108"/>
      <c r="L11" s="108"/>
      <c r="M11" s="108"/>
      <c r="N11" s="108"/>
    </row>
    <row r="12" spans="2:14">
      <c r="B12" s="107" t="s">
        <v>207</v>
      </c>
      <c r="C12" s="291">
        <v>126</v>
      </c>
      <c r="D12" s="291">
        <v>87</v>
      </c>
      <c r="E12" s="291">
        <v>128</v>
      </c>
      <c r="F12" s="291">
        <v>125</v>
      </c>
      <c r="G12" s="291">
        <v>65</v>
      </c>
      <c r="H12" s="291">
        <v>82</v>
      </c>
      <c r="I12" s="291">
        <v>84</v>
      </c>
      <c r="J12" s="291">
        <v>62</v>
      </c>
      <c r="K12" s="108"/>
      <c r="L12" s="108"/>
      <c r="M12" s="108"/>
      <c r="N12" s="108"/>
    </row>
    <row r="13" spans="2:14">
      <c r="B13" s="107" t="s">
        <v>208</v>
      </c>
      <c r="C13" s="291">
        <v>126</v>
      </c>
      <c r="D13" s="291">
        <v>87</v>
      </c>
      <c r="E13" s="291">
        <v>128</v>
      </c>
      <c r="F13" s="291">
        <v>125</v>
      </c>
      <c r="G13" s="291">
        <v>74</v>
      </c>
      <c r="H13" s="291">
        <v>88</v>
      </c>
      <c r="I13" s="291">
        <v>88</v>
      </c>
      <c r="J13" s="291">
        <v>87</v>
      </c>
      <c r="K13" s="291">
        <v>58</v>
      </c>
      <c r="L13" s="108"/>
      <c r="M13" s="108"/>
      <c r="N13" s="108"/>
    </row>
    <row r="14" spans="2:14">
      <c r="B14" s="107" t="s">
        <v>209</v>
      </c>
      <c r="C14" s="291">
        <v>126</v>
      </c>
      <c r="D14" s="291">
        <v>87</v>
      </c>
      <c r="E14" s="291">
        <v>128</v>
      </c>
      <c r="F14" s="291">
        <v>125</v>
      </c>
      <c r="G14" s="291">
        <v>74</v>
      </c>
      <c r="H14" s="291">
        <v>96</v>
      </c>
      <c r="I14" s="291">
        <v>95</v>
      </c>
      <c r="J14" s="291">
        <v>99</v>
      </c>
      <c r="K14" s="291">
        <v>72</v>
      </c>
      <c r="L14" s="291">
        <v>65</v>
      </c>
      <c r="M14" s="108"/>
      <c r="N14" s="108"/>
    </row>
    <row r="15" spans="2:14">
      <c r="B15" s="107" t="s">
        <v>210</v>
      </c>
      <c r="C15" s="291">
        <v>126</v>
      </c>
      <c r="D15" s="291">
        <v>87</v>
      </c>
      <c r="E15" s="291">
        <v>128</v>
      </c>
      <c r="F15" s="291">
        <v>125</v>
      </c>
      <c r="G15" s="291">
        <v>74</v>
      </c>
      <c r="H15" s="291">
        <v>96</v>
      </c>
      <c r="I15" s="291">
        <v>95</v>
      </c>
      <c r="J15" s="291">
        <v>106</v>
      </c>
      <c r="K15" s="291">
        <v>92</v>
      </c>
      <c r="L15" s="291">
        <v>86</v>
      </c>
      <c r="M15" s="291">
        <v>49</v>
      </c>
      <c r="N15" s="108"/>
    </row>
    <row r="16" spans="2:14">
      <c r="B16" s="107" t="s">
        <v>211</v>
      </c>
      <c r="C16" s="291">
        <v>126</v>
      </c>
      <c r="D16" s="291">
        <v>87</v>
      </c>
      <c r="E16" s="291">
        <v>128</v>
      </c>
      <c r="F16" s="291">
        <v>125</v>
      </c>
      <c r="G16" s="291">
        <v>74</v>
      </c>
      <c r="H16" s="291">
        <v>96</v>
      </c>
      <c r="I16" s="291">
        <v>95</v>
      </c>
      <c r="J16" s="291">
        <v>110</v>
      </c>
      <c r="K16" s="291">
        <v>113</v>
      </c>
      <c r="L16" s="291">
        <v>104</v>
      </c>
      <c r="M16" s="291">
        <v>50</v>
      </c>
      <c r="N16" s="291">
        <v>50</v>
      </c>
    </row>
    <row r="17" spans="2:14">
      <c r="B17" s="107" t="s">
        <v>212</v>
      </c>
      <c r="C17" s="291">
        <v>126</v>
      </c>
      <c r="D17" s="291">
        <v>87</v>
      </c>
      <c r="E17" s="291">
        <v>128</v>
      </c>
      <c r="F17" s="291">
        <v>125</v>
      </c>
      <c r="G17" s="291">
        <v>74</v>
      </c>
      <c r="H17" s="291">
        <v>96</v>
      </c>
      <c r="I17" s="291">
        <v>95</v>
      </c>
      <c r="J17" s="291">
        <v>110</v>
      </c>
      <c r="K17" s="291">
        <v>115</v>
      </c>
      <c r="L17" s="291">
        <v>128</v>
      </c>
      <c r="M17" s="291">
        <v>71</v>
      </c>
      <c r="N17" s="291">
        <v>76</v>
      </c>
    </row>
    <row r="18" spans="2:14">
      <c r="B18" s="107" t="s">
        <v>213</v>
      </c>
      <c r="C18" s="291">
        <v>126</v>
      </c>
      <c r="D18" s="291">
        <v>87</v>
      </c>
      <c r="E18" s="291">
        <v>128</v>
      </c>
      <c r="F18" s="291">
        <v>125</v>
      </c>
      <c r="G18" s="291">
        <v>74</v>
      </c>
      <c r="H18" s="291">
        <v>96</v>
      </c>
      <c r="I18" s="291">
        <v>95</v>
      </c>
      <c r="J18" s="291">
        <v>110</v>
      </c>
      <c r="K18" s="291">
        <v>115</v>
      </c>
      <c r="L18" s="291">
        <v>129</v>
      </c>
      <c r="M18" s="291">
        <v>71</v>
      </c>
      <c r="N18" s="291">
        <v>92</v>
      </c>
    </row>
    <row r="19" spans="2:14">
      <c r="B19" s="107" t="s">
        <v>214</v>
      </c>
      <c r="C19" s="291">
        <v>126</v>
      </c>
      <c r="D19" s="291">
        <v>87</v>
      </c>
      <c r="E19" s="291">
        <v>128</v>
      </c>
      <c r="F19" s="291">
        <v>125</v>
      </c>
      <c r="G19" s="291">
        <v>74</v>
      </c>
      <c r="H19" s="291">
        <v>96</v>
      </c>
      <c r="I19" s="291">
        <v>95</v>
      </c>
      <c r="J19" s="291">
        <v>110</v>
      </c>
      <c r="K19" s="291">
        <v>115</v>
      </c>
      <c r="L19" s="291">
        <v>129</v>
      </c>
      <c r="M19" s="291">
        <v>79</v>
      </c>
      <c r="N19" s="291">
        <v>113</v>
      </c>
    </row>
    <row r="20" spans="2:14">
      <c r="B20" s="107" t="s">
        <v>215</v>
      </c>
      <c r="C20" s="291">
        <v>126</v>
      </c>
      <c r="D20" s="291">
        <v>87</v>
      </c>
      <c r="E20" s="291">
        <v>128</v>
      </c>
      <c r="F20" s="291">
        <v>125</v>
      </c>
      <c r="G20" s="291">
        <v>74</v>
      </c>
      <c r="H20" s="291">
        <v>96</v>
      </c>
      <c r="I20" s="291">
        <v>95</v>
      </c>
      <c r="J20" s="291">
        <v>110</v>
      </c>
      <c r="K20" s="291">
        <v>115</v>
      </c>
      <c r="L20" s="291">
        <v>129</v>
      </c>
      <c r="M20" s="291">
        <v>79</v>
      </c>
      <c r="N20" s="291">
        <v>115</v>
      </c>
    </row>
    <row r="21" spans="2:14"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</row>
    <row r="22" spans="2:14">
      <c r="B22" s="297"/>
      <c r="C22" s="297"/>
      <c r="D22" s="297"/>
      <c r="E22" s="297"/>
      <c r="F22" s="297"/>
      <c r="G22" s="297"/>
      <c r="H22" s="297"/>
      <c r="I22" s="104"/>
      <c r="J22" s="104"/>
      <c r="K22" s="104"/>
      <c r="L22" s="104"/>
      <c r="M22" s="104"/>
      <c r="N22" s="104"/>
    </row>
    <row r="23" spans="2:14">
      <c r="B23" s="104" t="s">
        <v>216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2:14">
      <c r="B24" s="105"/>
      <c r="C24" s="294" t="s">
        <v>198</v>
      </c>
      <c r="D24" s="295"/>
      <c r="E24" s="295"/>
      <c r="F24" s="295"/>
      <c r="G24" s="296"/>
      <c r="H24" s="105"/>
      <c r="I24" s="105"/>
      <c r="J24" s="105"/>
      <c r="K24" s="105"/>
      <c r="L24" s="105"/>
      <c r="M24" s="105"/>
      <c r="N24" s="105"/>
    </row>
    <row r="25" spans="2:14">
      <c r="B25" s="106" t="s">
        <v>199</v>
      </c>
      <c r="C25" s="107" t="s">
        <v>212</v>
      </c>
      <c r="D25" s="107" t="s">
        <v>213</v>
      </c>
      <c r="E25" s="107" t="s">
        <v>214</v>
      </c>
      <c r="F25" s="107" t="s">
        <v>215</v>
      </c>
      <c r="G25" s="107" t="s">
        <v>217</v>
      </c>
      <c r="H25" s="105"/>
      <c r="I25" s="105"/>
      <c r="J25" s="105"/>
      <c r="K25" s="105"/>
      <c r="L25" s="105"/>
      <c r="M25" s="105"/>
      <c r="N25" s="105"/>
    </row>
    <row r="26" spans="2:14">
      <c r="B26" s="107" t="s">
        <v>212</v>
      </c>
      <c r="C26" s="291">
        <v>100</v>
      </c>
      <c r="D26" s="108"/>
      <c r="E26" s="108"/>
      <c r="F26" s="108"/>
      <c r="G26" s="108"/>
      <c r="H26" s="105"/>
      <c r="I26" s="105"/>
      <c r="J26" s="105"/>
      <c r="K26" s="105"/>
      <c r="L26" s="105"/>
      <c r="M26" s="105"/>
      <c r="N26" s="105"/>
    </row>
    <row r="27" spans="2:14">
      <c r="B27" s="107" t="s">
        <v>213</v>
      </c>
      <c r="C27" s="291">
        <v>196</v>
      </c>
      <c r="D27" s="291">
        <v>89</v>
      </c>
      <c r="E27" s="108"/>
      <c r="F27" s="108"/>
      <c r="G27" s="108"/>
      <c r="H27" s="105"/>
      <c r="I27" s="105"/>
      <c r="J27" s="105"/>
      <c r="K27" s="105"/>
      <c r="L27" s="105"/>
      <c r="M27" s="105"/>
      <c r="N27" s="105"/>
    </row>
    <row r="28" spans="2:14">
      <c r="B28" s="107" t="s">
        <v>214</v>
      </c>
      <c r="C28" s="291">
        <v>295</v>
      </c>
      <c r="D28" s="291">
        <v>193</v>
      </c>
      <c r="E28" s="291">
        <v>90</v>
      </c>
      <c r="F28" s="108"/>
      <c r="G28" s="108"/>
      <c r="H28" s="105"/>
      <c r="I28" s="105"/>
      <c r="J28" s="105"/>
      <c r="K28" s="105"/>
      <c r="L28" s="105"/>
      <c r="M28" s="105"/>
      <c r="N28" s="105"/>
    </row>
    <row r="29" spans="2:14">
      <c r="B29" s="107" t="s">
        <v>215</v>
      </c>
      <c r="C29" s="291">
        <v>393</v>
      </c>
      <c r="D29" s="291">
        <v>294</v>
      </c>
      <c r="E29" s="291">
        <v>190</v>
      </c>
      <c r="F29" s="291">
        <v>111</v>
      </c>
      <c r="G29" s="108"/>
      <c r="H29" s="105"/>
      <c r="I29" s="105"/>
      <c r="J29" s="105"/>
      <c r="K29" s="105"/>
      <c r="L29" s="105"/>
      <c r="M29" s="105"/>
      <c r="N29" s="105"/>
    </row>
    <row r="30" spans="2:14">
      <c r="B30" s="107" t="s">
        <v>217</v>
      </c>
      <c r="C30" s="291">
        <v>492</v>
      </c>
      <c r="D30" s="291">
        <v>398</v>
      </c>
      <c r="E30" s="291">
        <v>292</v>
      </c>
      <c r="F30" s="291">
        <v>219</v>
      </c>
      <c r="G30" s="291">
        <v>120</v>
      </c>
      <c r="H30" s="105"/>
      <c r="I30" s="105"/>
      <c r="J30" s="105"/>
      <c r="K30" s="105"/>
      <c r="L30" s="105"/>
      <c r="M30" s="105"/>
      <c r="N30" s="105"/>
    </row>
    <row r="31" spans="2:14"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</row>
    <row r="32" spans="2:14">
      <c r="B32" s="104" t="s">
        <v>218</v>
      </c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</row>
    <row r="33" spans="2:14">
      <c r="B33" s="110"/>
      <c r="C33" s="111" t="s">
        <v>219</v>
      </c>
      <c r="D33" s="111" t="s">
        <v>220</v>
      </c>
      <c r="E33" s="111" t="s">
        <v>221</v>
      </c>
      <c r="F33" s="111" t="s">
        <v>222</v>
      </c>
      <c r="G33" s="111" t="s">
        <v>223</v>
      </c>
      <c r="H33" s="105"/>
      <c r="I33" s="105"/>
      <c r="J33" s="105"/>
      <c r="K33" s="105"/>
      <c r="L33" s="105"/>
      <c r="M33" s="105"/>
      <c r="N33" s="105"/>
    </row>
    <row r="34" spans="2:14">
      <c r="B34" s="106" t="s">
        <v>224</v>
      </c>
      <c r="C34" s="292">
        <v>1000</v>
      </c>
      <c r="D34" s="292">
        <v>1050</v>
      </c>
      <c r="E34" s="292">
        <v>1025</v>
      </c>
      <c r="F34" s="292">
        <v>1075</v>
      </c>
      <c r="G34" s="292">
        <v>1100</v>
      </c>
      <c r="H34" s="105"/>
      <c r="I34" s="105"/>
      <c r="J34" s="105"/>
      <c r="K34" s="105"/>
      <c r="L34" s="105"/>
      <c r="M34" s="105"/>
      <c r="N34" s="105"/>
    </row>
    <row r="35" spans="2:14">
      <c r="B35" s="106" t="s">
        <v>225</v>
      </c>
      <c r="C35" s="293">
        <v>500</v>
      </c>
      <c r="D35" s="293">
        <v>505</v>
      </c>
      <c r="E35" s="293">
        <v>510</v>
      </c>
      <c r="F35" s="293">
        <v>525</v>
      </c>
      <c r="G35" s="293">
        <v>550</v>
      </c>
      <c r="H35" s="105"/>
      <c r="I35" s="105"/>
      <c r="J35" s="105"/>
      <c r="K35" s="105"/>
      <c r="L35" s="105"/>
      <c r="M35" s="105"/>
      <c r="N35" s="105"/>
    </row>
    <row r="36" spans="2:14">
      <c r="B36" s="105"/>
      <c r="C36" s="109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</row>
  </sheetData>
  <mergeCells count="3">
    <mergeCell ref="C3:N3"/>
    <mergeCell ref="B22:H22"/>
    <mergeCell ref="C24:G2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6F275-D9BB-4A60-89DB-D940D091A185}">
  <dimension ref="B2:T65"/>
  <sheetViews>
    <sheetView topLeftCell="A54" zoomScale="85" zoomScaleNormal="85" workbookViewId="0">
      <selection activeCell="E78" sqref="E78"/>
    </sheetView>
  </sheetViews>
  <sheetFormatPr defaultColWidth="9.5703125" defaultRowHeight="15"/>
  <cols>
    <col min="1" max="3" width="9.5703125" style="199"/>
    <col min="4" max="4" width="32.140625" style="199" customWidth="1"/>
    <col min="5" max="14" width="11.28515625" style="199" customWidth="1"/>
    <col min="15" max="16384" width="9.5703125" style="199"/>
  </cols>
  <sheetData>
    <row r="2" spans="2:20">
      <c r="B2" s="198" t="s">
        <v>408</v>
      </c>
      <c r="D2" s="201" t="s">
        <v>404</v>
      </c>
    </row>
    <row r="3" spans="2:20">
      <c r="B3" s="204"/>
      <c r="D3" s="205" t="s">
        <v>39</v>
      </c>
      <c r="E3" s="202">
        <v>2023</v>
      </c>
      <c r="F3" s="202">
        <f t="shared" ref="F3:N3" si="0">E3+1</f>
        <v>2024</v>
      </c>
      <c r="G3" s="202">
        <f t="shared" si="0"/>
        <v>2025</v>
      </c>
      <c r="H3" s="202">
        <f t="shared" si="0"/>
        <v>2026</v>
      </c>
      <c r="I3" s="202">
        <f t="shared" si="0"/>
        <v>2027</v>
      </c>
      <c r="J3" s="202">
        <f t="shared" si="0"/>
        <v>2028</v>
      </c>
      <c r="K3" s="202">
        <f t="shared" si="0"/>
        <v>2029</v>
      </c>
      <c r="L3" s="202">
        <f t="shared" si="0"/>
        <v>2030</v>
      </c>
      <c r="M3" s="202">
        <f t="shared" si="0"/>
        <v>2031</v>
      </c>
      <c r="N3" s="203">
        <f t="shared" si="0"/>
        <v>2032</v>
      </c>
    </row>
    <row r="4" spans="2:20">
      <c r="D4" s="206" t="s">
        <v>405</v>
      </c>
      <c r="E4" s="199">
        <f>'Data for Q6'!C4</f>
        <v>151</v>
      </c>
      <c r="F4" s="199">
        <f>'Data for Q6'!D4</f>
        <v>121</v>
      </c>
      <c r="G4" s="199">
        <f>'Data for Q6'!E4</f>
        <v>100</v>
      </c>
      <c r="H4" s="199">
        <f>'Data for Q6'!F4</f>
        <v>95</v>
      </c>
      <c r="I4" s="199">
        <f>'Data for Q6'!G4</f>
        <v>87</v>
      </c>
      <c r="J4" s="199">
        <f>'Data for Q6'!H4</f>
        <v>85</v>
      </c>
      <c r="K4" s="199">
        <f>'Data for Q6'!I4</f>
        <v>75</v>
      </c>
      <c r="L4" s="199">
        <f>'Data for Q6'!J4</f>
        <v>63</v>
      </c>
      <c r="M4" s="199">
        <f>'Data for Q6'!K4</f>
        <v>50</v>
      </c>
      <c r="N4" s="207">
        <f>'Data for Q6'!L4</f>
        <v>21</v>
      </c>
    </row>
    <row r="5" spans="2:20">
      <c r="D5" s="206" t="s">
        <v>406</v>
      </c>
      <c r="E5" s="199">
        <f>'Data for Q6'!C5</f>
        <v>45</v>
      </c>
      <c r="F5" s="199">
        <f>'Data for Q6'!D5</f>
        <v>36</v>
      </c>
      <c r="G5" s="199">
        <f>'Data for Q6'!E5</f>
        <v>30</v>
      </c>
      <c r="H5" s="199">
        <f>'Data for Q6'!F5</f>
        <v>29</v>
      </c>
      <c r="I5" s="199">
        <f>'Data for Q6'!G5</f>
        <v>26</v>
      </c>
      <c r="J5" s="199">
        <f>'Data for Q6'!H5</f>
        <v>26</v>
      </c>
      <c r="K5" s="199">
        <f>'Data for Q6'!I5</f>
        <v>23</v>
      </c>
      <c r="L5" s="199">
        <f>'Data for Q6'!J5</f>
        <v>19</v>
      </c>
      <c r="M5" s="199">
        <f>'Data for Q6'!K5</f>
        <v>15</v>
      </c>
      <c r="N5" s="207">
        <f>'Data for Q6'!L5</f>
        <v>6</v>
      </c>
    </row>
    <row r="6" spans="2:20">
      <c r="D6" s="206" t="s">
        <v>407</v>
      </c>
      <c r="E6" s="199">
        <f>'Data for Q6'!C6</f>
        <v>1</v>
      </c>
      <c r="F6" s="199">
        <f>'Data for Q6'!D6</f>
        <v>15</v>
      </c>
      <c r="G6" s="199">
        <f>'Data for Q6'!E6</f>
        <v>18</v>
      </c>
      <c r="H6" s="199">
        <f>'Data for Q6'!F6</f>
        <v>25</v>
      </c>
      <c r="I6" s="199">
        <f>'Data for Q6'!G6</f>
        <v>30</v>
      </c>
      <c r="J6" s="199">
        <f>'Data for Q6'!H6</f>
        <v>30</v>
      </c>
      <c r="K6" s="199">
        <f>'Data for Q6'!I6</f>
        <v>26</v>
      </c>
      <c r="L6" s="199">
        <f>'Data for Q6'!J6</f>
        <v>34</v>
      </c>
      <c r="M6" s="199">
        <f>'Data for Q6'!K6</f>
        <v>22</v>
      </c>
      <c r="N6" s="207">
        <f>'Data for Q6'!L6</f>
        <v>10</v>
      </c>
    </row>
    <row r="7" spans="2:20">
      <c r="D7" s="206" t="s">
        <v>409</v>
      </c>
      <c r="E7" s="199">
        <f>'Data for Q6'!$O$4*'Data for Q6'!C5</f>
        <v>2.25</v>
      </c>
      <c r="F7" s="199">
        <f>'Data for Q6'!$O$4*'Data for Q6'!D5</f>
        <v>1.8</v>
      </c>
      <c r="G7" s="199">
        <f>'Data for Q6'!$O$4*'Data for Q6'!E5</f>
        <v>1.5</v>
      </c>
      <c r="H7" s="199">
        <f>'Data for Q6'!$O$4*'Data for Q6'!F5</f>
        <v>1.4500000000000002</v>
      </c>
      <c r="I7" s="199">
        <f>'Data for Q6'!$O$4*'Data for Q6'!G5</f>
        <v>1.3</v>
      </c>
      <c r="J7" s="199">
        <f>'Data for Q6'!$O$4*'Data for Q6'!H5</f>
        <v>1.3</v>
      </c>
      <c r="K7" s="199">
        <f>'Data for Q6'!$O$4*'Data for Q6'!I5</f>
        <v>1.1500000000000001</v>
      </c>
      <c r="L7" s="199">
        <f>'Data for Q6'!$O$4*'Data for Q6'!J5</f>
        <v>0.95000000000000007</v>
      </c>
      <c r="M7" s="199">
        <f>'Data for Q6'!$O$4*'Data for Q6'!K5</f>
        <v>0.75</v>
      </c>
      <c r="N7" s="207">
        <f>'Data for Q6'!$O$4*'Data for Q6'!L5</f>
        <v>0.30000000000000004</v>
      </c>
      <c r="P7" s="208"/>
    </row>
    <row r="8" spans="2:20">
      <c r="D8" s="206" t="s">
        <v>410</v>
      </c>
      <c r="E8" s="199">
        <f>'Data for Q6'!$O$5*'Data for Q6'!C4</f>
        <v>2.2650000000000001</v>
      </c>
      <c r="F8" s="199">
        <f>'Data for Q6'!$O$5*'Data for Q6'!D4</f>
        <v>1.8149999999999999</v>
      </c>
      <c r="G8" s="199">
        <f>'Data for Q6'!$O$5*'Data for Q6'!E4</f>
        <v>1.5</v>
      </c>
      <c r="H8" s="199">
        <f>'Data for Q6'!$O$5*'Data for Q6'!F4</f>
        <v>1.425</v>
      </c>
      <c r="I8" s="199">
        <f>'Data for Q6'!$O$5*'Data for Q6'!G4</f>
        <v>1.3049999999999999</v>
      </c>
      <c r="J8" s="199">
        <f>'Data for Q6'!$O$5*'Data for Q6'!H4</f>
        <v>1.2749999999999999</v>
      </c>
      <c r="K8" s="199">
        <f>'Data for Q6'!$O$5*'Data for Q6'!I4</f>
        <v>1.125</v>
      </c>
      <c r="L8" s="199">
        <f>'Data for Q6'!$O$5*'Data for Q6'!J4</f>
        <v>0.94499999999999995</v>
      </c>
      <c r="M8" s="199">
        <f>'Data for Q6'!$O$5*'Data for Q6'!K4</f>
        <v>0.75</v>
      </c>
      <c r="N8" s="207">
        <f>'Data for Q6'!$O$5*'Data for Q6'!L4</f>
        <v>0.315</v>
      </c>
      <c r="P8" s="208"/>
    </row>
    <row r="9" spans="2:20">
      <c r="D9" s="206" t="s">
        <v>411</v>
      </c>
      <c r="E9" s="209">
        <v>1</v>
      </c>
      <c r="F9" s="209">
        <f t="shared" ref="F9:N9" si="1">E9/1.045</f>
        <v>0.95693779904306231</v>
      </c>
      <c r="G9" s="209">
        <f t="shared" si="1"/>
        <v>0.91572995123738021</v>
      </c>
      <c r="H9" s="209">
        <f t="shared" si="1"/>
        <v>0.87629660405490939</v>
      </c>
      <c r="I9" s="209">
        <f t="shared" si="1"/>
        <v>0.83856134359321477</v>
      </c>
      <c r="J9" s="209">
        <f t="shared" si="1"/>
        <v>0.802451046500684</v>
      </c>
      <c r="K9" s="209">
        <f t="shared" si="1"/>
        <v>0.7678957382781666</v>
      </c>
      <c r="L9" s="209">
        <f t="shared" si="1"/>
        <v>0.73482845768245608</v>
      </c>
      <c r="M9" s="209">
        <f t="shared" si="1"/>
        <v>0.70318512696885749</v>
      </c>
      <c r="N9" s="210">
        <f t="shared" si="1"/>
        <v>0.6729044277213948</v>
      </c>
      <c r="P9" s="208"/>
    </row>
    <row r="10" spans="2:20">
      <c r="D10" s="211" t="s">
        <v>412</v>
      </c>
      <c r="E10" s="212">
        <f t="shared" ref="E10:M10" si="2">F9</f>
        <v>0.95693779904306231</v>
      </c>
      <c r="F10" s="212">
        <f t="shared" si="2"/>
        <v>0.91572995123738021</v>
      </c>
      <c r="G10" s="212">
        <f t="shared" si="2"/>
        <v>0.87629660405490939</v>
      </c>
      <c r="H10" s="212">
        <f t="shared" si="2"/>
        <v>0.83856134359321477</v>
      </c>
      <c r="I10" s="212">
        <f t="shared" si="2"/>
        <v>0.802451046500684</v>
      </c>
      <c r="J10" s="212">
        <f t="shared" si="2"/>
        <v>0.7678957382781666</v>
      </c>
      <c r="K10" s="212">
        <f t="shared" si="2"/>
        <v>0.73482845768245608</v>
      </c>
      <c r="L10" s="212">
        <f t="shared" si="2"/>
        <v>0.70318512696885749</v>
      </c>
      <c r="M10" s="212">
        <f t="shared" si="2"/>
        <v>0.6729044277213948</v>
      </c>
      <c r="N10" s="213">
        <f>M10/1.045</f>
        <v>0.64392768203004291</v>
      </c>
    </row>
    <row r="12" spans="2:20">
      <c r="D12" s="214" t="s">
        <v>413</v>
      </c>
      <c r="E12" s="215"/>
    </row>
    <row r="13" spans="2:20">
      <c r="D13" s="206" t="s">
        <v>414</v>
      </c>
      <c r="E13" s="216">
        <f>SUMPRODUCT(E9:N9, 'Data for Q6'!C5:L5)</f>
        <v>221.20912910993113</v>
      </c>
      <c r="G13" s="217" t="s">
        <v>415</v>
      </c>
      <c r="P13" s="208"/>
      <c r="T13" s="208"/>
    </row>
    <row r="14" spans="2:20">
      <c r="D14" s="206" t="s">
        <v>416</v>
      </c>
      <c r="E14" s="216">
        <f>-SUMPRODUCT(E10:N10, 'Data for Q6'!C6:L6)</f>
        <v>-162.79767152064417</v>
      </c>
      <c r="G14" s="199" t="s">
        <v>417</v>
      </c>
      <c r="H14" s="218">
        <f>-SUM(E13:E15)</f>
        <v>-47.351001133790398</v>
      </c>
      <c r="P14" s="208"/>
      <c r="T14" s="208"/>
    </row>
    <row r="15" spans="2:20">
      <c r="D15" s="206" t="s">
        <v>418</v>
      </c>
      <c r="E15" s="216">
        <f>-SUMPRODUCT(E9:N9, E7:N7)</f>
        <v>-11.060456455496558</v>
      </c>
      <c r="G15" s="199" t="s">
        <v>419</v>
      </c>
      <c r="H15" s="218">
        <f>-E16</f>
        <v>11.039256668606733</v>
      </c>
      <c r="P15" s="208"/>
      <c r="T15" s="208"/>
    </row>
    <row r="16" spans="2:20" ht="17.25">
      <c r="D16" s="206" t="s">
        <v>420</v>
      </c>
      <c r="E16" s="219">
        <f>-SUMPRODUCT(E9:N9, E8:N8)</f>
        <v>-11.039256668606733</v>
      </c>
      <c r="G16" s="199" t="s">
        <v>421</v>
      </c>
      <c r="H16" s="218">
        <f>E18</f>
        <v>36.311744465183665</v>
      </c>
      <c r="T16" s="208"/>
    </row>
    <row r="17" spans="2:16">
      <c r="D17" s="206" t="s">
        <v>303</v>
      </c>
      <c r="E17" s="220">
        <f>SUM(E13:E16)</f>
        <v>36.311744465183665</v>
      </c>
      <c r="P17" s="208"/>
    </row>
    <row r="18" spans="2:16">
      <c r="D18" s="206" t="s">
        <v>422</v>
      </c>
      <c r="E18" s="216">
        <f>E17</f>
        <v>36.311744465183665</v>
      </c>
    </row>
    <row r="19" spans="2:16">
      <c r="D19" s="211" t="s">
        <v>423</v>
      </c>
      <c r="E19" s="221">
        <f>E17-E18</f>
        <v>0</v>
      </c>
      <c r="P19" s="208"/>
    </row>
    <row r="21" spans="2:16">
      <c r="B21" s="198" t="s">
        <v>424</v>
      </c>
      <c r="D21" s="200" t="s">
        <v>458</v>
      </c>
    </row>
    <row r="22" spans="2:16">
      <c r="D22" s="200" t="s">
        <v>459</v>
      </c>
    </row>
    <row r="24" spans="2:16">
      <c r="D24" s="214" t="s">
        <v>425</v>
      </c>
      <c r="E24" s="202">
        <v>2023</v>
      </c>
      <c r="F24" s="202">
        <f t="shared" ref="F24:N24" si="3">E24+1</f>
        <v>2024</v>
      </c>
      <c r="G24" s="202">
        <f t="shared" si="3"/>
        <v>2025</v>
      </c>
      <c r="H24" s="202">
        <f t="shared" si="3"/>
        <v>2026</v>
      </c>
      <c r="I24" s="202">
        <f t="shared" si="3"/>
        <v>2027</v>
      </c>
      <c r="J24" s="202">
        <f t="shared" si="3"/>
        <v>2028</v>
      </c>
      <c r="K24" s="202">
        <f t="shared" si="3"/>
        <v>2029</v>
      </c>
      <c r="L24" s="202">
        <f t="shared" si="3"/>
        <v>2030</v>
      </c>
      <c r="M24" s="202">
        <f t="shared" si="3"/>
        <v>2031</v>
      </c>
      <c r="N24" s="203">
        <f t="shared" si="3"/>
        <v>2032</v>
      </c>
    </row>
    <row r="25" spans="2:16">
      <c r="B25" s="204"/>
      <c r="D25" s="206" t="s">
        <v>426</v>
      </c>
      <c r="E25" s="199">
        <f t="shared" ref="E25:N25" si="4">E4</f>
        <v>151</v>
      </c>
      <c r="F25" s="199">
        <f t="shared" si="4"/>
        <v>121</v>
      </c>
      <c r="G25" s="199">
        <f t="shared" si="4"/>
        <v>100</v>
      </c>
      <c r="H25" s="199">
        <f t="shared" si="4"/>
        <v>95</v>
      </c>
      <c r="I25" s="199">
        <f t="shared" si="4"/>
        <v>87</v>
      </c>
      <c r="J25" s="199">
        <f t="shared" si="4"/>
        <v>85</v>
      </c>
      <c r="K25" s="199">
        <f t="shared" si="4"/>
        <v>75</v>
      </c>
      <c r="L25" s="199">
        <f t="shared" si="4"/>
        <v>63</v>
      </c>
      <c r="M25" s="199">
        <f t="shared" si="4"/>
        <v>50</v>
      </c>
      <c r="N25" s="207">
        <f t="shared" si="4"/>
        <v>21</v>
      </c>
      <c r="P25" s="208"/>
    </row>
    <row r="26" spans="2:16">
      <c r="D26" s="206" t="s">
        <v>427</v>
      </c>
      <c r="E26" s="222">
        <f>E25/SUM(E25:$N$25)</f>
        <v>0.17806603773584906</v>
      </c>
      <c r="F26" s="222">
        <f>F25/SUM(F25:$N$25)</f>
        <v>0.17360114777618366</v>
      </c>
      <c r="G26" s="222">
        <f>G25/SUM(G25:$N$25)</f>
        <v>0.1736111111111111</v>
      </c>
      <c r="H26" s="222">
        <f>H25/SUM(H25:$N$25)</f>
        <v>0.19957983193277312</v>
      </c>
      <c r="I26" s="222">
        <f>I25/SUM(I25:$N$25)</f>
        <v>0.2283464566929134</v>
      </c>
      <c r="J26" s="222">
        <f>J25/SUM(J25:$N$25)</f>
        <v>0.28911564625850339</v>
      </c>
      <c r="K26" s="222">
        <f>K25/SUM(K25:$N$25)</f>
        <v>0.35885167464114831</v>
      </c>
      <c r="L26" s="222">
        <f>L25/SUM(L25:$N$25)</f>
        <v>0.47014925373134331</v>
      </c>
      <c r="M26" s="222">
        <f>M25/SUM(M25:$N$25)</f>
        <v>0.70422535211267601</v>
      </c>
      <c r="N26" s="223">
        <f>N25/SUM(N25:$N$25)</f>
        <v>1</v>
      </c>
      <c r="P26" s="208"/>
    </row>
    <row r="27" spans="2:16">
      <c r="D27" s="206"/>
      <c r="N27" s="207"/>
      <c r="P27" s="208"/>
    </row>
    <row r="28" spans="2:16">
      <c r="D28" s="206" t="s">
        <v>428</v>
      </c>
      <c r="E28" s="224">
        <f>E18</f>
        <v>36.311744465183665</v>
      </c>
      <c r="F28" s="224">
        <f t="shared" ref="F28:N28" si="5">E31</f>
        <v>31.188919525216388</v>
      </c>
      <c r="G28" s="224">
        <f t="shared" si="5"/>
        <v>26.934339226138093</v>
      </c>
      <c r="H28" s="224">
        <f t="shared" si="5"/>
        <v>23.259859406016684</v>
      </c>
      <c r="I28" s="224">
        <f t="shared" si="5"/>
        <v>19.455455300858219</v>
      </c>
      <c r="J28" s="224">
        <f t="shared" si="5"/>
        <v>15.688450215440078</v>
      </c>
      <c r="K28" s="224">
        <f t="shared" si="5"/>
        <v>11.654544113276158</v>
      </c>
      <c r="L28" s="224">
        <f t="shared" si="5"/>
        <v>7.8085445558950264</v>
      </c>
      <c r="M28" s="224">
        <f t="shared" si="5"/>
        <v>4.3235445024226227</v>
      </c>
      <c r="N28" s="220">
        <f t="shared" si="5"/>
        <v>1.3363406212065421</v>
      </c>
      <c r="P28" s="208"/>
    </row>
    <row r="29" spans="2:16">
      <c r="D29" s="206" t="s">
        <v>429</v>
      </c>
      <c r="E29" s="225">
        <f>E28*'Data for Q6'!$O$3</f>
        <v>1.6340285009332649</v>
      </c>
      <c r="F29" s="225">
        <f>F28*'Data for Q6'!$O$3</f>
        <v>1.4035013786347375</v>
      </c>
      <c r="G29" s="225">
        <f>G28*'Data for Q6'!$O$3</f>
        <v>1.2120452651762141</v>
      </c>
      <c r="H29" s="225">
        <f>H28*'Data for Q6'!$O$3</f>
        <v>1.0466936732707508</v>
      </c>
      <c r="I29" s="225">
        <f>I28*'Data for Q6'!$O$3</f>
        <v>0.8754954885386198</v>
      </c>
      <c r="J29" s="225">
        <f>J28*'Data for Q6'!$O$3</f>
        <v>0.70598025969480349</v>
      </c>
      <c r="K29" s="225">
        <f>K28*'Data for Q6'!$O$3</f>
        <v>0.52445448509742709</v>
      </c>
      <c r="L29" s="225">
        <f>L28*'Data for Q6'!$O$3</f>
        <v>0.35138450501527618</v>
      </c>
      <c r="M29" s="225">
        <f>M28*'Data for Q6'!$O$3</f>
        <v>0.19455950260901803</v>
      </c>
      <c r="N29" s="226">
        <f>N28*'Data for Q6'!$O$3</f>
        <v>6.0135327954294389E-2</v>
      </c>
      <c r="P29" s="208"/>
    </row>
    <row r="30" spans="2:16">
      <c r="D30" s="206" t="s">
        <v>430</v>
      </c>
      <c r="E30" s="227">
        <f t="shared" ref="E30:N30" si="6">-SUM(E28:E29)*E26</f>
        <v>-6.7568534409005379</v>
      </c>
      <c r="F30" s="227">
        <f t="shared" si="6"/>
        <v>-5.6580816777130369</v>
      </c>
      <c r="G30" s="227">
        <f t="shared" si="6"/>
        <v>-4.886525085297623</v>
      </c>
      <c r="H30" s="227">
        <f t="shared" si="6"/>
        <v>-4.8510977784292155</v>
      </c>
      <c r="I30" s="227">
        <f t="shared" si="6"/>
        <v>-4.6425005739567586</v>
      </c>
      <c r="J30" s="227">
        <f t="shared" si="6"/>
        <v>-4.7398863618587246</v>
      </c>
      <c r="K30" s="227">
        <f t="shared" si="6"/>
        <v>-4.370454042478559</v>
      </c>
      <c r="L30" s="227">
        <f t="shared" si="6"/>
        <v>-3.8363845584876799</v>
      </c>
      <c r="M30" s="227">
        <f t="shared" si="6"/>
        <v>-3.1817633838250989</v>
      </c>
      <c r="N30" s="216">
        <f t="shared" si="6"/>
        <v>-1.3964759491608365</v>
      </c>
      <c r="P30" s="208"/>
    </row>
    <row r="31" spans="2:16">
      <c r="D31" s="211" t="s">
        <v>431</v>
      </c>
      <c r="E31" s="228">
        <f t="shared" ref="E31:N31" si="7">SUM(E28:E30)</f>
        <v>31.188919525216388</v>
      </c>
      <c r="F31" s="228">
        <f t="shared" si="7"/>
        <v>26.934339226138093</v>
      </c>
      <c r="G31" s="228">
        <f t="shared" si="7"/>
        <v>23.259859406016684</v>
      </c>
      <c r="H31" s="228">
        <f t="shared" si="7"/>
        <v>19.455455300858219</v>
      </c>
      <c r="I31" s="228">
        <f t="shared" si="7"/>
        <v>15.688450215440078</v>
      </c>
      <c r="J31" s="228">
        <f t="shared" si="7"/>
        <v>11.654544113276158</v>
      </c>
      <c r="K31" s="228">
        <f t="shared" si="7"/>
        <v>7.8085445558950264</v>
      </c>
      <c r="L31" s="228">
        <f t="shared" si="7"/>
        <v>4.3235445024226227</v>
      </c>
      <c r="M31" s="228">
        <f t="shared" si="7"/>
        <v>1.3363406212065421</v>
      </c>
      <c r="N31" s="229">
        <f t="shared" si="7"/>
        <v>0</v>
      </c>
      <c r="P31" s="208"/>
    </row>
    <row r="34" spans="2:16">
      <c r="B34" s="198" t="s">
        <v>432</v>
      </c>
      <c r="D34" s="214" t="s">
        <v>433</v>
      </c>
      <c r="E34" s="215"/>
      <c r="P34" s="204"/>
    </row>
    <row r="35" spans="2:16">
      <c r="B35" s="204"/>
      <c r="D35" s="206" t="s">
        <v>434</v>
      </c>
      <c r="E35" s="220">
        <f>(H14+E5-E7)*'Data for Q6'!O3</f>
        <v>-0.20704505102056789</v>
      </c>
      <c r="F35" s="200" t="s">
        <v>435</v>
      </c>
      <c r="P35" s="208"/>
    </row>
    <row r="36" spans="2:16">
      <c r="D36" s="206" t="s">
        <v>436</v>
      </c>
      <c r="E36" s="220">
        <f>H15*'Data for Q6'!O3</f>
        <v>0.49676655008730297</v>
      </c>
      <c r="F36" s="200" t="s">
        <v>437</v>
      </c>
      <c r="P36" s="208"/>
    </row>
    <row r="37" spans="2:16" ht="17.25">
      <c r="D37" s="206" t="s">
        <v>438</v>
      </c>
      <c r="E37" s="230">
        <f>H16*'Data for Q6'!O3</f>
        <v>1.6340285009332649</v>
      </c>
      <c r="F37" s="200" t="s">
        <v>439</v>
      </c>
      <c r="P37" s="208"/>
    </row>
    <row r="38" spans="2:16">
      <c r="D38" s="211" t="s">
        <v>440</v>
      </c>
      <c r="E38" s="229">
        <f>SUM(E35:E37)</f>
        <v>1.9237500000000001</v>
      </c>
      <c r="P38" s="208"/>
    </row>
    <row r="40" spans="2:16">
      <c r="B40" s="198" t="s">
        <v>441</v>
      </c>
      <c r="D40" s="214" t="s">
        <v>442</v>
      </c>
      <c r="E40" s="215"/>
    </row>
    <row r="41" spans="2:16">
      <c r="B41" s="204"/>
      <c r="D41" s="206"/>
      <c r="E41" s="207"/>
    </row>
    <row r="42" spans="2:16">
      <c r="D42" s="206" t="s">
        <v>443</v>
      </c>
      <c r="E42" s="207"/>
    </row>
    <row r="43" spans="2:16">
      <c r="D43" s="231" t="s">
        <v>444</v>
      </c>
      <c r="E43" s="226">
        <f>-E30</f>
        <v>6.7568534409005379</v>
      </c>
      <c r="F43" s="199" t="s">
        <v>464</v>
      </c>
    </row>
    <row r="44" spans="2:16">
      <c r="D44" s="231" t="s">
        <v>445</v>
      </c>
      <c r="E44" s="226">
        <f>E8</f>
        <v>2.2650000000000001</v>
      </c>
    </row>
    <row r="45" spans="2:16">
      <c r="D45" s="231" t="s">
        <v>407</v>
      </c>
      <c r="E45" s="226">
        <f>E6</f>
        <v>1</v>
      </c>
    </row>
    <row r="46" spans="2:16">
      <c r="D46" s="231" t="s">
        <v>446</v>
      </c>
      <c r="E46" s="226">
        <f>E7</f>
        <v>2.25</v>
      </c>
      <c r="P46" s="204"/>
    </row>
    <row r="47" spans="2:16" ht="17.25">
      <c r="D47" s="231" t="s">
        <v>447</v>
      </c>
      <c r="E47" s="232">
        <v>0</v>
      </c>
      <c r="P47" s="208"/>
    </row>
    <row r="48" spans="2:16">
      <c r="D48" s="233" t="s">
        <v>443</v>
      </c>
      <c r="E48" s="226">
        <f>SUM(E43:E47)</f>
        <v>12.271853440900538</v>
      </c>
      <c r="P48" s="208"/>
    </row>
    <row r="49" spans="4:16">
      <c r="D49" s="206"/>
      <c r="E49" s="226"/>
      <c r="P49" s="208"/>
    </row>
    <row r="50" spans="4:16">
      <c r="D50" s="206" t="s">
        <v>448</v>
      </c>
      <c r="E50" s="226"/>
      <c r="P50" s="208"/>
    </row>
    <row r="51" spans="4:16">
      <c r="D51" s="231" t="s">
        <v>449</v>
      </c>
      <c r="E51" s="226">
        <f>E45</f>
        <v>1</v>
      </c>
      <c r="P51" s="208"/>
    </row>
    <row r="52" spans="4:16">
      <c r="D52" s="231" t="s">
        <v>450</v>
      </c>
      <c r="E52" s="226">
        <f>E46</f>
        <v>2.25</v>
      </c>
      <c r="P52" s="208"/>
    </row>
    <row r="53" spans="4:16" ht="17.25">
      <c r="D53" s="231" t="s">
        <v>451</v>
      </c>
      <c r="E53" s="232">
        <v>0</v>
      </c>
      <c r="P53" s="204"/>
    </row>
    <row r="54" spans="4:16">
      <c r="D54" s="233" t="s">
        <v>448</v>
      </c>
      <c r="E54" s="226">
        <f>SUM(E51:E53)</f>
        <v>3.25</v>
      </c>
      <c r="P54" s="208"/>
    </row>
    <row r="55" spans="4:16">
      <c r="D55" s="206"/>
      <c r="E55" s="207"/>
      <c r="P55" s="208"/>
    </row>
    <row r="56" spans="4:16">
      <c r="D56" s="233" t="s">
        <v>452</v>
      </c>
      <c r="E56" s="207">
        <v>0</v>
      </c>
      <c r="P56" s="208"/>
    </row>
    <row r="57" spans="4:16">
      <c r="D57" s="206"/>
      <c r="E57" s="207"/>
      <c r="P57" s="208"/>
    </row>
    <row r="58" spans="4:16">
      <c r="D58" s="206" t="s">
        <v>453</v>
      </c>
      <c r="E58" s="207"/>
      <c r="P58" s="208"/>
    </row>
    <row r="59" spans="4:16">
      <c r="D59" s="231" t="s">
        <v>261</v>
      </c>
      <c r="E59" s="234">
        <f>(E5-E6-E7)*'Data for Q6'!O6</f>
        <v>2.2962500000000001</v>
      </c>
      <c r="F59" s="200" t="s">
        <v>454</v>
      </c>
      <c r="P59" s="204"/>
    </row>
    <row r="60" spans="4:16">
      <c r="D60" s="231" t="s">
        <v>455</v>
      </c>
      <c r="E60" s="235">
        <f>-E38</f>
        <v>-1.9237500000000001</v>
      </c>
      <c r="F60" s="199" t="s">
        <v>456</v>
      </c>
      <c r="P60" s="208"/>
    </row>
    <row r="61" spans="4:16">
      <c r="D61" s="233" t="s">
        <v>453</v>
      </c>
      <c r="E61" s="234">
        <f>SUM(E59:E60)</f>
        <v>0.37250000000000005</v>
      </c>
      <c r="P61" s="208"/>
    </row>
    <row r="62" spans="4:16">
      <c r="D62" s="206"/>
      <c r="E62" s="207"/>
      <c r="P62" s="208"/>
    </row>
    <row r="63" spans="4:16">
      <c r="D63" s="236" t="s">
        <v>457</v>
      </c>
      <c r="E63" s="237">
        <f>E48-E54-E56+E61</f>
        <v>9.394353440900538</v>
      </c>
      <c r="P63" s="208"/>
    </row>
    <row r="64" spans="4:16">
      <c r="P64" s="208"/>
    </row>
    <row r="65" spans="16:16">
      <c r="P65" s="208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D7E09-117E-4F8E-BCB1-DC92FAAAD423}">
  <dimension ref="A1:L34"/>
  <sheetViews>
    <sheetView zoomScale="85" zoomScaleNormal="85" workbookViewId="0">
      <selection activeCell="K8" sqref="K7:K8"/>
    </sheetView>
  </sheetViews>
  <sheetFormatPr defaultColWidth="8.7109375" defaultRowHeight="15"/>
  <cols>
    <col min="2" max="2" width="10.7109375" customWidth="1"/>
    <col min="3" max="4" width="12" customWidth="1"/>
    <col min="5" max="5" width="14.28515625" customWidth="1"/>
    <col min="6" max="6" width="16.28515625" customWidth="1"/>
  </cols>
  <sheetData>
    <row r="1" spans="1:12" ht="22.5">
      <c r="A1" s="2" t="s">
        <v>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5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186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72" t="s">
        <v>81</v>
      </c>
      <c r="B5" s="4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72" t="s">
        <v>82</v>
      </c>
      <c r="B6" s="4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6.5" thickBot="1">
      <c r="A7" s="72"/>
      <c r="B7" s="4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6.5" thickBot="1">
      <c r="A8" s="72"/>
      <c r="B8" s="4"/>
      <c r="C8" s="102">
        <v>2021</v>
      </c>
      <c r="D8" s="242">
        <v>500000</v>
      </c>
      <c r="E8" s="3"/>
      <c r="F8" s="3"/>
      <c r="G8" s="3"/>
      <c r="H8" s="3"/>
      <c r="I8" s="3"/>
      <c r="J8" s="3"/>
      <c r="K8" s="3"/>
      <c r="L8" s="3"/>
    </row>
    <row r="9" spans="1:12" ht="16.5" thickBot="1">
      <c r="A9" s="72"/>
      <c r="B9" s="4"/>
      <c r="C9" s="103">
        <v>2022</v>
      </c>
      <c r="D9" s="242">
        <v>400000</v>
      </c>
      <c r="E9" s="3"/>
      <c r="F9" s="3"/>
      <c r="G9" s="3"/>
      <c r="H9" s="3"/>
      <c r="I9" s="3"/>
      <c r="J9" s="3"/>
      <c r="K9" s="3"/>
      <c r="L9" s="3"/>
    </row>
    <row r="10" spans="1:12" ht="16.5" thickBot="1">
      <c r="A10" s="72"/>
      <c r="B10" s="4"/>
      <c r="C10" s="103">
        <v>2023</v>
      </c>
      <c r="D10" s="242">
        <v>450000</v>
      </c>
      <c r="E10" s="3"/>
      <c r="F10" s="3"/>
      <c r="G10" s="3"/>
      <c r="H10" s="3"/>
      <c r="I10" s="3"/>
      <c r="J10" s="3"/>
      <c r="K10" s="3"/>
      <c r="L10" s="3"/>
    </row>
    <row r="11" spans="1:12" ht="15.75">
      <c r="A11" s="72"/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5" t="s">
        <v>259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.75">
      <c r="A13" s="72"/>
      <c r="B13" s="4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5.75">
      <c r="A14" s="5" t="s">
        <v>160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15.75">
      <c r="A15" s="5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15.75">
      <c r="A16" s="4" t="s">
        <v>187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5.75">
      <c r="A17" s="5" t="s">
        <v>4</v>
      </c>
      <c r="B17" s="4"/>
      <c r="C17" s="3"/>
      <c r="D17" s="3"/>
      <c r="E17" s="3"/>
      <c r="F17" s="3"/>
      <c r="G17" s="3"/>
      <c r="H17" s="3"/>
      <c r="I17" s="3"/>
      <c r="J17" s="3"/>
      <c r="K17" s="3"/>
      <c r="L17" s="3"/>
    </row>
    <row r="28" spans="1:12" ht="15.75">
      <c r="A28" s="5" t="s">
        <v>188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5.75">
      <c r="A29" s="5" t="s">
        <v>189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5.75">
      <c r="A31" s="5" t="s">
        <v>190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5.75">
      <c r="A33" s="4" t="s">
        <v>161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5.75">
      <c r="A34" s="5" t="s">
        <v>4</v>
      </c>
      <c r="B34" s="4"/>
      <c r="C34" s="3"/>
      <c r="D34" s="3"/>
      <c r="E34" s="3"/>
      <c r="F34" s="3"/>
      <c r="G34" s="3"/>
      <c r="H34" s="3"/>
      <c r="I34" s="3"/>
      <c r="J34" s="3"/>
      <c r="K34" s="3"/>
      <c r="L34" s="3"/>
    </row>
  </sheetData>
  <pageMargins left="0.7" right="0.7" top="0.75" bottom="0.75" header="0.3" footer="0.3"/>
  <pageSetup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7E4F5-9017-4344-9114-E835DF2C9357}">
  <dimension ref="B2:L27"/>
  <sheetViews>
    <sheetView zoomScale="85" zoomScaleNormal="85" workbookViewId="0">
      <selection activeCell="G6" sqref="G6"/>
    </sheetView>
  </sheetViews>
  <sheetFormatPr defaultColWidth="8.7109375" defaultRowHeight="15"/>
  <cols>
    <col min="1" max="1" width="2.5703125" customWidth="1"/>
    <col min="2" max="2" width="51.28515625" bestFit="1" customWidth="1"/>
    <col min="3" max="3" width="13.28515625" style="73" bestFit="1" customWidth="1"/>
    <col min="4" max="4" width="2.5703125" style="74" customWidth="1"/>
    <col min="5" max="5" width="2.5703125" customWidth="1"/>
    <col min="6" max="6" width="51.28515625" bestFit="1" customWidth="1"/>
    <col min="7" max="7" width="13.28515625" style="73" bestFit="1" customWidth="1"/>
    <col min="8" max="8" width="2.5703125" style="74" customWidth="1"/>
    <col min="9" max="9" width="2.5703125" customWidth="1"/>
    <col min="10" max="10" width="51.28515625" bestFit="1" customWidth="1"/>
    <col min="11" max="11" width="13.28515625" style="73" bestFit="1" customWidth="1"/>
    <col min="12" max="12" width="2.5703125" style="74" customWidth="1"/>
  </cols>
  <sheetData>
    <row r="2" spans="2:11">
      <c r="B2" s="7" t="s">
        <v>83</v>
      </c>
      <c r="F2" s="7" t="s">
        <v>84</v>
      </c>
      <c r="J2" s="7" t="s">
        <v>85</v>
      </c>
    </row>
    <row r="4" spans="2:11">
      <c r="B4" s="25" t="s">
        <v>86</v>
      </c>
      <c r="F4" s="25" t="s">
        <v>86</v>
      </c>
      <c r="J4" s="25" t="s">
        <v>86</v>
      </c>
    </row>
    <row r="6" spans="2:11">
      <c r="B6" t="s">
        <v>87</v>
      </c>
      <c r="C6" s="73">
        <v>1000000</v>
      </c>
      <c r="F6" t="s">
        <v>87</v>
      </c>
      <c r="G6" s="73">
        <v>1500000</v>
      </c>
      <c r="J6" t="s">
        <v>87</v>
      </c>
      <c r="K6" s="73">
        <v>750000</v>
      </c>
    </row>
    <row r="7" spans="2:11">
      <c r="B7" t="s">
        <v>88</v>
      </c>
      <c r="C7" s="73">
        <v>2000000</v>
      </c>
      <c r="F7" t="s">
        <v>88</v>
      </c>
      <c r="G7" s="73">
        <v>2500000</v>
      </c>
      <c r="J7" t="s">
        <v>88</v>
      </c>
      <c r="K7" s="73">
        <v>3000000</v>
      </c>
    </row>
    <row r="8" spans="2:11">
      <c r="B8" t="s">
        <v>89</v>
      </c>
      <c r="C8" s="75">
        <v>10000000</v>
      </c>
      <c r="F8" t="s">
        <v>89</v>
      </c>
      <c r="G8" s="75">
        <v>11000000</v>
      </c>
      <c r="J8" t="s">
        <v>89</v>
      </c>
      <c r="K8" s="75">
        <v>14000000</v>
      </c>
    </row>
    <row r="9" spans="2:11">
      <c r="B9" t="s">
        <v>90</v>
      </c>
      <c r="C9" s="73">
        <f>SUM(C6:C8)</f>
        <v>13000000</v>
      </c>
      <c r="F9" t="s">
        <v>90</v>
      </c>
      <c r="G9" s="73">
        <f>SUM(G6:G8)</f>
        <v>15000000</v>
      </c>
      <c r="J9" t="s">
        <v>90</v>
      </c>
      <c r="K9" s="73">
        <f>SUM(K6:K8)</f>
        <v>17750000</v>
      </c>
    </row>
    <row r="12" spans="2:11">
      <c r="B12" s="25" t="s">
        <v>91</v>
      </c>
      <c r="F12" s="25" t="s">
        <v>91</v>
      </c>
      <c r="J12" s="25" t="s">
        <v>91</v>
      </c>
    </row>
    <row r="13" spans="2:11">
      <c r="C13" s="76"/>
      <c r="G13" s="76"/>
      <c r="K13" s="76"/>
    </row>
    <row r="14" spans="2:11">
      <c r="B14" t="s">
        <v>92</v>
      </c>
      <c r="C14" s="73">
        <v>500000</v>
      </c>
      <c r="F14" t="s">
        <v>92</v>
      </c>
      <c r="G14" s="73">
        <v>300000</v>
      </c>
      <c r="J14" t="s">
        <v>92</v>
      </c>
      <c r="K14" s="73">
        <v>500000</v>
      </c>
    </row>
    <row r="15" spans="2:11">
      <c r="B15" t="s">
        <v>93</v>
      </c>
      <c r="C15" s="73">
        <v>1700000</v>
      </c>
      <c r="F15" t="s">
        <v>93</v>
      </c>
      <c r="G15" s="73">
        <v>1500000</v>
      </c>
      <c r="J15" t="s">
        <v>93</v>
      </c>
      <c r="K15" s="73">
        <v>2000000</v>
      </c>
    </row>
    <row r="16" spans="2:11">
      <c r="B16" t="s">
        <v>94</v>
      </c>
      <c r="C16" s="75">
        <v>12000000</v>
      </c>
      <c r="F16" t="s">
        <v>94</v>
      </c>
      <c r="G16" s="75">
        <v>12000000</v>
      </c>
      <c r="J16" t="s">
        <v>94</v>
      </c>
      <c r="K16" s="75">
        <v>17000000</v>
      </c>
    </row>
    <row r="17" spans="2:11">
      <c r="B17" t="s">
        <v>95</v>
      </c>
      <c r="C17" s="73">
        <f>SUM(C14:C16)</f>
        <v>14200000</v>
      </c>
      <c r="F17" t="s">
        <v>95</v>
      </c>
      <c r="G17" s="73">
        <f>SUM(G14:G16)</f>
        <v>13800000</v>
      </c>
      <c r="J17" t="s">
        <v>95</v>
      </c>
      <c r="K17" s="73">
        <f>SUM(K14:K16)</f>
        <v>19500000</v>
      </c>
    </row>
    <row r="20" spans="2:11">
      <c r="B20" s="25" t="s">
        <v>96</v>
      </c>
      <c r="F20" s="25" t="s">
        <v>96</v>
      </c>
      <c r="J20" s="25" t="s">
        <v>96</v>
      </c>
    </row>
    <row r="22" spans="2:11">
      <c r="B22" t="s">
        <v>97</v>
      </c>
      <c r="C22" s="73">
        <f>C9-C17</f>
        <v>-1200000</v>
      </c>
      <c r="F22" t="s">
        <v>97</v>
      </c>
      <c r="G22" s="73">
        <f>G9-G17</f>
        <v>1200000</v>
      </c>
      <c r="J22" t="s">
        <v>97</v>
      </c>
      <c r="K22" s="73">
        <f>K9-K17</f>
        <v>-1750000</v>
      </c>
    </row>
    <row r="25" spans="2:11">
      <c r="B25" s="25" t="s">
        <v>98</v>
      </c>
      <c r="F25" s="25" t="s">
        <v>98</v>
      </c>
      <c r="J25" s="25" t="s">
        <v>98</v>
      </c>
    </row>
    <row r="27" spans="2:11">
      <c r="B27" t="s">
        <v>99</v>
      </c>
      <c r="C27" s="73">
        <f>MAX(C22*30%,0)</f>
        <v>0</v>
      </c>
      <c r="F27" t="s">
        <v>99</v>
      </c>
      <c r="G27" s="73">
        <f>MAX(G22*30%,0)</f>
        <v>360000</v>
      </c>
      <c r="J27" t="s">
        <v>99</v>
      </c>
      <c r="K27" s="73">
        <f>MAX(K22*30%,0)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A2012-C797-446E-B26E-4433B694B570}">
  <dimension ref="B3:D14"/>
  <sheetViews>
    <sheetView zoomScale="85" zoomScaleNormal="85" workbookViewId="0">
      <selection activeCell="C9" sqref="C9"/>
    </sheetView>
  </sheetViews>
  <sheetFormatPr defaultColWidth="8.7109375" defaultRowHeight="15"/>
  <cols>
    <col min="1" max="1" width="4.42578125" customWidth="1"/>
    <col min="2" max="2" width="33.7109375" customWidth="1"/>
    <col min="3" max="3" width="19.5703125" style="22" bestFit="1" customWidth="1"/>
    <col min="4" max="4" width="20.28515625" bestFit="1" customWidth="1"/>
  </cols>
  <sheetData>
    <row r="3" spans="2:4">
      <c r="B3" s="77" t="s">
        <v>162</v>
      </c>
      <c r="C3" s="78"/>
    </row>
    <row r="4" spans="2:4">
      <c r="B4" s="79" t="s">
        <v>260</v>
      </c>
      <c r="C4" s="80">
        <v>1500000</v>
      </c>
      <c r="D4" s="81"/>
    </row>
    <row r="5" spans="2:4">
      <c r="B5" s="79" t="s">
        <v>261</v>
      </c>
      <c r="C5" s="82">
        <v>0.02</v>
      </c>
      <c r="D5" s="83" t="s">
        <v>100</v>
      </c>
    </row>
    <row r="6" spans="2:4" ht="30">
      <c r="B6" s="79" t="s">
        <v>262</v>
      </c>
      <c r="C6" s="80">
        <v>500000</v>
      </c>
      <c r="D6" s="81"/>
    </row>
    <row r="7" spans="2:4">
      <c r="B7" s="79" t="s">
        <v>263</v>
      </c>
      <c r="C7" s="82">
        <v>0.15</v>
      </c>
      <c r="D7" s="81" t="s">
        <v>101</v>
      </c>
    </row>
    <row r="8" spans="2:4" ht="45">
      <c r="B8" s="79" t="s">
        <v>264</v>
      </c>
      <c r="C8" s="80">
        <v>20000000</v>
      </c>
      <c r="D8" s="81"/>
    </row>
    <row r="9" spans="2:4">
      <c r="B9" s="79" t="s">
        <v>102</v>
      </c>
      <c r="C9" s="80">
        <v>5000000</v>
      </c>
      <c r="D9" s="81"/>
    </row>
    <row r="12" spans="2:4">
      <c r="C12"/>
    </row>
    <row r="13" spans="2:4">
      <c r="C13"/>
    </row>
    <row r="14" spans="2:4">
      <c r="C1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A9467-98AF-4E48-A36B-2AC87FA3FDC8}">
  <dimension ref="B2:N29"/>
  <sheetViews>
    <sheetView showGridLines="0" topLeftCell="C1" zoomScale="85" zoomScaleNormal="85" workbookViewId="0">
      <selection activeCell="K1" sqref="K1"/>
    </sheetView>
  </sheetViews>
  <sheetFormatPr defaultColWidth="8.85546875" defaultRowHeight="15"/>
  <cols>
    <col min="1" max="1" width="2.7109375" customWidth="1"/>
    <col min="2" max="2" width="51.140625" bestFit="1" customWidth="1"/>
    <col min="3" max="3" width="13.28515625" style="73" bestFit="1" customWidth="1"/>
    <col min="4" max="4" width="2.7109375" style="74" customWidth="1"/>
    <col min="5" max="5" width="2.7109375" customWidth="1"/>
    <col min="6" max="6" width="51.140625" bestFit="1" customWidth="1"/>
    <col min="7" max="7" width="13.28515625" style="73" bestFit="1" customWidth="1"/>
    <col min="8" max="8" width="2.7109375" style="74" customWidth="1"/>
    <col min="9" max="9" width="2.7109375" customWidth="1"/>
    <col min="10" max="10" width="51.140625" bestFit="1" customWidth="1"/>
    <col min="11" max="11" width="13.28515625" style="73" bestFit="1" customWidth="1"/>
    <col min="12" max="12" width="2.7109375" style="74" customWidth="1"/>
  </cols>
  <sheetData>
    <row r="2" spans="2:14">
      <c r="B2" s="7" t="s">
        <v>83</v>
      </c>
      <c r="F2" s="7" t="s">
        <v>84</v>
      </c>
      <c r="J2" s="7" t="s">
        <v>85</v>
      </c>
    </row>
    <row r="4" spans="2:14">
      <c r="B4" s="25" t="s">
        <v>86</v>
      </c>
      <c r="F4" s="25" t="s">
        <v>86</v>
      </c>
      <c r="J4" s="25" t="s">
        <v>86</v>
      </c>
    </row>
    <row r="6" spans="2:14">
      <c r="B6" t="s">
        <v>87</v>
      </c>
      <c r="C6" s="73">
        <f>'Data for Q7 (c)'!C6</f>
        <v>1000000</v>
      </c>
      <c r="F6" t="s">
        <v>87</v>
      </c>
      <c r="G6" s="73">
        <f>'Data for Q7 (c)'!G6</f>
        <v>1500000</v>
      </c>
      <c r="J6" t="s">
        <v>87</v>
      </c>
      <c r="K6" s="73">
        <f>'Data for Q7 (c)'!K6</f>
        <v>750000</v>
      </c>
    </row>
    <row r="7" spans="2:14">
      <c r="B7" t="s">
        <v>88</v>
      </c>
      <c r="C7" s="73">
        <f>'Data for Q7 (c)'!C7</f>
        <v>2000000</v>
      </c>
      <c r="F7" t="s">
        <v>88</v>
      </c>
      <c r="G7" s="73">
        <f>'Data for Q7 (c)'!G7</f>
        <v>2500000</v>
      </c>
      <c r="J7" t="s">
        <v>88</v>
      </c>
      <c r="K7" s="73">
        <f>'Data for Q7 (c)'!K7</f>
        <v>3000000</v>
      </c>
    </row>
    <row r="8" spans="2:14">
      <c r="B8" t="s">
        <v>89</v>
      </c>
      <c r="C8" s="75">
        <f>'Data for Q7 (c)'!C8</f>
        <v>10000000</v>
      </c>
      <c r="F8" t="s">
        <v>89</v>
      </c>
      <c r="G8" s="75">
        <f>'Data for Q7 (c)'!G8</f>
        <v>11000000</v>
      </c>
      <c r="J8" t="s">
        <v>89</v>
      </c>
      <c r="K8" s="75">
        <f>'Data for Q7 (c)'!K8</f>
        <v>14000000</v>
      </c>
    </row>
    <row r="9" spans="2:14">
      <c r="B9" t="s">
        <v>90</v>
      </c>
      <c r="C9" s="73">
        <f>SUM(C6:C8)</f>
        <v>13000000</v>
      </c>
      <c r="F9" t="s">
        <v>90</v>
      </c>
      <c r="G9" s="73">
        <f>SUM(G6:G8)</f>
        <v>15000000</v>
      </c>
      <c r="J9" t="s">
        <v>90</v>
      </c>
      <c r="K9" s="73">
        <f>SUM(K6:K8)</f>
        <v>17750000</v>
      </c>
    </row>
    <row r="12" spans="2:14">
      <c r="B12" s="25" t="s">
        <v>91</v>
      </c>
      <c r="F12" s="25" t="s">
        <v>91</v>
      </c>
      <c r="J12" s="25" t="s">
        <v>91</v>
      </c>
    </row>
    <row r="14" spans="2:14">
      <c r="B14" t="s">
        <v>92</v>
      </c>
      <c r="C14" s="73">
        <f>'Data for Q7 (c)'!C14</f>
        <v>500000</v>
      </c>
      <c r="F14" t="s">
        <v>92</v>
      </c>
      <c r="G14" s="73">
        <f>'Data for Q7 (c)'!G14</f>
        <v>300000</v>
      </c>
      <c r="J14" t="s">
        <v>92</v>
      </c>
      <c r="K14" s="73">
        <f>'Data for Q7 (c)'!K14</f>
        <v>500000</v>
      </c>
    </row>
    <row r="15" spans="2:14">
      <c r="B15" t="s">
        <v>93</v>
      </c>
      <c r="C15" s="73">
        <f>'Data for Q7 (c)'!C15</f>
        <v>1700000</v>
      </c>
      <c r="F15" t="s">
        <v>93</v>
      </c>
      <c r="G15" s="73">
        <f>'Data for Q7 (c)'!G15</f>
        <v>1500000</v>
      </c>
      <c r="J15" t="s">
        <v>93</v>
      </c>
      <c r="K15" s="73">
        <f>'Data for Q7 (c)'!K15</f>
        <v>2000000</v>
      </c>
    </row>
    <row r="16" spans="2:14">
      <c r="B16" t="s">
        <v>94</v>
      </c>
      <c r="C16" s="238">
        <f>'Data for Q7 (c)'!C16+'Q7'!D8</f>
        <v>12500000</v>
      </c>
      <c r="F16" t="s">
        <v>94</v>
      </c>
      <c r="G16" s="238">
        <f>'Data for Q7 (c)'!G16+'Q7'!D9</f>
        <v>12400000</v>
      </c>
      <c r="J16" t="s">
        <v>94</v>
      </c>
      <c r="K16" s="238">
        <f>'Data for Q7 (c)'!K16+'Q7'!D10</f>
        <v>17450000</v>
      </c>
      <c r="N16" s="239"/>
    </row>
    <row r="17" spans="2:14">
      <c r="B17" t="s">
        <v>95</v>
      </c>
      <c r="C17" s="73">
        <f>SUM(C14:C16)</f>
        <v>14700000</v>
      </c>
      <c r="F17" t="s">
        <v>95</v>
      </c>
      <c r="G17" s="73">
        <f>SUM(G14:G16)</f>
        <v>14200000</v>
      </c>
      <c r="J17" t="s">
        <v>95</v>
      </c>
      <c r="K17" s="73">
        <f>SUM(K14:K16)</f>
        <v>19950000</v>
      </c>
      <c r="N17" s="239"/>
    </row>
    <row r="20" spans="2:14">
      <c r="B20" s="25" t="s">
        <v>96</v>
      </c>
      <c r="F20" s="25" t="s">
        <v>96</v>
      </c>
      <c r="J20" s="25" t="s">
        <v>96</v>
      </c>
    </row>
    <row r="22" spans="2:14">
      <c r="B22" t="s">
        <v>97</v>
      </c>
      <c r="C22" s="73">
        <f>C9-C17</f>
        <v>-1700000</v>
      </c>
      <c r="F22" s="240" t="s">
        <v>460</v>
      </c>
      <c r="G22" s="73">
        <f>G9-G17</f>
        <v>800000</v>
      </c>
      <c r="J22" s="240" t="s">
        <v>460</v>
      </c>
      <c r="K22" s="73">
        <f>K9-K17</f>
        <v>-2200000</v>
      </c>
    </row>
    <row r="23" spans="2:14">
      <c r="F23" s="240" t="s">
        <v>461</v>
      </c>
      <c r="G23" s="238">
        <f>C22</f>
        <v>-1700000</v>
      </c>
      <c r="J23" s="240" t="s">
        <v>461</v>
      </c>
      <c r="K23" s="238">
        <f>G24</f>
        <v>-900000</v>
      </c>
      <c r="N23" s="239"/>
    </row>
    <row r="24" spans="2:14">
      <c r="F24" s="240" t="s">
        <v>462</v>
      </c>
      <c r="G24" s="241">
        <f>SUM(G22:G23)</f>
        <v>-900000</v>
      </c>
      <c r="J24" s="240" t="s">
        <v>462</v>
      </c>
      <c r="K24" s="241">
        <f>SUM(K22:K23)</f>
        <v>-3100000</v>
      </c>
      <c r="N24" s="239"/>
    </row>
    <row r="25" spans="2:14">
      <c r="B25" s="25" t="s">
        <v>98</v>
      </c>
      <c r="F25" s="25" t="s">
        <v>98</v>
      </c>
      <c r="J25" s="25" t="s">
        <v>98</v>
      </c>
    </row>
    <row r="27" spans="2:14">
      <c r="B27" t="s">
        <v>99</v>
      </c>
      <c r="C27" s="73">
        <f>MAX(C22*30%,0)</f>
        <v>0</v>
      </c>
      <c r="F27" t="s">
        <v>99</v>
      </c>
      <c r="G27" s="73">
        <f>MAX(G24*30%,0)</f>
        <v>0</v>
      </c>
      <c r="J27" t="s">
        <v>99</v>
      </c>
      <c r="K27" s="73">
        <f>MAX(K22*30%,0)</f>
        <v>0</v>
      </c>
      <c r="N27" s="239"/>
    </row>
    <row r="29" spans="2:14">
      <c r="N29" s="239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95512-4F90-4382-AA04-CDF03C1A0513}">
  <dimension ref="B2:D30"/>
  <sheetViews>
    <sheetView showGridLines="0" tabSelected="1" zoomScale="85" zoomScaleNormal="85" workbookViewId="0">
      <selection activeCell="A20" sqref="A20"/>
    </sheetView>
  </sheetViews>
  <sheetFormatPr defaultColWidth="8.85546875" defaultRowHeight="15"/>
  <cols>
    <col min="1" max="1" width="2.7109375" customWidth="1"/>
    <col min="2" max="2" width="51.140625" bestFit="1" customWidth="1"/>
    <col min="3" max="3" width="13.28515625" style="73" bestFit="1" customWidth="1"/>
  </cols>
  <sheetData>
    <row r="2" spans="2:4">
      <c r="B2" s="7" t="s">
        <v>463</v>
      </c>
    </row>
    <row r="4" spans="2:4">
      <c r="B4" s="25" t="s">
        <v>86</v>
      </c>
    </row>
    <row r="6" spans="2:4">
      <c r="B6" t="s">
        <v>87</v>
      </c>
      <c r="C6" s="73">
        <f>'Data for Q7 (d)'!$C$4</f>
        <v>1500000</v>
      </c>
      <c r="D6" s="239"/>
    </row>
    <row r="7" spans="2:4">
      <c r="B7" t="s">
        <v>88</v>
      </c>
      <c r="C7" s="73">
        <f>'Solution for Q7 (c)'!K7*1.02</f>
        <v>3060000</v>
      </c>
      <c r="D7" s="239"/>
    </row>
    <row r="8" spans="2:4">
      <c r="B8" t="s">
        <v>89</v>
      </c>
      <c r="C8" s="75">
        <f>'Solution for Q7 (c)'!K8*1.02</f>
        <v>14280000</v>
      </c>
      <c r="D8" s="239"/>
    </row>
    <row r="9" spans="2:4">
      <c r="B9" t="s">
        <v>90</v>
      </c>
      <c r="C9" s="73">
        <f>SUM(C6:C8)</f>
        <v>18840000</v>
      </c>
      <c r="D9" s="239"/>
    </row>
    <row r="12" spans="2:4">
      <c r="B12" s="25" t="s">
        <v>91</v>
      </c>
    </row>
    <row r="14" spans="2:4">
      <c r="B14" t="s">
        <v>92</v>
      </c>
      <c r="C14" s="73">
        <f>'Data for Q7 (d)'!C6</f>
        <v>500000</v>
      </c>
      <c r="D14" s="239"/>
    </row>
    <row r="15" spans="2:4">
      <c r="B15" t="s">
        <v>93</v>
      </c>
      <c r="C15" s="73">
        <f>15%*('Data for Q7 (d)'!C8*40%+'Data for Q7 (d)'!C9)</f>
        <v>1950000</v>
      </c>
      <c r="D15" s="239"/>
    </row>
    <row r="16" spans="2:4">
      <c r="B16" t="s">
        <v>94</v>
      </c>
      <c r="C16" s="75">
        <f>'Data for Q7 (d)'!C8*40%+'Data for Q7 (d)'!C9</f>
        <v>13000000</v>
      </c>
      <c r="D16" s="239"/>
    </row>
    <row r="17" spans="2:4">
      <c r="B17" t="s">
        <v>95</v>
      </c>
      <c r="C17" s="73">
        <f>SUM(C14:C16)</f>
        <v>15450000</v>
      </c>
      <c r="D17" s="239"/>
    </row>
    <row r="20" spans="2:4">
      <c r="B20" s="25" t="s">
        <v>96</v>
      </c>
    </row>
    <row r="22" spans="2:4">
      <c r="B22" t="s">
        <v>97</v>
      </c>
      <c r="C22" s="73">
        <f>C9-C17</f>
        <v>3390000</v>
      </c>
      <c r="D22" s="239"/>
    </row>
    <row r="23" spans="2:4">
      <c r="B23" t="s">
        <v>461</v>
      </c>
      <c r="C23" s="75">
        <f>'Solution for Q7 (c)'!K24</f>
        <v>-3100000</v>
      </c>
      <c r="D23" s="239"/>
    </row>
    <row r="24" spans="2:4">
      <c r="B24" t="s">
        <v>462</v>
      </c>
      <c r="C24" s="73">
        <f>SUM(C22:C23)</f>
        <v>290000</v>
      </c>
    </row>
    <row r="25" spans="2:4">
      <c r="B25" s="25" t="s">
        <v>98</v>
      </c>
    </row>
    <row r="26" spans="2:4">
      <c r="D26" s="239"/>
    </row>
    <row r="27" spans="2:4">
      <c r="B27" t="s">
        <v>99</v>
      </c>
      <c r="C27" s="73">
        <f>MAX(C24*30%,0)</f>
        <v>87000</v>
      </c>
      <c r="D27" s="239"/>
    </row>
    <row r="28" spans="2:4">
      <c r="D28" s="239"/>
    </row>
    <row r="29" spans="2:4">
      <c r="D29" s="239"/>
    </row>
    <row r="30" spans="2:4">
      <c r="D30" s="23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4DA2E-5D6E-42BE-A7C6-D609834B2FBE}">
  <dimension ref="A1:O67"/>
  <sheetViews>
    <sheetView topLeftCell="A25" zoomScale="85" zoomScaleNormal="85" workbookViewId="0">
      <selection activeCell="D44" sqref="D44"/>
    </sheetView>
  </sheetViews>
  <sheetFormatPr defaultColWidth="8.7109375" defaultRowHeight="15"/>
  <cols>
    <col min="2" max="2" width="23" customWidth="1"/>
    <col min="3" max="14" width="10.7109375" customWidth="1"/>
  </cols>
  <sheetData>
    <row r="1" spans="1:15" ht="15.75">
      <c r="A1" s="290" t="s">
        <v>486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ht="15.6" customHeight="1">
      <c r="A2" s="290" t="s">
        <v>485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1:15" ht="15.6" customHeight="1">
      <c r="A3" s="290" t="s">
        <v>196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5.6" customHeight="1">
      <c r="A4" s="28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5" ht="15.6" customHeight="1">
      <c r="A5" s="288" t="s">
        <v>484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15.6" customHeight="1">
      <c r="A7" s="4" t="s">
        <v>483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15.75">
      <c r="A8" s="4" t="s">
        <v>227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>
      <c r="A9" s="286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5">
      <c r="A10" s="286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286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4" spans="1:15">
      <c r="C14" s="287"/>
      <c r="E14" s="287"/>
    </row>
    <row r="15" spans="1:15">
      <c r="C15" s="27"/>
      <c r="E15" s="27"/>
    </row>
    <row r="16" spans="1:15">
      <c r="C16" s="27"/>
      <c r="E16" s="27"/>
    </row>
    <row r="17" spans="1:14">
      <c r="C17" s="27"/>
      <c r="E17" s="27"/>
    </row>
    <row r="18" spans="1:14">
      <c r="C18" s="27"/>
      <c r="E18" s="27"/>
    </row>
    <row r="19" spans="1:14">
      <c r="C19" s="27"/>
      <c r="E19" s="27"/>
    </row>
    <row r="20" spans="1:14">
      <c r="C20" s="27"/>
      <c r="E20" s="27"/>
    </row>
    <row r="21" spans="1:14" ht="15.75">
      <c r="A21" s="28"/>
      <c r="B21" s="285" t="s">
        <v>197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</row>
    <row r="22" spans="1:14" ht="15.75">
      <c r="A22" s="28"/>
      <c r="B22" s="246"/>
      <c r="C22" s="298" t="s">
        <v>198</v>
      </c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300"/>
    </row>
    <row r="23" spans="1:14" ht="15.75">
      <c r="A23" s="28"/>
      <c r="B23" s="284" t="s">
        <v>199</v>
      </c>
      <c r="C23" s="283" t="s">
        <v>200</v>
      </c>
      <c r="D23" s="283" t="s">
        <v>201</v>
      </c>
      <c r="E23" s="283" t="s">
        <v>202</v>
      </c>
      <c r="F23" s="283" t="s">
        <v>203</v>
      </c>
      <c r="G23" s="283" t="s">
        <v>204</v>
      </c>
      <c r="H23" s="283" t="s">
        <v>205</v>
      </c>
      <c r="I23" s="283" t="s">
        <v>206</v>
      </c>
      <c r="J23" s="283" t="s">
        <v>207</v>
      </c>
      <c r="K23" s="283" t="s">
        <v>208</v>
      </c>
      <c r="L23" s="283" t="s">
        <v>209</v>
      </c>
      <c r="M23" s="283" t="s">
        <v>210</v>
      </c>
      <c r="N23" s="283" t="s">
        <v>211</v>
      </c>
    </row>
    <row r="24" spans="1:14" ht="15.75">
      <c r="A24" s="28"/>
      <c r="B24" s="282" t="s">
        <v>200</v>
      </c>
      <c r="C24" s="281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</row>
    <row r="25" spans="1:14" ht="15.75">
      <c r="A25" s="28"/>
      <c r="B25" s="277" t="s">
        <v>201</v>
      </c>
      <c r="C25" s="276">
        <f>'Data for Q1'!C6/'Data for Q1'!C5</f>
        <v>1.96</v>
      </c>
      <c r="D25" s="278"/>
      <c r="E25" s="279"/>
      <c r="F25" s="279"/>
      <c r="G25" s="279"/>
      <c r="H25" s="279"/>
      <c r="I25" s="279"/>
      <c r="J25" s="279"/>
      <c r="K25" s="279"/>
      <c r="L25" s="279"/>
      <c r="M25" s="279"/>
      <c r="N25" s="279"/>
    </row>
    <row r="26" spans="1:14" ht="15.75">
      <c r="A26" s="28"/>
      <c r="B26" s="277" t="s">
        <v>202</v>
      </c>
      <c r="C26" s="276">
        <f>'Data for Q1'!C7/'Data for Q1'!C6</f>
        <v>1.2142857142857142</v>
      </c>
      <c r="D26" s="276">
        <f>'Data for Q1'!D7/'Data for Q1'!D6</f>
        <v>1.0545454545454545</v>
      </c>
      <c r="E26" s="278"/>
      <c r="F26" s="279"/>
      <c r="G26" s="279"/>
      <c r="H26" s="279"/>
      <c r="I26" s="279"/>
      <c r="J26" s="279"/>
      <c r="K26" s="279"/>
      <c r="L26" s="279"/>
      <c r="M26" s="279"/>
      <c r="N26" s="279"/>
    </row>
    <row r="27" spans="1:14" ht="15.75">
      <c r="B27" s="277" t="s">
        <v>203</v>
      </c>
      <c r="C27" s="274">
        <f>'Data for Q1'!C8/'Data for Q1'!C7</f>
        <v>1.0252100840336134</v>
      </c>
      <c r="D27" s="276">
        <f>'Data for Q1'!D8/'Data for Q1'!D7</f>
        <v>1</v>
      </c>
      <c r="E27" s="276">
        <f>'Data for Q1'!E8/'Data for Q1'!E7</f>
        <v>1.8235294117647058</v>
      </c>
      <c r="F27" s="278"/>
      <c r="G27" s="279"/>
      <c r="H27" s="279"/>
      <c r="I27" s="279"/>
      <c r="J27" s="279"/>
      <c r="K27" s="279"/>
      <c r="L27" s="279"/>
      <c r="M27" s="279"/>
      <c r="N27" s="279"/>
    </row>
    <row r="28" spans="1:14" ht="15.75">
      <c r="B28" s="277" t="s">
        <v>204</v>
      </c>
      <c r="C28" s="275">
        <f>'Data for Q1'!C9/'Data for Q1'!C8</f>
        <v>1.0327868852459017</v>
      </c>
      <c r="D28" s="274">
        <f>'Data for Q1'!D9/'Data for Q1'!D8</f>
        <v>1.3448275862068966</v>
      </c>
      <c r="E28" s="276">
        <f>'Data for Q1'!E9/'Data for Q1'!E8</f>
        <v>1.2258064516129032</v>
      </c>
      <c r="F28" s="276">
        <f>'Data for Q1'!F9/'Data for Q1'!F8</f>
        <v>1.7115384615384615</v>
      </c>
      <c r="G28" s="278"/>
      <c r="H28" s="279"/>
      <c r="I28" s="279"/>
      <c r="J28" s="279"/>
      <c r="K28" s="279"/>
      <c r="L28" s="279"/>
      <c r="M28" s="279"/>
      <c r="N28" s="279"/>
    </row>
    <row r="29" spans="1:14" ht="15.75">
      <c r="B29" s="277" t="s">
        <v>205</v>
      </c>
      <c r="C29" s="276">
        <f>'Data for Q1'!C10/'Data for Q1'!C9</f>
        <v>1</v>
      </c>
      <c r="D29" s="275">
        <f>'Data for Q1'!D10/'Data for Q1'!D9</f>
        <v>1.1153846153846154</v>
      </c>
      <c r="E29" s="274">
        <f>'Data for Q1'!E10/'Data for Q1'!E9</f>
        <v>1.0438596491228069</v>
      </c>
      <c r="F29" s="276">
        <f>'Data for Q1'!F10/'Data for Q1'!F9</f>
        <v>1.303370786516854</v>
      </c>
      <c r="G29" s="276">
        <f>'Data for Q1'!G10/'Data for Q1'!G9</f>
        <v>1</v>
      </c>
      <c r="H29" s="278"/>
      <c r="I29" s="279"/>
      <c r="J29" s="279"/>
      <c r="K29" s="279"/>
      <c r="L29" s="279"/>
      <c r="M29" s="279"/>
      <c r="N29" s="279"/>
    </row>
    <row r="30" spans="1:14" ht="15.75">
      <c r="B30" s="277" t="s">
        <v>206</v>
      </c>
      <c r="C30" s="276"/>
      <c r="D30" s="276">
        <f>'Data for Q1'!D11/'Data for Q1'!D10</f>
        <v>1</v>
      </c>
      <c r="E30" s="275">
        <f>'Data for Q1'!E11/'Data for Q1'!E10</f>
        <v>1.0756302521008403</v>
      </c>
      <c r="F30" s="274">
        <f>'Data for Q1'!F11/'Data for Q1'!F10</f>
        <v>1.0431034482758621</v>
      </c>
      <c r="G30" s="276">
        <f>'Data for Q1'!G11/'Data for Q1'!G10</f>
        <v>1.0188679245283019</v>
      </c>
      <c r="H30" s="276">
        <f>'Data for Q1'!H11/'Data for Q1'!H10</f>
        <v>1.3636363636363635</v>
      </c>
      <c r="I30" s="278"/>
      <c r="J30" s="279"/>
      <c r="K30" s="279"/>
      <c r="L30" s="279"/>
      <c r="M30" s="279"/>
      <c r="N30" s="279"/>
    </row>
    <row r="31" spans="1:14" ht="15.75">
      <c r="B31" s="277" t="s">
        <v>207</v>
      </c>
      <c r="C31" s="276"/>
      <c r="D31" s="276"/>
      <c r="E31" s="276">
        <f>'Data for Q1'!E12/'Data for Q1'!E11</f>
        <v>1</v>
      </c>
      <c r="F31" s="275">
        <f>'Data for Q1'!F12/'Data for Q1'!F11</f>
        <v>1.0330578512396693</v>
      </c>
      <c r="G31" s="274">
        <f>'Data for Q1'!G12/'Data for Q1'!G11</f>
        <v>1.2037037037037037</v>
      </c>
      <c r="H31" s="276">
        <f>'Data for Q1'!H12/'Data for Q1'!H11</f>
        <v>1.0933333333333333</v>
      </c>
      <c r="I31" s="276">
        <f>'Data for Q1'!I12/'Data for Q1'!I11</f>
        <v>1.4</v>
      </c>
      <c r="J31" s="278"/>
      <c r="K31" s="279"/>
      <c r="L31" s="279"/>
      <c r="M31" s="279"/>
      <c r="N31" s="279"/>
    </row>
    <row r="32" spans="1:14" ht="15.75">
      <c r="B32" s="277" t="s">
        <v>208</v>
      </c>
      <c r="C32" s="276"/>
      <c r="D32" s="276"/>
      <c r="E32" s="276"/>
      <c r="F32" s="276">
        <f>'Data for Q1'!F13/'Data for Q1'!F12</f>
        <v>1</v>
      </c>
      <c r="G32" s="275">
        <f>'Data for Q1'!G13/'Data for Q1'!G12</f>
        <v>1.1384615384615384</v>
      </c>
      <c r="H32" s="274">
        <f>'Data for Q1'!H13/'Data for Q1'!H12</f>
        <v>1.0731707317073171</v>
      </c>
      <c r="I32" s="276">
        <f>'Data for Q1'!I13/'Data for Q1'!I12</f>
        <v>1.0476190476190477</v>
      </c>
      <c r="J32" s="276">
        <f>'Data for Q1'!J13/'Data for Q1'!J12</f>
        <v>1.403225806451613</v>
      </c>
      <c r="K32" s="278"/>
      <c r="L32" s="279"/>
      <c r="M32" s="279"/>
      <c r="N32" s="279"/>
    </row>
    <row r="33" spans="2:14" ht="15.75">
      <c r="B33" s="277" t="s">
        <v>209</v>
      </c>
      <c r="C33" s="276"/>
      <c r="D33" s="276"/>
      <c r="E33" s="276"/>
      <c r="F33" s="276"/>
      <c r="G33" s="276">
        <f>'Data for Q1'!G14/'Data for Q1'!G13</f>
        <v>1</v>
      </c>
      <c r="H33" s="275">
        <f>'Data for Q1'!H14/'Data for Q1'!H13</f>
        <v>1.0909090909090908</v>
      </c>
      <c r="I33" s="274">
        <f>'Data for Q1'!I14/'Data for Q1'!I13</f>
        <v>1.0795454545454546</v>
      </c>
      <c r="J33" s="276">
        <f>'Data for Q1'!J14/'Data for Q1'!J13</f>
        <v>1.1379310344827587</v>
      </c>
      <c r="K33" s="276">
        <f>'Data for Q1'!K14/'Data for Q1'!K13</f>
        <v>1.2413793103448276</v>
      </c>
      <c r="L33" s="278"/>
      <c r="M33" s="279"/>
      <c r="N33" s="279"/>
    </row>
    <row r="34" spans="2:14" ht="15.75">
      <c r="B34" s="277" t="s">
        <v>210</v>
      </c>
      <c r="C34" s="276"/>
      <c r="D34" s="276"/>
      <c r="E34" s="276"/>
      <c r="F34" s="276"/>
      <c r="G34" s="276"/>
      <c r="H34" s="276">
        <f>'Data for Q1'!H15/'Data for Q1'!H14</f>
        <v>1</v>
      </c>
      <c r="I34" s="275">
        <f>'Data for Q1'!I15/'Data for Q1'!I14</f>
        <v>1</v>
      </c>
      <c r="J34" s="274">
        <f>'Data for Q1'!J15/'Data for Q1'!J14</f>
        <v>1.0707070707070707</v>
      </c>
      <c r="K34" s="276">
        <f>'Data for Q1'!K15/'Data for Q1'!K14</f>
        <v>1.2777777777777777</v>
      </c>
      <c r="L34" s="276">
        <f>'Data for Q1'!L15/'Data for Q1'!L14</f>
        <v>1.323076923076923</v>
      </c>
      <c r="M34" s="278"/>
      <c r="N34" s="279"/>
    </row>
    <row r="35" spans="2:14" ht="15.75">
      <c r="B35" s="277" t="s">
        <v>211</v>
      </c>
      <c r="C35" s="276"/>
      <c r="D35" s="276"/>
      <c r="E35" s="276"/>
      <c r="F35" s="276"/>
      <c r="G35" s="276"/>
      <c r="H35" s="276"/>
      <c r="I35" s="276">
        <f>'Data for Q1'!I16/'Data for Q1'!I15</f>
        <v>1</v>
      </c>
      <c r="J35" s="275">
        <f>'Data for Q1'!J16/'Data for Q1'!J15</f>
        <v>1.0377358490566038</v>
      </c>
      <c r="K35" s="274">
        <f>'Data for Q1'!K16/'Data for Q1'!K15</f>
        <v>1.2282608695652173</v>
      </c>
      <c r="L35" s="276">
        <f>'Data for Q1'!L16/'Data for Q1'!L15</f>
        <v>1.2093023255813953</v>
      </c>
      <c r="M35" s="276">
        <f>'Data for Q1'!M16/'Data for Q1'!M15</f>
        <v>1.0204081632653061</v>
      </c>
      <c r="N35" s="278"/>
    </row>
    <row r="36" spans="2:14" ht="15.75">
      <c r="B36" s="277" t="s">
        <v>212</v>
      </c>
      <c r="C36" s="276"/>
      <c r="D36" s="276"/>
      <c r="E36" s="276"/>
      <c r="F36" s="276"/>
      <c r="G36" s="276"/>
      <c r="H36" s="276"/>
      <c r="I36" s="276"/>
      <c r="J36" s="276">
        <f>'Data for Q1'!J17/'Data for Q1'!J16</f>
        <v>1</v>
      </c>
      <c r="K36" s="275">
        <f>'Data for Q1'!K17/'Data for Q1'!K16</f>
        <v>1.0176991150442478</v>
      </c>
      <c r="L36" s="274">
        <f>'Data for Q1'!L17/'Data for Q1'!L16</f>
        <v>1.2307692307692308</v>
      </c>
      <c r="M36" s="276">
        <f>'Data for Q1'!M17/'Data for Q1'!M16</f>
        <v>1.42</v>
      </c>
      <c r="N36" s="276">
        <f>'Data for Q1'!N17/'Data for Q1'!N16</f>
        <v>1.52</v>
      </c>
    </row>
    <row r="37" spans="2:14" ht="15.75">
      <c r="B37" s="277" t="s">
        <v>213</v>
      </c>
      <c r="C37" s="276"/>
      <c r="D37" s="276"/>
      <c r="E37" s="276"/>
      <c r="F37" s="276"/>
      <c r="G37" s="276"/>
      <c r="H37" s="276"/>
      <c r="I37" s="276"/>
      <c r="J37" s="276"/>
      <c r="K37" s="276">
        <f>'Data for Q1'!K18/'Data for Q1'!K17</f>
        <v>1</v>
      </c>
      <c r="L37" s="275">
        <f>'Data for Q1'!L18/'Data for Q1'!L17</f>
        <v>1.0078125</v>
      </c>
      <c r="M37" s="274">
        <f>'Data for Q1'!M18/'Data for Q1'!M17</f>
        <v>1</v>
      </c>
      <c r="N37" s="276">
        <f>'Data for Q1'!N18/'Data for Q1'!N17</f>
        <v>1.2105263157894737</v>
      </c>
    </row>
    <row r="38" spans="2:14" ht="15.75">
      <c r="B38" s="277" t="s">
        <v>214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>
        <f>'Data for Q1'!L19/'Data for Q1'!L18</f>
        <v>1</v>
      </c>
      <c r="M38" s="275">
        <f>'Data for Q1'!M19/'Data for Q1'!M18</f>
        <v>1.1126760563380282</v>
      </c>
      <c r="N38" s="274">
        <f>'Data for Q1'!N19/'Data for Q1'!N18</f>
        <v>1.2282608695652173</v>
      </c>
    </row>
    <row r="39" spans="2:14" ht="15.75">
      <c r="B39" s="273" t="s">
        <v>215</v>
      </c>
      <c r="C39" s="272"/>
      <c r="D39" s="272"/>
      <c r="E39" s="272"/>
      <c r="F39" s="272"/>
      <c r="G39" s="272"/>
      <c r="H39" s="272"/>
      <c r="I39" s="272"/>
      <c r="J39" s="272"/>
      <c r="K39" s="272"/>
      <c r="L39" s="272"/>
      <c r="M39" s="272">
        <f>'Data for Q1'!M20/'Data for Q1'!M19</f>
        <v>1</v>
      </c>
      <c r="N39" s="271">
        <f>'Data for Q1'!N20/'Data for Q1'!N19</f>
        <v>1.0176991150442478</v>
      </c>
    </row>
    <row r="40" spans="2:14" ht="15.75"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</row>
    <row r="41" spans="2:14" ht="15.75"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</row>
    <row r="42" spans="2:14" ht="15.75">
      <c r="B42" s="270" t="s">
        <v>482</v>
      </c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</row>
    <row r="43" spans="2:14" ht="15.75"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</row>
    <row r="44" spans="2:14" ht="15.75">
      <c r="B44" s="256" t="s">
        <v>476</v>
      </c>
      <c r="C44" s="269" t="s">
        <v>481</v>
      </c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</row>
    <row r="45" spans="2:14" ht="15.75">
      <c r="B45" s="268">
        <v>3</v>
      </c>
      <c r="C45" s="267">
        <f>AVERAGE(C27,D28,E29,F30,G31,H32,I33,J34,K35,L36,M37,N38)</f>
        <v>1.1309515581835325</v>
      </c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</row>
    <row r="46" spans="2:14" ht="15.75">
      <c r="B46" s="266">
        <v>4</v>
      </c>
      <c r="C46" s="265">
        <f>AVERAGE(C28,D29,E30,F31,G32,H33,I34,J35,K36,L37,M38,N39)</f>
        <v>1.0566544057353986</v>
      </c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</row>
    <row r="47" spans="2:14" ht="15.7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</row>
    <row r="48" spans="2:14" ht="15.75"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</row>
    <row r="49" spans="2:14" ht="15.75">
      <c r="B49" s="264" t="s">
        <v>480</v>
      </c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</row>
    <row r="50" spans="2:14" ht="15.75"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</row>
    <row r="51" spans="2:14" ht="31.5">
      <c r="B51" s="263" t="s">
        <v>476</v>
      </c>
      <c r="C51" s="259" t="s">
        <v>474</v>
      </c>
      <c r="D51" s="246"/>
      <c r="E51" s="262" t="s">
        <v>471</v>
      </c>
      <c r="F51" s="246"/>
      <c r="G51" s="246"/>
      <c r="H51" s="246"/>
      <c r="I51" s="246"/>
      <c r="J51" s="246"/>
      <c r="K51" s="246"/>
      <c r="L51" s="246"/>
      <c r="M51" s="246"/>
      <c r="N51" s="246"/>
    </row>
    <row r="52" spans="2:14" ht="15.75">
      <c r="B52" s="256">
        <v>3</v>
      </c>
      <c r="C52" s="254">
        <f>C53/C45</f>
        <v>0.83680261472511142</v>
      </c>
      <c r="D52" s="246"/>
      <c r="E52" s="261" t="s">
        <v>479</v>
      </c>
      <c r="F52" s="246"/>
      <c r="G52" s="246"/>
      <c r="H52" s="246"/>
      <c r="I52" s="246"/>
      <c r="J52" s="246"/>
      <c r="K52" s="246"/>
      <c r="L52" s="246"/>
      <c r="M52" s="246"/>
      <c r="N52" s="246"/>
    </row>
    <row r="53" spans="2:14" ht="15.75">
      <c r="B53" s="256">
        <v>4</v>
      </c>
      <c r="C53" s="254">
        <f>C54/C46</f>
        <v>0.94638322101541905</v>
      </c>
      <c r="D53" s="246"/>
      <c r="E53" s="261" t="s">
        <v>478</v>
      </c>
      <c r="F53" s="246"/>
      <c r="G53" s="246"/>
      <c r="H53" s="246"/>
      <c r="I53" s="246"/>
      <c r="J53" s="246"/>
      <c r="K53" s="246"/>
      <c r="L53" s="246"/>
      <c r="M53" s="246"/>
      <c r="N53" s="246"/>
    </row>
    <row r="54" spans="2:14" ht="15.75">
      <c r="B54" s="256">
        <v>5</v>
      </c>
      <c r="C54" s="255">
        <v>1</v>
      </c>
      <c r="D54" s="246"/>
      <c r="E54" s="261" t="s">
        <v>470</v>
      </c>
      <c r="F54" s="246"/>
      <c r="G54" s="246"/>
      <c r="H54" s="246"/>
      <c r="I54" s="246"/>
      <c r="J54" s="246"/>
      <c r="K54" s="246"/>
      <c r="L54" s="246"/>
      <c r="M54" s="246"/>
      <c r="N54" s="246"/>
    </row>
    <row r="55" spans="2:14" ht="15.75"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</row>
    <row r="56" spans="2:14" ht="15.75"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</row>
    <row r="57" spans="2:14" ht="15.75"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</row>
    <row r="58" spans="2:14" ht="15.75">
      <c r="B58" s="251" t="s">
        <v>477</v>
      </c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</row>
    <row r="59" spans="2:14" ht="15.75"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</row>
    <row r="60" spans="2:14" ht="31.5">
      <c r="B60" s="260" t="s">
        <v>198</v>
      </c>
      <c r="C60" s="260" t="s">
        <v>476</v>
      </c>
      <c r="D60" s="259" t="s">
        <v>475</v>
      </c>
      <c r="E60" s="259" t="s">
        <v>474</v>
      </c>
      <c r="F60" s="259" t="s">
        <v>473</v>
      </c>
      <c r="G60" s="259" t="s">
        <v>472</v>
      </c>
      <c r="H60" s="246"/>
      <c r="I60" s="258" t="s">
        <v>471</v>
      </c>
      <c r="J60" s="246"/>
      <c r="K60" s="246"/>
      <c r="L60" s="246"/>
      <c r="M60" s="246"/>
      <c r="N60" s="246"/>
    </row>
    <row r="61" spans="2:14" ht="15.75">
      <c r="B61" s="256" t="s">
        <v>212</v>
      </c>
      <c r="C61" s="255">
        <v>5</v>
      </c>
      <c r="D61" s="253" cm="1">
        <f t="array" ref="D61:D65">TRANSPOSE('Data for Q1'!C30:G30)</f>
        <v>492</v>
      </c>
      <c r="E61" s="255">
        <v>1</v>
      </c>
      <c r="F61" s="253">
        <f>D61/E61</f>
        <v>492</v>
      </c>
      <c r="G61" s="257">
        <f>F61-D61</f>
        <v>0</v>
      </c>
      <c r="H61" s="246"/>
      <c r="I61" s="251" t="s">
        <v>470</v>
      </c>
      <c r="J61" s="251"/>
      <c r="K61" s="251"/>
      <c r="L61" s="251"/>
      <c r="M61" s="251"/>
      <c r="N61" s="251"/>
    </row>
    <row r="62" spans="2:14" ht="15.75">
      <c r="B62" s="256" t="s">
        <v>213</v>
      </c>
      <c r="C62" s="255">
        <v>4</v>
      </c>
      <c r="D62" s="253">
        <v>398</v>
      </c>
      <c r="E62" s="254">
        <f>C53</f>
        <v>0.94638322101541905</v>
      </c>
      <c r="F62" s="253">
        <f>D62/E62</f>
        <v>420.54845348268861</v>
      </c>
      <c r="G62" s="252">
        <f>F62-D62</f>
        <v>22.548453482688615</v>
      </c>
      <c r="H62" s="246"/>
      <c r="I62" s="251" t="s">
        <v>469</v>
      </c>
      <c r="J62" s="251"/>
      <c r="K62" s="251"/>
      <c r="L62" s="251"/>
      <c r="M62" s="251"/>
      <c r="N62" s="251"/>
    </row>
    <row r="63" spans="2:14" ht="15.75">
      <c r="B63" s="256" t="s">
        <v>214</v>
      </c>
      <c r="C63" s="255">
        <v>3</v>
      </c>
      <c r="D63" s="253">
        <v>292</v>
      </c>
      <c r="E63" s="254">
        <f>C52</f>
        <v>0.83680261472511142</v>
      </c>
      <c r="F63" s="253">
        <f>D63/E63</f>
        <v>348.94728441535955</v>
      </c>
      <c r="G63" s="252">
        <f>F63-D63</f>
        <v>56.947284415359547</v>
      </c>
      <c r="H63" s="246"/>
      <c r="I63" s="251" t="s">
        <v>468</v>
      </c>
      <c r="J63" s="251"/>
      <c r="K63" s="251"/>
      <c r="L63" s="251"/>
      <c r="M63" s="251"/>
      <c r="N63" s="251"/>
    </row>
    <row r="64" spans="2:14" ht="15.75">
      <c r="B64" s="256" t="s">
        <v>215</v>
      </c>
      <c r="C64" s="255">
        <v>2</v>
      </c>
      <c r="D64" s="253">
        <v>219</v>
      </c>
      <c r="E64" s="254">
        <f>D64/F64</f>
        <v>0.4850498338870432</v>
      </c>
      <c r="F64" s="253">
        <f>'Data for Q1'!F34*'Data for Q1'!F35/1000*80%</f>
        <v>451.5</v>
      </c>
      <c r="G64" s="252">
        <f>F64-D64</f>
        <v>232.5</v>
      </c>
      <c r="H64" s="246"/>
      <c r="I64" s="251" t="s">
        <v>467</v>
      </c>
      <c r="J64" s="251"/>
      <c r="K64" s="251"/>
      <c r="L64" s="251"/>
      <c r="M64" s="251"/>
      <c r="N64" s="251"/>
    </row>
    <row r="65" spans="2:14" ht="15.75">
      <c r="B65" s="256" t="s">
        <v>217</v>
      </c>
      <c r="C65" s="255">
        <v>1</v>
      </c>
      <c r="D65" s="253">
        <v>120</v>
      </c>
      <c r="E65" s="254">
        <f>D65/F65</f>
        <v>0.24793388429752067</v>
      </c>
      <c r="F65" s="253">
        <f>'Data for Q1'!G34*'Data for Q1'!G35/1000*80%</f>
        <v>484</v>
      </c>
      <c r="G65" s="252">
        <f>F65-D65</f>
        <v>364</v>
      </c>
      <c r="H65" s="246"/>
      <c r="I65" s="251" t="s">
        <v>467</v>
      </c>
      <c r="J65" s="251"/>
      <c r="K65" s="251"/>
      <c r="L65" s="251"/>
      <c r="M65" s="251"/>
      <c r="N65" s="251"/>
    </row>
    <row r="66" spans="2:14" ht="16.5" thickBot="1">
      <c r="B66" s="246"/>
      <c r="C66" s="246"/>
      <c r="D66" s="246"/>
      <c r="E66" s="246"/>
      <c r="F66" s="246"/>
      <c r="G66" s="246" t="s">
        <v>466</v>
      </c>
      <c r="H66" s="246"/>
      <c r="I66" s="246"/>
      <c r="J66" s="246"/>
      <c r="K66" s="246"/>
      <c r="L66" s="246"/>
      <c r="M66" s="246"/>
      <c r="N66" s="246"/>
    </row>
    <row r="67" spans="2:14" ht="16.5" thickBot="1">
      <c r="B67" s="250" t="s">
        <v>465</v>
      </c>
      <c r="C67" s="249"/>
      <c r="D67" s="248"/>
      <c r="E67" s="247">
        <f>SUM(G61:G65)*1000</f>
        <v>675995.73789804825</v>
      </c>
      <c r="F67" s="246"/>
      <c r="G67" s="246"/>
      <c r="H67" s="246"/>
      <c r="I67" s="246"/>
      <c r="J67" s="246"/>
      <c r="K67" s="246"/>
      <c r="L67" s="246"/>
      <c r="M67" s="246"/>
      <c r="N67" s="246"/>
    </row>
  </sheetData>
  <mergeCells count="1">
    <mergeCell ref="C22:N22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3328B-4E4F-4A0D-8371-87E180B73400}">
  <dimension ref="A1:L13"/>
  <sheetViews>
    <sheetView zoomScale="85" zoomScaleNormal="85" workbookViewId="0">
      <selection activeCell="D11" sqref="D11"/>
    </sheetView>
  </sheetViews>
  <sheetFormatPr defaultColWidth="8.7109375" defaultRowHeight="15"/>
  <cols>
    <col min="3" max="3" width="25.7109375" customWidth="1"/>
    <col min="4" max="5" width="14.28515625" customWidth="1"/>
    <col min="6" max="6" width="16.28515625" customWidth="1"/>
  </cols>
  <sheetData>
    <row r="1" spans="1:12" ht="22.5">
      <c r="A1" s="2" t="s">
        <v>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6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6" customHeight="1">
      <c r="A3" s="5" t="s">
        <v>166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5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5" t="s">
        <v>40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5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10" t="s">
        <v>14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10" t="s">
        <v>15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10" t="s">
        <v>167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5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4" t="s">
        <v>168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.75">
      <c r="A13" s="4" t="s">
        <v>4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7A72-ACDC-437D-B84A-FD3414744C88}">
  <dimension ref="B2:L30"/>
  <sheetViews>
    <sheetView topLeftCell="A9" zoomScale="85" zoomScaleNormal="85" workbookViewId="0">
      <selection activeCell="H11" sqref="H11"/>
    </sheetView>
  </sheetViews>
  <sheetFormatPr defaultColWidth="8.7109375" defaultRowHeight="15"/>
  <cols>
    <col min="2" max="2" width="12.42578125" style="8" customWidth="1"/>
    <col min="3" max="3" width="13.5703125" style="8" customWidth="1"/>
    <col min="4" max="6" width="12.42578125" style="8" customWidth="1"/>
    <col min="7" max="7" width="16" style="8" customWidth="1"/>
    <col min="8" max="8" width="20.5703125" style="8" customWidth="1"/>
    <col min="9" max="9" width="21.42578125" style="8" bestFit="1" customWidth="1"/>
    <col min="10" max="10" width="50.7109375" style="8" customWidth="1"/>
    <col min="11" max="12" width="14.5703125" style="8" customWidth="1"/>
    <col min="13" max="13" width="14.5703125" customWidth="1"/>
    <col min="14" max="14" width="19" customWidth="1"/>
  </cols>
  <sheetData>
    <row r="2" spans="2:12">
      <c r="B2" s="7" t="s">
        <v>165</v>
      </c>
    </row>
    <row r="3" spans="2:12" ht="45">
      <c r="B3" s="11" t="s">
        <v>13</v>
      </c>
      <c r="C3" s="11" t="s">
        <v>231</v>
      </c>
      <c r="D3" s="11" t="s">
        <v>232</v>
      </c>
      <c r="E3" s="11" t="s">
        <v>233</v>
      </c>
      <c r="F3" s="11" t="s">
        <v>234</v>
      </c>
      <c r="G3" s="11" t="s">
        <v>235</v>
      </c>
      <c r="H3" s="11" t="s">
        <v>16</v>
      </c>
    </row>
    <row r="4" spans="2:12" ht="45">
      <c r="B4" s="12" t="s">
        <v>17</v>
      </c>
      <c r="C4" s="12" t="s">
        <v>18</v>
      </c>
      <c r="D4" s="12" t="s">
        <v>7</v>
      </c>
      <c r="E4" s="12" t="s">
        <v>19</v>
      </c>
      <c r="F4" s="12" t="s">
        <v>7</v>
      </c>
      <c r="G4" s="12" t="s">
        <v>20</v>
      </c>
      <c r="H4" s="12" t="s">
        <v>21</v>
      </c>
    </row>
    <row r="5" spans="2:12" ht="45">
      <c r="B5" s="12" t="s">
        <v>22</v>
      </c>
      <c r="C5" s="12" t="s">
        <v>23</v>
      </c>
      <c r="D5" s="12" t="s">
        <v>20</v>
      </c>
      <c r="E5" s="13" t="s">
        <v>24</v>
      </c>
      <c r="F5" s="14">
        <v>6000</v>
      </c>
      <c r="G5" s="12" t="s">
        <v>236</v>
      </c>
      <c r="H5" s="12" t="s">
        <v>21</v>
      </c>
    </row>
    <row r="6" spans="2:12">
      <c r="H6"/>
    </row>
    <row r="7" spans="2:12">
      <c r="H7"/>
    </row>
    <row r="8" spans="2:12">
      <c r="B8" s="7" t="s">
        <v>150</v>
      </c>
    </row>
    <row r="9" spans="2:12" ht="30" customHeight="1">
      <c r="B9" s="11" t="s">
        <v>25</v>
      </c>
      <c r="C9" s="11" t="s">
        <v>26</v>
      </c>
      <c r="D9" s="11" t="s">
        <v>27</v>
      </c>
      <c r="E9" s="11" t="s">
        <v>28</v>
      </c>
      <c r="F9" s="11" t="s">
        <v>237</v>
      </c>
      <c r="G9" s="11" t="s">
        <v>29</v>
      </c>
      <c r="H9" s="11" t="s">
        <v>30</v>
      </c>
      <c r="I9" s="11" t="s">
        <v>31</v>
      </c>
      <c r="J9" s="11" t="s">
        <v>32</v>
      </c>
      <c r="L9"/>
    </row>
    <row r="10" spans="2:12">
      <c r="B10" s="12" t="s">
        <v>33</v>
      </c>
      <c r="C10" s="12" t="s">
        <v>18</v>
      </c>
      <c r="D10" s="14">
        <v>91800</v>
      </c>
      <c r="E10" s="15">
        <v>31778</v>
      </c>
      <c r="F10" s="15">
        <v>45292</v>
      </c>
      <c r="G10" s="14">
        <v>1440</v>
      </c>
      <c r="H10" s="12" t="s">
        <v>34</v>
      </c>
      <c r="I10" s="12" t="s">
        <v>238</v>
      </c>
      <c r="J10" s="17" t="s">
        <v>240</v>
      </c>
      <c r="L10"/>
    </row>
    <row r="11" spans="2:12">
      <c r="B11" s="12" t="s">
        <v>35</v>
      </c>
      <c r="C11" s="12" t="s">
        <v>36</v>
      </c>
      <c r="D11" s="14">
        <v>57000</v>
      </c>
      <c r="E11" s="15">
        <v>32509</v>
      </c>
      <c r="F11" s="15">
        <v>45292</v>
      </c>
      <c r="G11" s="14">
        <v>900</v>
      </c>
      <c r="H11" s="12" t="s">
        <v>37</v>
      </c>
      <c r="I11" s="12" t="s">
        <v>239</v>
      </c>
      <c r="J11" s="17" t="s">
        <v>241</v>
      </c>
      <c r="L11"/>
    </row>
    <row r="12" spans="2:12">
      <c r="B12" s="18"/>
      <c r="C12" s="19"/>
      <c r="D12" s="18"/>
      <c r="E12" s="20"/>
      <c r="F12" s="20"/>
      <c r="G12" s="21"/>
      <c r="H12" s="18"/>
      <c r="I12" s="18"/>
      <c r="J12" s="22"/>
      <c r="K12" s="23"/>
    </row>
    <row r="13" spans="2:12">
      <c r="H13"/>
    </row>
    <row r="14" spans="2:12">
      <c r="G14" s="23"/>
      <c r="H14"/>
    </row>
    <row r="15" spans="2:12">
      <c r="B15" s="18"/>
      <c r="C15" s="301" t="s">
        <v>38</v>
      </c>
      <c r="D15" s="302"/>
      <c r="H15"/>
    </row>
    <row r="16" spans="2:12" ht="45">
      <c r="B16" s="12" t="s">
        <v>39</v>
      </c>
      <c r="C16" s="12" t="s">
        <v>242</v>
      </c>
      <c r="D16" s="12" t="s">
        <v>243</v>
      </c>
      <c r="H16"/>
    </row>
    <row r="17" spans="2:10">
      <c r="B17" s="12">
        <v>2018</v>
      </c>
      <c r="C17" s="16">
        <v>485.2</v>
      </c>
      <c r="D17" s="16">
        <v>1335.83</v>
      </c>
      <c r="H17"/>
    </row>
    <row r="18" spans="2:10">
      <c r="B18" s="12">
        <v>2019</v>
      </c>
      <c r="C18" s="16">
        <v>496.36</v>
      </c>
      <c r="D18" s="16">
        <v>1362.3</v>
      </c>
      <c r="H18"/>
    </row>
    <row r="19" spans="2:10">
      <c r="B19" s="12">
        <v>2020</v>
      </c>
      <c r="C19" s="16">
        <v>505.79</v>
      </c>
      <c r="D19" s="16">
        <v>1387.66</v>
      </c>
      <c r="H19"/>
    </row>
    <row r="20" spans="2:10">
      <c r="B20" s="12">
        <v>2021</v>
      </c>
      <c r="C20" s="16">
        <v>510.85</v>
      </c>
      <c r="D20" s="16">
        <v>1413.66</v>
      </c>
      <c r="H20"/>
    </row>
    <row r="21" spans="2:10">
      <c r="B21" s="12">
        <v>2022</v>
      </c>
      <c r="C21" s="16">
        <v>524.64</v>
      </c>
      <c r="D21" s="16">
        <v>1464.83</v>
      </c>
      <c r="H21"/>
    </row>
    <row r="22" spans="2:10">
      <c r="B22" s="12">
        <v>2023</v>
      </c>
      <c r="C22" s="16">
        <v>558.74</v>
      </c>
      <c r="D22" s="16">
        <v>1538.67</v>
      </c>
    </row>
    <row r="23" spans="2:10">
      <c r="B23" s="12">
        <v>2024</v>
      </c>
      <c r="C23" s="16">
        <v>583.32000000000005</v>
      </c>
      <c r="D23" s="16">
        <v>1606.78</v>
      </c>
    </row>
    <row r="29" spans="2:10">
      <c r="J29" s="24"/>
    </row>
    <row r="30" spans="2:10">
      <c r="J30" s="24"/>
    </row>
  </sheetData>
  <mergeCells count="1">
    <mergeCell ref="C15:D1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715E9-8F63-422F-A62C-FAFFDB93D11A}">
  <dimension ref="D4:F29"/>
  <sheetViews>
    <sheetView topLeftCell="A12" zoomScale="85" zoomScaleNormal="85" workbookViewId="0">
      <selection activeCell="E36" sqref="E36"/>
    </sheetView>
  </sheetViews>
  <sheetFormatPr defaultColWidth="9.28515625" defaultRowHeight="15"/>
  <cols>
    <col min="1" max="3" width="9.28515625" style="112"/>
    <col min="4" max="4" width="24.28515625" style="112" bestFit="1" customWidth="1"/>
    <col min="5" max="5" width="14.28515625" style="112" bestFit="1" customWidth="1"/>
    <col min="6" max="16384" width="9.28515625" style="112"/>
  </cols>
  <sheetData>
    <row r="4" spans="4:6">
      <c r="D4" s="118" t="s">
        <v>18</v>
      </c>
    </row>
    <row r="5" spans="4:6">
      <c r="D5" s="112" t="s">
        <v>292</v>
      </c>
      <c r="E5" s="116">
        <f>ROUND(0.9*'Data for Q2'!$D$10/52,2)</f>
        <v>1588.85</v>
      </c>
      <c r="F5" s="113" t="s">
        <v>291</v>
      </c>
    </row>
    <row r="6" spans="4:6">
      <c r="D6" s="112" t="s">
        <v>290</v>
      </c>
      <c r="E6" s="116">
        <f>ROUND('Data for Q2'!D10/12*0.6667,2)</f>
        <v>5100.26</v>
      </c>
      <c r="F6" s="113" t="s">
        <v>289</v>
      </c>
    </row>
    <row r="8" spans="4:6">
      <c r="D8" s="112" t="s">
        <v>288</v>
      </c>
      <c r="E8" s="114">
        <f>E5*26</f>
        <v>41310.1</v>
      </c>
      <c r="F8" s="113" t="s">
        <v>287</v>
      </c>
    </row>
    <row r="9" spans="4:6">
      <c r="D9" s="112" t="s">
        <v>286</v>
      </c>
      <c r="E9" s="116">
        <f>ROUND((52-26)/52*12*E6,2)</f>
        <v>30601.56</v>
      </c>
      <c r="F9" s="113" t="s">
        <v>285</v>
      </c>
    </row>
    <row r="10" spans="4:6">
      <c r="D10" s="115" t="s">
        <v>266</v>
      </c>
      <c r="E10" s="114">
        <f>E8+E9</f>
        <v>71911.66</v>
      </c>
      <c r="F10" s="113" t="s">
        <v>284</v>
      </c>
    </row>
    <row r="11" spans="4:6">
      <c r="F11" s="113" t="s">
        <v>283</v>
      </c>
    </row>
    <row r="12" spans="4:6">
      <c r="F12" s="113"/>
    </row>
    <row r="13" spans="4:6">
      <c r="D13" s="118" t="s">
        <v>36</v>
      </c>
    </row>
    <row r="14" spans="4:6">
      <c r="D14" s="112" t="s">
        <v>282</v>
      </c>
      <c r="E14" s="116">
        <f>'Data for Q2'!D11/12*0.6667</f>
        <v>3166.8249999999998</v>
      </c>
      <c r="F14" s="113" t="s">
        <v>281</v>
      </c>
    </row>
    <row r="15" spans="4:6">
      <c r="D15" s="112" t="s">
        <v>280</v>
      </c>
      <c r="E15" s="116">
        <f>MIN('Data for Q2'!G11*0.75+'Data for Q2'!C23,'Data for Q2'!D23)</f>
        <v>1258.3200000000002</v>
      </c>
      <c r="F15" s="113" t="s">
        <v>279</v>
      </c>
    </row>
    <row r="16" spans="4:6">
      <c r="E16" s="116"/>
      <c r="F16" s="113" t="s">
        <v>278</v>
      </c>
    </row>
    <row r="17" spans="4:6">
      <c r="D17" s="112" t="s">
        <v>277</v>
      </c>
      <c r="E17" s="117">
        <f>ROUND((65-DURATION('Data for Q2'!E11,'Data for Q2'!F11,0,0,1))*12,0)</f>
        <v>360</v>
      </c>
    </row>
    <row r="18" spans="4:6">
      <c r="E18" s="117"/>
    </row>
    <row r="19" spans="4:6">
      <c r="D19" s="112" t="s">
        <v>276</v>
      </c>
      <c r="E19" s="116">
        <v>0</v>
      </c>
      <c r="F19" s="113" t="s">
        <v>275</v>
      </c>
    </row>
    <row r="20" spans="4:6">
      <c r="F20" s="113" t="s">
        <v>274</v>
      </c>
    </row>
    <row r="21" spans="4:6">
      <c r="F21" s="113"/>
    </row>
    <row r="22" spans="4:6">
      <c r="D22" s="112" t="s">
        <v>273</v>
      </c>
      <c r="E22" s="116">
        <f>(E17-27*12/52)*E14</f>
        <v>1120325.2442307691</v>
      </c>
      <c r="F22" s="113" t="s">
        <v>272</v>
      </c>
    </row>
    <row r="23" spans="4:6">
      <c r="E23" s="116"/>
      <c r="F23" s="113"/>
    </row>
    <row r="24" spans="4:6">
      <c r="D24" s="112" t="s">
        <v>271</v>
      </c>
      <c r="E24" s="116">
        <f>(E17-24)*E15</f>
        <v>422795.52000000008</v>
      </c>
      <c r="F24" s="113" t="s">
        <v>270</v>
      </c>
    </row>
    <row r="25" spans="4:6">
      <c r="E25" s="116"/>
      <c r="F25" s="113" t="s">
        <v>269</v>
      </c>
    </row>
    <row r="26" spans="4:6">
      <c r="E26" s="116"/>
      <c r="F26" s="113" t="s">
        <v>268</v>
      </c>
    </row>
    <row r="27" spans="4:6">
      <c r="F27" s="112" t="s">
        <v>267</v>
      </c>
    </row>
    <row r="29" spans="4:6">
      <c r="D29" s="115" t="s">
        <v>266</v>
      </c>
      <c r="E29" s="114">
        <f>E22-E24</f>
        <v>697529.72423076909</v>
      </c>
      <c r="F29" s="113" t="s">
        <v>265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E526B-D555-4D24-9E0E-B743E7923810}">
  <dimension ref="A1:L72"/>
  <sheetViews>
    <sheetView zoomScale="85" zoomScaleNormal="85" workbookViewId="0">
      <selection activeCell="D12" sqref="D12"/>
    </sheetView>
  </sheetViews>
  <sheetFormatPr defaultColWidth="8.7109375" defaultRowHeight="15"/>
  <cols>
    <col min="3" max="3" width="25.7109375" customWidth="1"/>
    <col min="4" max="5" width="14.28515625" customWidth="1"/>
    <col min="6" max="6" width="16.28515625" customWidth="1"/>
  </cols>
  <sheetData>
    <row r="1" spans="1:12" ht="22.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5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244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 t="s">
        <v>245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5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5" t="s">
        <v>246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5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5" t="s">
        <v>151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5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10" t="s">
        <v>41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10" t="s">
        <v>152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10" t="s">
        <v>153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.75">
      <c r="A13" s="5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5.75">
      <c r="A14" s="4" t="s">
        <v>169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15.75">
      <c r="A15" s="4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15.75">
      <c r="A16" s="6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5.75">
      <c r="A17" s="4" t="s">
        <v>4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28" spans="1:12" ht="15.75">
      <c r="A28" s="6" t="s">
        <v>46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5.75">
      <c r="A29" s="4" t="s">
        <v>4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40" spans="1:12" ht="15.75">
      <c r="A40" s="5" t="s">
        <v>170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5.75">
      <c r="A41" s="5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5.75">
      <c r="A42" s="10" t="s">
        <v>43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5.75">
      <c r="A43" s="10" t="s">
        <v>44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5.75">
      <c r="A44" s="5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5.75">
      <c r="A45" s="4" t="s">
        <v>171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5.75">
      <c r="A46" s="4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5.75">
      <c r="A47" s="6" t="s">
        <v>45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5.75">
      <c r="A48" s="4" t="s">
        <v>4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  <row r="59" spans="1:12" ht="15.75">
      <c r="A59" s="6" t="s">
        <v>46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</row>
    <row r="60" spans="1:12" ht="15.75">
      <c r="A60" s="4" t="s">
        <v>4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</row>
    <row r="71" spans="1:12" ht="15.75">
      <c r="A71" s="6" t="s">
        <v>47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</row>
    <row r="72" spans="1:12" ht="15.75">
      <c r="A72" s="4" t="s">
        <v>4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0E6A8-6F50-42D2-82D4-50000859C53B}">
  <dimension ref="B4:O102"/>
  <sheetViews>
    <sheetView topLeftCell="D1" zoomScale="85" zoomScaleNormal="85" workbookViewId="0">
      <selection activeCell="K15" sqref="K15"/>
    </sheetView>
  </sheetViews>
  <sheetFormatPr defaultColWidth="8.7109375" defaultRowHeight="15"/>
  <cols>
    <col min="2" max="2" width="20.7109375" bestFit="1" customWidth="1"/>
    <col min="3" max="3" width="25.28515625" bestFit="1" customWidth="1"/>
    <col min="5" max="5" width="40.7109375" customWidth="1"/>
    <col min="6" max="6" width="6.28515625" bestFit="1" customWidth="1"/>
    <col min="7" max="7" width="9.7109375" customWidth="1"/>
    <col min="8" max="8" width="15" customWidth="1"/>
    <col min="10" max="10" width="22" customWidth="1"/>
    <col min="11" max="11" width="18.7109375" bestFit="1" customWidth="1"/>
    <col min="12" max="13" width="10" customWidth="1"/>
    <col min="14" max="14" width="8.7109375" customWidth="1"/>
    <col min="15" max="15" width="14.7109375" customWidth="1"/>
  </cols>
  <sheetData>
    <row r="4" spans="2:15" ht="15.75" thickBot="1">
      <c r="B4" s="25" t="s">
        <v>165</v>
      </c>
      <c r="E4" s="25" t="s">
        <v>254</v>
      </c>
      <c r="J4" s="25" t="s">
        <v>48</v>
      </c>
      <c r="N4" s="26" t="s">
        <v>5</v>
      </c>
      <c r="O4" s="25" t="s">
        <v>11</v>
      </c>
    </row>
    <row r="5" spans="2:15">
      <c r="B5" s="40" t="s">
        <v>247</v>
      </c>
      <c r="C5" s="41" t="s">
        <v>248</v>
      </c>
      <c r="E5" s="303" t="s">
        <v>252</v>
      </c>
      <c r="F5" s="305" t="s">
        <v>8</v>
      </c>
      <c r="G5" s="305" t="s">
        <v>49</v>
      </c>
      <c r="H5" s="305" t="s">
        <v>50</v>
      </c>
      <c r="N5" s="28">
        <v>18</v>
      </c>
      <c r="O5" s="29">
        <v>1.4999999999999999E-4</v>
      </c>
    </row>
    <row r="6" spans="2:15" ht="15.75" thickBot="1">
      <c r="B6" s="42" t="s">
        <v>251</v>
      </c>
      <c r="C6" s="43" t="s">
        <v>7</v>
      </c>
      <c r="E6" s="304"/>
      <c r="F6" s="306"/>
      <c r="G6" s="306"/>
      <c r="H6" s="306"/>
      <c r="N6" s="28">
        <v>19</v>
      </c>
      <c r="O6" s="29">
        <v>1.7000000000000001E-4</v>
      </c>
    </row>
    <row r="7" spans="2:15" ht="15.75" thickBot="1">
      <c r="B7" s="42" t="s">
        <v>250</v>
      </c>
      <c r="C7" s="43" t="s">
        <v>249</v>
      </c>
      <c r="E7" s="44" t="s">
        <v>52</v>
      </c>
      <c r="F7" s="45">
        <v>800</v>
      </c>
      <c r="G7" s="45">
        <v>42</v>
      </c>
      <c r="H7" s="45">
        <v>12</v>
      </c>
      <c r="J7" t="s">
        <v>51</v>
      </c>
      <c r="K7" s="27">
        <v>3000</v>
      </c>
      <c r="L7" s="27"/>
      <c r="N7" s="28">
        <v>20</v>
      </c>
      <c r="O7" s="29">
        <v>1.8000000000000001E-4</v>
      </c>
    </row>
    <row r="8" spans="2:15" ht="15.75" thickBot="1">
      <c r="B8" s="46" t="s">
        <v>54</v>
      </c>
      <c r="C8" s="47" t="s">
        <v>55</v>
      </c>
      <c r="E8" s="44" t="s">
        <v>56</v>
      </c>
      <c r="F8" s="45">
        <v>150</v>
      </c>
      <c r="G8" s="45">
        <v>58</v>
      </c>
      <c r="H8" s="45">
        <v>30</v>
      </c>
      <c r="J8" t="s">
        <v>53</v>
      </c>
      <c r="K8" s="30">
        <v>0.08</v>
      </c>
      <c r="L8" s="30"/>
      <c r="N8" s="28">
        <v>21</v>
      </c>
      <c r="O8" s="29">
        <v>1.9000000000000001E-4</v>
      </c>
    </row>
    <row r="9" spans="2:15" ht="15.75" thickBot="1">
      <c r="E9" s="44" t="s">
        <v>57</v>
      </c>
      <c r="F9" s="169">
        <v>200</v>
      </c>
      <c r="G9" s="169">
        <v>70</v>
      </c>
      <c r="H9" s="169" t="s">
        <v>58</v>
      </c>
      <c r="J9" t="s">
        <v>10</v>
      </c>
      <c r="K9" s="30">
        <v>0.1</v>
      </c>
      <c r="L9" s="30"/>
      <c r="N9" s="28">
        <v>22</v>
      </c>
      <c r="O9" s="29">
        <v>2.0000000000000001E-4</v>
      </c>
    </row>
    <row r="10" spans="2:15">
      <c r="J10" t="s">
        <v>59</v>
      </c>
      <c r="K10" s="30"/>
      <c r="L10" s="30"/>
      <c r="N10" s="28">
        <v>23</v>
      </c>
      <c r="O10" s="29">
        <v>2.2000000000000001E-4</v>
      </c>
    </row>
    <row r="11" spans="2:15">
      <c r="K11" s="30"/>
      <c r="L11" s="30"/>
      <c r="N11" s="28">
        <v>24</v>
      </c>
      <c r="O11" s="29">
        <v>2.3000000000000001E-4</v>
      </c>
    </row>
    <row r="12" spans="2:15">
      <c r="J12" t="s">
        <v>60</v>
      </c>
      <c r="K12" s="31"/>
      <c r="L12" s="31"/>
      <c r="N12" s="28">
        <v>25</v>
      </c>
      <c r="O12" s="29">
        <v>2.4000000000000001E-4</v>
      </c>
    </row>
    <row r="13" spans="2:15">
      <c r="J13" s="32" t="s">
        <v>61</v>
      </c>
      <c r="K13" s="9">
        <v>7.0000000000000007E-2</v>
      </c>
      <c r="L13" s="9"/>
      <c r="N13" s="28">
        <v>26</v>
      </c>
      <c r="O13" s="29">
        <v>2.5000000000000001E-4</v>
      </c>
    </row>
    <row r="14" spans="2:15">
      <c r="J14" s="32" t="s">
        <v>62</v>
      </c>
      <c r="K14" s="9">
        <v>0.06</v>
      </c>
      <c r="L14" s="9"/>
      <c r="N14" s="28">
        <v>27</v>
      </c>
      <c r="O14" s="29">
        <v>2.7E-4</v>
      </c>
    </row>
    <row r="15" spans="2:15">
      <c r="J15" s="32" t="s">
        <v>63</v>
      </c>
      <c r="K15" s="9">
        <v>0.05</v>
      </c>
      <c r="L15" s="9"/>
      <c r="N15" s="28">
        <v>28</v>
      </c>
      <c r="O15" s="29">
        <v>2.7E-4</v>
      </c>
    </row>
    <row r="16" spans="2:15">
      <c r="J16" s="32"/>
      <c r="K16" s="9"/>
      <c r="L16" s="9"/>
      <c r="N16" s="28">
        <v>29</v>
      </c>
      <c r="O16" s="29">
        <v>2.7999999999999998E-4</v>
      </c>
    </row>
    <row r="17" spans="10:15">
      <c r="J17" t="s">
        <v>64</v>
      </c>
      <c r="K17">
        <v>60</v>
      </c>
      <c r="N17" s="28">
        <v>30</v>
      </c>
      <c r="O17" s="29">
        <v>2.9999999999999997E-4</v>
      </c>
    </row>
    <row r="18" spans="10:15">
      <c r="J18" t="s">
        <v>9</v>
      </c>
      <c r="K18" s="9">
        <v>0.05</v>
      </c>
      <c r="L18" s="9"/>
      <c r="N18" s="28">
        <v>31</v>
      </c>
      <c r="O18" s="29">
        <v>3.1E-4</v>
      </c>
    </row>
    <row r="19" spans="10:15">
      <c r="J19" t="s">
        <v>11</v>
      </c>
      <c r="K19" s="9" t="s">
        <v>65</v>
      </c>
      <c r="L19" s="9"/>
      <c r="N19" s="28">
        <v>32</v>
      </c>
      <c r="O19" s="29">
        <v>3.4000000000000002E-4</v>
      </c>
    </row>
    <row r="20" spans="10:15">
      <c r="J20" t="s">
        <v>253</v>
      </c>
      <c r="K20" s="9"/>
      <c r="L20" s="9"/>
      <c r="N20" s="28">
        <v>33</v>
      </c>
      <c r="O20" s="29">
        <v>3.6000000000000002E-4</v>
      </c>
    </row>
    <row r="21" spans="10:15">
      <c r="K21" s="9"/>
      <c r="L21" s="9"/>
      <c r="N21" s="28">
        <v>34</v>
      </c>
      <c r="O21" s="29">
        <v>3.8999999999999999E-4</v>
      </c>
    </row>
    <row r="22" spans="10:15">
      <c r="J22" s="307" t="s">
        <v>66</v>
      </c>
      <c r="K22" s="308"/>
      <c r="L22" s="26"/>
      <c r="N22" s="28">
        <v>35</v>
      </c>
      <c r="O22" s="29">
        <v>4.2000000000000002E-4</v>
      </c>
    </row>
    <row r="23" spans="10:15">
      <c r="J23" s="33" t="s">
        <v>5</v>
      </c>
      <c r="K23" s="34" t="s">
        <v>67</v>
      </c>
      <c r="L23" s="35"/>
      <c r="N23" s="28">
        <v>36</v>
      </c>
      <c r="O23" s="29">
        <v>4.4999999999999999E-4</v>
      </c>
    </row>
    <row r="24" spans="10:15">
      <c r="J24" s="36" t="s">
        <v>12</v>
      </c>
      <c r="K24" s="37">
        <v>0.06</v>
      </c>
      <c r="L24" s="30"/>
      <c r="N24" s="28">
        <v>37</v>
      </c>
      <c r="O24" s="29">
        <v>4.8000000000000001E-4</v>
      </c>
    </row>
    <row r="25" spans="10:15">
      <c r="J25" s="36" t="s">
        <v>68</v>
      </c>
      <c r="K25" s="37">
        <v>0.03</v>
      </c>
      <c r="L25" s="30"/>
      <c r="N25" s="28">
        <v>38</v>
      </c>
      <c r="O25" s="29">
        <v>5.2999999999999998E-4</v>
      </c>
    </row>
    <row r="26" spans="10:15">
      <c r="J26" s="38" t="s">
        <v>69</v>
      </c>
      <c r="K26" s="39">
        <v>0</v>
      </c>
      <c r="L26" s="30"/>
      <c r="N26" s="28">
        <v>39</v>
      </c>
      <c r="O26" s="29">
        <v>5.6999999999999998E-4</v>
      </c>
    </row>
    <row r="27" spans="10:15">
      <c r="N27" s="28">
        <v>40</v>
      </c>
      <c r="O27" s="29">
        <v>6.0999999999999997E-4</v>
      </c>
    </row>
    <row r="28" spans="10:15">
      <c r="N28" s="28">
        <v>41</v>
      </c>
      <c r="O28" s="29">
        <v>6.4999999999999997E-4</v>
      </c>
    </row>
    <row r="29" spans="10:15">
      <c r="N29" s="28">
        <v>42</v>
      </c>
      <c r="O29" s="29">
        <v>6.8999999999999997E-4</v>
      </c>
    </row>
    <row r="30" spans="10:15">
      <c r="N30" s="28">
        <v>43</v>
      </c>
      <c r="O30" s="29">
        <v>7.5000000000000002E-4</v>
      </c>
    </row>
    <row r="31" spans="10:15">
      <c r="N31" s="28">
        <v>44</v>
      </c>
      <c r="O31" s="29">
        <v>8.0000000000000004E-4</v>
      </c>
    </row>
    <row r="32" spans="10:15">
      <c r="N32" s="28">
        <v>45</v>
      </c>
      <c r="O32" s="29">
        <v>8.5999999999999998E-4</v>
      </c>
    </row>
    <row r="33" spans="14:15">
      <c r="N33" s="28">
        <v>46</v>
      </c>
      <c r="O33" s="29">
        <v>9.2000000000000003E-4</v>
      </c>
    </row>
    <row r="34" spans="14:15">
      <c r="N34" s="28">
        <v>47</v>
      </c>
      <c r="O34" s="29">
        <v>1.01E-3</v>
      </c>
    </row>
    <row r="35" spans="14:15">
      <c r="N35" s="28">
        <v>48</v>
      </c>
      <c r="O35" s="29">
        <v>1.09E-3</v>
      </c>
    </row>
    <row r="36" spans="14:15">
      <c r="N36" s="28">
        <v>49</v>
      </c>
      <c r="O36" s="29">
        <v>1.1900000000000001E-3</v>
      </c>
    </row>
    <row r="37" spans="14:15">
      <c r="N37" s="28">
        <v>50</v>
      </c>
      <c r="O37" s="29">
        <v>1.2899999999999999E-3</v>
      </c>
    </row>
    <row r="38" spans="14:15">
      <c r="N38" s="28">
        <v>51</v>
      </c>
      <c r="O38" s="29">
        <v>1.41E-3</v>
      </c>
    </row>
    <row r="39" spans="14:15">
      <c r="N39" s="28">
        <v>52</v>
      </c>
      <c r="O39" s="29">
        <v>1.5299999999999999E-3</v>
      </c>
    </row>
    <row r="40" spans="14:15">
      <c r="N40" s="28">
        <v>53</v>
      </c>
      <c r="O40" s="29">
        <v>1.6800000000000001E-3</v>
      </c>
    </row>
    <row r="41" spans="14:15">
      <c r="N41" s="28">
        <v>54</v>
      </c>
      <c r="O41" s="29">
        <v>1.8600000000000001E-3</v>
      </c>
    </row>
    <row r="42" spans="14:15">
      <c r="N42" s="28">
        <v>55</v>
      </c>
      <c r="O42" s="29">
        <v>2.0699999999999998E-3</v>
      </c>
    </row>
    <row r="43" spans="14:15">
      <c r="N43" s="28">
        <v>56</v>
      </c>
      <c r="O43" s="29">
        <v>2.31E-3</v>
      </c>
    </row>
    <row r="44" spans="14:15">
      <c r="N44" s="28">
        <v>57</v>
      </c>
      <c r="O44" s="29">
        <v>2.5799999999999998E-3</v>
      </c>
    </row>
    <row r="45" spans="14:15">
      <c r="N45" s="28">
        <v>58</v>
      </c>
      <c r="O45" s="29">
        <v>2.8700000000000002E-3</v>
      </c>
    </row>
    <row r="46" spans="14:15">
      <c r="N46" s="28">
        <v>59</v>
      </c>
      <c r="O46" s="29">
        <v>3.1800000000000001E-3</v>
      </c>
    </row>
    <row r="47" spans="14:15">
      <c r="N47" s="28">
        <v>60</v>
      </c>
      <c r="O47" s="29">
        <v>3.5000000000000001E-3</v>
      </c>
    </row>
    <row r="48" spans="14:15">
      <c r="N48" s="28">
        <v>61</v>
      </c>
      <c r="O48" s="29">
        <v>3.8400000000000001E-3</v>
      </c>
    </row>
    <row r="49" spans="14:15">
      <c r="N49" s="28">
        <v>62</v>
      </c>
      <c r="O49" s="29">
        <v>4.2100000000000002E-3</v>
      </c>
    </row>
    <row r="50" spans="14:15">
      <c r="N50" s="28">
        <v>63</v>
      </c>
      <c r="O50" s="29">
        <v>4.64E-3</v>
      </c>
    </row>
    <row r="51" spans="14:15">
      <c r="N51" s="28">
        <v>64</v>
      </c>
      <c r="O51" s="29">
        <v>5.11E-3</v>
      </c>
    </row>
    <row r="52" spans="14:15">
      <c r="N52" s="28">
        <v>65</v>
      </c>
      <c r="O52" s="29">
        <v>5.62E-3</v>
      </c>
    </row>
    <row r="53" spans="14:15">
      <c r="N53" s="28">
        <v>66</v>
      </c>
      <c r="O53" s="29">
        <v>6.1999999999999998E-3</v>
      </c>
    </row>
    <row r="54" spans="14:15">
      <c r="N54" s="28">
        <v>67</v>
      </c>
      <c r="O54" s="29">
        <v>6.8599999999999998E-3</v>
      </c>
    </row>
    <row r="55" spans="14:15">
      <c r="N55" s="28">
        <v>68</v>
      </c>
      <c r="O55" s="29">
        <v>7.6099999999999996E-3</v>
      </c>
    </row>
    <row r="56" spans="14:15">
      <c r="N56" s="28">
        <v>69</v>
      </c>
      <c r="O56" s="29">
        <v>8.4399999999999996E-3</v>
      </c>
    </row>
    <row r="57" spans="14:15">
      <c r="N57" s="28">
        <v>70</v>
      </c>
      <c r="O57" s="29">
        <v>9.3399999999999993E-3</v>
      </c>
    </row>
    <row r="58" spans="14:15">
      <c r="N58" s="28">
        <v>71</v>
      </c>
      <c r="O58" s="29">
        <v>1.031E-2</v>
      </c>
    </row>
    <row r="59" spans="14:15">
      <c r="N59" s="28">
        <v>72</v>
      </c>
      <c r="O59" s="29">
        <v>1.1339999999999999E-2</v>
      </c>
    </row>
    <row r="60" spans="14:15">
      <c r="N60" s="28">
        <v>73</v>
      </c>
      <c r="O60" s="29">
        <v>1.244E-2</v>
      </c>
    </row>
    <row r="61" spans="14:15">
      <c r="N61" s="28">
        <v>74</v>
      </c>
      <c r="O61" s="29">
        <v>1.366E-2</v>
      </c>
    </row>
    <row r="62" spans="14:15">
      <c r="N62" s="28">
        <v>75</v>
      </c>
      <c r="O62" s="29">
        <v>1.502E-2</v>
      </c>
    </row>
    <row r="63" spans="14:15">
      <c r="N63" s="28">
        <v>76</v>
      </c>
      <c r="O63" s="29">
        <v>1.6559999999999998E-2</v>
      </c>
    </row>
    <row r="64" spans="14:15">
      <c r="N64" s="28">
        <v>77</v>
      </c>
      <c r="O64" s="29">
        <v>1.8339999999999999E-2</v>
      </c>
    </row>
    <row r="65" spans="14:15">
      <c r="N65" s="28">
        <v>78</v>
      </c>
      <c r="O65" s="29">
        <v>2.0410000000000001E-2</v>
      </c>
    </row>
    <row r="66" spans="14:15">
      <c r="N66" s="28">
        <v>79</v>
      </c>
      <c r="O66" s="29">
        <v>2.2839999999999999E-2</v>
      </c>
    </row>
    <row r="67" spans="14:15">
      <c r="N67" s="28">
        <v>80</v>
      </c>
      <c r="O67" s="29">
        <v>2.571E-2</v>
      </c>
    </row>
    <row r="68" spans="14:15">
      <c r="N68" s="28">
        <v>81</v>
      </c>
      <c r="O68" s="29">
        <v>2.913E-2</v>
      </c>
    </row>
    <row r="69" spans="14:15">
      <c r="N69" s="28">
        <v>82</v>
      </c>
      <c r="O69" s="29">
        <v>3.32E-2</v>
      </c>
    </row>
    <row r="70" spans="14:15">
      <c r="N70" s="28">
        <v>83</v>
      </c>
      <c r="O70" s="29">
        <v>3.805E-2</v>
      </c>
    </row>
    <row r="71" spans="14:15">
      <c r="N71" s="28">
        <v>84</v>
      </c>
      <c r="O71" s="29">
        <v>4.3770000000000003E-2</v>
      </c>
    </row>
    <row r="72" spans="14:15">
      <c r="N72" s="28">
        <v>85</v>
      </c>
      <c r="O72" s="29">
        <v>5.0500000000000003E-2</v>
      </c>
    </row>
    <row r="73" spans="14:15">
      <c r="N73" s="28">
        <v>86</v>
      </c>
      <c r="O73" s="29">
        <v>5.8319999999999997E-2</v>
      </c>
    </row>
    <row r="74" spans="14:15">
      <c r="N74" s="28">
        <v>87</v>
      </c>
      <c r="O74" s="29">
        <v>6.7339999999999997E-2</v>
      </c>
    </row>
    <row r="75" spans="14:15">
      <c r="N75" s="28">
        <v>88</v>
      </c>
      <c r="O75" s="29">
        <v>7.7649999999999997E-2</v>
      </c>
    </row>
    <row r="76" spans="14:15">
      <c r="N76" s="28">
        <v>89</v>
      </c>
      <c r="O76" s="29">
        <v>8.9319999999999997E-2</v>
      </c>
    </row>
    <row r="77" spans="14:15">
      <c r="N77" s="28">
        <v>90</v>
      </c>
      <c r="O77" s="29">
        <v>0.10238</v>
      </c>
    </row>
    <row r="78" spans="14:15">
      <c r="N78" s="28">
        <v>91</v>
      </c>
      <c r="O78" s="29">
        <v>0.11683</v>
      </c>
    </row>
    <row r="79" spans="14:15">
      <c r="N79" s="28">
        <v>92</v>
      </c>
      <c r="O79" s="29">
        <v>0.13261000000000001</v>
      </c>
    </row>
    <row r="80" spans="14:15">
      <c r="N80" s="28">
        <v>93</v>
      </c>
      <c r="O80" s="29">
        <v>0.14960999999999999</v>
      </c>
    </row>
    <row r="81" spans="14:15">
      <c r="N81" s="28">
        <v>94</v>
      </c>
      <c r="O81" s="29">
        <v>0.16771</v>
      </c>
    </row>
    <row r="82" spans="14:15">
      <c r="N82" s="28">
        <v>95</v>
      </c>
      <c r="O82" s="29">
        <v>0.18670999999999999</v>
      </c>
    </row>
    <row r="83" spans="14:15">
      <c r="N83" s="28">
        <v>96</v>
      </c>
      <c r="O83" s="29">
        <v>0.20644000000000001</v>
      </c>
    </row>
    <row r="84" spans="14:15">
      <c r="N84" s="28">
        <v>97</v>
      </c>
      <c r="O84" s="29">
        <v>0.22670000000000001</v>
      </c>
    </row>
    <row r="85" spans="14:15">
      <c r="N85" s="28">
        <v>98</v>
      </c>
      <c r="O85" s="29">
        <v>0.24728</v>
      </c>
    </row>
    <row r="86" spans="14:15">
      <c r="N86" s="28">
        <v>99</v>
      </c>
      <c r="O86" s="29">
        <v>0.26871</v>
      </c>
    </row>
    <row r="87" spans="14:15">
      <c r="N87" s="28">
        <v>100</v>
      </c>
      <c r="O87" s="29">
        <v>0.29127999999999998</v>
      </c>
    </row>
    <row r="88" spans="14:15">
      <c r="N88" s="28">
        <v>101</v>
      </c>
      <c r="O88" s="29">
        <v>0.31508000000000003</v>
      </c>
    </row>
    <row r="89" spans="14:15">
      <c r="N89" s="28">
        <v>102</v>
      </c>
      <c r="O89" s="29">
        <v>0.33994999999999997</v>
      </c>
    </row>
    <row r="90" spans="14:15">
      <c r="N90" s="28">
        <v>103</v>
      </c>
      <c r="O90" s="29">
        <v>0.36552000000000001</v>
      </c>
    </row>
    <row r="91" spans="14:15">
      <c r="N91" s="28">
        <v>104</v>
      </c>
      <c r="O91" s="29">
        <v>0.39119999999999999</v>
      </c>
    </row>
    <row r="92" spans="14:15">
      <c r="N92" s="28">
        <v>105</v>
      </c>
      <c r="O92" s="29">
        <v>0.41615999999999997</v>
      </c>
    </row>
    <row r="93" spans="14:15">
      <c r="N93" s="28">
        <v>106</v>
      </c>
      <c r="O93" s="29">
        <v>0.43936999999999998</v>
      </c>
    </row>
    <row r="94" spans="14:15">
      <c r="N94" s="28">
        <v>107</v>
      </c>
      <c r="O94" s="29">
        <v>0.45956000000000002</v>
      </c>
    </row>
    <row r="95" spans="14:15">
      <c r="N95" s="28">
        <v>108</v>
      </c>
      <c r="O95" s="29">
        <v>0.47972999999999999</v>
      </c>
    </row>
    <row r="96" spans="14:15">
      <c r="N96" s="28">
        <v>109</v>
      </c>
      <c r="O96" s="29">
        <v>0.50988</v>
      </c>
    </row>
    <row r="97" spans="14:15">
      <c r="N97" s="28">
        <v>110</v>
      </c>
      <c r="O97" s="29">
        <v>0.53</v>
      </c>
    </row>
    <row r="98" spans="14:15">
      <c r="N98" s="28">
        <v>111</v>
      </c>
      <c r="O98" s="29">
        <v>0.55000000000000004</v>
      </c>
    </row>
    <row r="99" spans="14:15">
      <c r="N99" s="28">
        <v>112</v>
      </c>
      <c r="O99" s="29">
        <v>0.56999999999999995</v>
      </c>
    </row>
    <row r="100" spans="14:15">
      <c r="N100" s="28">
        <v>113</v>
      </c>
      <c r="O100" s="29">
        <v>0.59</v>
      </c>
    </row>
    <row r="101" spans="14:15">
      <c r="N101" s="28">
        <v>114</v>
      </c>
      <c r="O101" s="29">
        <v>0.61</v>
      </c>
    </row>
    <row r="102" spans="14:15">
      <c r="N102" s="28">
        <v>115</v>
      </c>
      <c r="O102" s="29">
        <v>1</v>
      </c>
    </row>
  </sheetData>
  <mergeCells count="5">
    <mergeCell ref="E5:E6"/>
    <mergeCell ref="G5:G6"/>
    <mergeCell ref="H5:H6"/>
    <mergeCell ref="F5:F6"/>
    <mergeCell ref="J22:K2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FF1E8-6B58-4785-A6E9-1D55865B01B0}">
  <dimension ref="A1:X92"/>
  <sheetViews>
    <sheetView showGridLines="0" zoomScale="85" zoomScaleNormal="85" workbookViewId="0">
      <selection activeCell="C1" sqref="C1"/>
    </sheetView>
  </sheetViews>
  <sheetFormatPr defaultColWidth="11.42578125" defaultRowHeight="15"/>
  <cols>
    <col min="1" max="1" width="31.7109375" customWidth="1"/>
    <col min="6" max="6" width="12.28515625" customWidth="1"/>
    <col min="7" max="7" width="13.85546875" customWidth="1"/>
    <col min="8" max="8" width="15.7109375" customWidth="1"/>
    <col min="9" max="9" width="12.5703125" customWidth="1"/>
    <col min="10" max="10" width="13.7109375" customWidth="1"/>
    <col min="11" max="11" width="13.5703125" customWidth="1"/>
    <col min="12" max="17" width="12.5703125" customWidth="1"/>
    <col min="23" max="24" width="12.42578125" customWidth="1"/>
    <col min="30" max="30" width="12" customWidth="1"/>
    <col min="31" max="31" width="12.5703125" customWidth="1"/>
  </cols>
  <sheetData>
    <row r="1" spans="1:24">
      <c r="A1" s="168" t="s">
        <v>322</v>
      </c>
      <c r="B1" s="167"/>
      <c r="C1" s="167"/>
      <c r="D1" s="167"/>
      <c r="E1" s="167"/>
      <c r="F1" s="167"/>
      <c r="G1" s="167"/>
      <c r="H1" s="167"/>
      <c r="I1" s="167"/>
    </row>
    <row r="2" spans="1:24">
      <c r="H2" s="35" t="s">
        <v>321</v>
      </c>
      <c r="I2" s="35" t="s">
        <v>320</v>
      </c>
      <c r="J2" s="35"/>
      <c r="K2" s="35"/>
      <c r="L2" s="35" t="s">
        <v>319</v>
      </c>
    </row>
    <row r="3" spans="1:24" ht="120">
      <c r="A3" s="166" t="s">
        <v>252</v>
      </c>
      <c r="B3" s="165" t="s">
        <v>318</v>
      </c>
      <c r="C3" s="165" t="s">
        <v>5</v>
      </c>
      <c r="D3" s="165" t="s">
        <v>317</v>
      </c>
      <c r="E3" s="165" t="s">
        <v>316</v>
      </c>
      <c r="F3" s="165" t="s">
        <v>315</v>
      </c>
      <c r="G3" s="165" t="s">
        <v>314</v>
      </c>
      <c r="H3" s="165" t="s">
        <v>313</v>
      </c>
      <c r="I3" s="165" t="s">
        <v>312</v>
      </c>
      <c r="J3" s="165" t="s">
        <v>311</v>
      </c>
      <c r="K3" s="165" t="s">
        <v>310</v>
      </c>
      <c r="L3" s="164" t="s">
        <v>309</v>
      </c>
      <c r="S3" s="25"/>
    </row>
    <row r="4" spans="1:24">
      <c r="A4" s="36" t="s">
        <v>308</v>
      </c>
      <c r="B4">
        <v>800</v>
      </c>
      <c r="C4">
        <v>42</v>
      </c>
      <c r="D4">
        <v>12</v>
      </c>
      <c r="E4">
        <f>MAX(55-C4,0)</f>
        <v>13</v>
      </c>
      <c r="F4">
        <f>D4+E4</f>
        <v>25</v>
      </c>
      <c r="G4" s="163">
        <f>SUMPRODUCT(B30:B85,C30:C85,G30:G85,J30:J85)*B4</f>
        <v>53308166.154029824</v>
      </c>
      <c r="H4" s="163">
        <f>G4*D4/F4</f>
        <v>25587919.753934316</v>
      </c>
      <c r="I4" s="163">
        <f>G4/F4</f>
        <v>2132326.646161193</v>
      </c>
      <c r="J4" s="162">
        <v>0</v>
      </c>
      <c r="K4" s="162">
        <f>(H4+I4-0.5*J4)*'Data for Q3'!$K$18</f>
        <v>1386012.3200047754</v>
      </c>
      <c r="L4" s="161">
        <f>I4+K4</f>
        <v>3518338.9661659682</v>
      </c>
      <c r="T4" t="s">
        <v>307</v>
      </c>
    </row>
    <row r="5" spans="1:24">
      <c r="A5" s="36" t="s">
        <v>306</v>
      </c>
      <c r="B5">
        <v>150</v>
      </c>
      <c r="C5">
        <v>58</v>
      </c>
      <c r="D5">
        <v>30</v>
      </c>
      <c r="E5">
        <v>0</v>
      </c>
      <c r="F5">
        <f>D5+E5</f>
        <v>30</v>
      </c>
      <c r="G5" s="160">
        <f>SUMPRODUCT(B14:B69,C14:C69,N14:N69,Q14:Q69)*B5</f>
        <v>15716287.732811082</v>
      </c>
      <c r="H5" s="160">
        <f>G5*D5/F5</f>
        <v>15716287.732811082</v>
      </c>
      <c r="I5" s="160">
        <v>0</v>
      </c>
      <c r="J5" s="160">
        <v>0</v>
      </c>
      <c r="K5" s="160">
        <f>(H5+I5-0.5*J5)*'Data for Q3'!$K$18</f>
        <v>785814.38664055418</v>
      </c>
      <c r="L5" s="159">
        <f>I5+K5</f>
        <v>785814.38664055418</v>
      </c>
    </row>
    <row r="6" spans="1:24">
      <c r="A6" s="38" t="s">
        <v>305</v>
      </c>
      <c r="B6" s="158">
        <v>200</v>
      </c>
      <c r="C6" s="158">
        <v>70</v>
      </c>
      <c r="D6" s="157" t="s">
        <v>304</v>
      </c>
      <c r="E6" s="157" t="s">
        <v>304</v>
      </c>
      <c r="F6" s="157" t="s">
        <v>304</v>
      </c>
      <c r="G6" s="156">
        <f>SUMPRODUCT(B13:B57,C13:C57,U13:U57,X13:X57)*B6</f>
        <v>13847634.838912673</v>
      </c>
      <c r="H6" s="156">
        <f>G6</f>
        <v>13847634.838912673</v>
      </c>
      <c r="I6" s="156">
        <v>0</v>
      </c>
      <c r="J6" s="156">
        <f>B6*B13*U13*X13</f>
        <v>758764.30212000024</v>
      </c>
      <c r="K6" s="156">
        <f>(H6+I6-0.5*J6)*'Data for Q3'!$K$18</f>
        <v>673412.63439263368</v>
      </c>
      <c r="L6" s="155">
        <f>I6+K6</f>
        <v>673412.63439263368</v>
      </c>
    </row>
    <row r="8" spans="1:24">
      <c r="F8" s="154" t="s">
        <v>303</v>
      </c>
      <c r="G8" s="153">
        <f t="shared" ref="G8:L8" si="0">SUM(G4:G7)</f>
        <v>82872088.725753576</v>
      </c>
      <c r="H8" s="153">
        <f t="shared" si="0"/>
        <v>55151842.325658076</v>
      </c>
      <c r="I8" s="153">
        <f t="shared" si="0"/>
        <v>2132326.646161193</v>
      </c>
      <c r="J8" s="153">
        <f t="shared" si="0"/>
        <v>758764.30212000024</v>
      </c>
      <c r="K8" s="153">
        <f t="shared" si="0"/>
        <v>2845239.3410379631</v>
      </c>
      <c r="L8" s="152">
        <f t="shared" si="0"/>
        <v>4977565.9871991565</v>
      </c>
    </row>
    <row r="9" spans="1:24">
      <c r="S9" s="119"/>
      <c r="T9" s="119"/>
      <c r="U9" s="119"/>
      <c r="V9" s="119"/>
    </row>
    <row r="10" spans="1:24">
      <c r="A10" s="33"/>
      <c r="B10" s="151"/>
      <c r="C10" s="151"/>
      <c r="D10" s="311" t="s">
        <v>302</v>
      </c>
      <c r="E10" s="311"/>
      <c r="F10" s="311"/>
      <c r="G10" s="311"/>
      <c r="H10" s="311"/>
      <c r="I10" s="311"/>
      <c r="J10" s="311"/>
      <c r="K10" s="312" t="s">
        <v>301</v>
      </c>
      <c r="L10" s="312"/>
      <c r="M10" s="312"/>
      <c r="N10" s="312"/>
      <c r="O10" s="312"/>
      <c r="P10" s="312"/>
      <c r="Q10" s="312"/>
      <c r="R10" s="309" t="s">
        <v>300</v>
      </c>
      <c r="S10" s="309"/>
      <c r="T10" s="309"/>
      <c r="U10" s="309"/>
      <c r="V10" s="309"/>
      <c r="W10" s="309"/>
      <c r="X10" s="310"/>
    </row>
    <row r="11" spans="1:24" ht="45">
      <c r="A11" s="150" t="s">
        <v>39</v>
      </c>
      <c r="B11" s="149" t="s">
        <v>299</v>
      </c>
      <c r="C11" s="149" t="s">
        <v>298</v>
      </c>
      <c r="D11" s="148" t="s">
        <v>5</v>
      </c>
      <c r="E11" s="148" t="s">
        <v>297</v>
      </c>
      <c r="F11" s="148" t="s">
        <v>296</v>
      </c>
      <c r="G11" s="148" t="s">
        <v>293</v>
      </c>
      <c r="H11" s="148" t="s">
        <v>295</v>
      </c>
      <c r="I11" s="148" t="s">
        <v>294</v>
      </c>
      <c r="J11" s="148" t="s">
        <v>293</v>
      </c>
      <c r="K11" s="147" t="s">
        <v>5</v>
      </c>
      <c r="L11" s="147" t="s">
        <v>297</v>
      </c>
      <c r="M11" s="147" t="s">
        <v>296</v>
      </c>
      <c r="N11" s="147" t="s">
        <v>293</v>
      </c>
      <c r="O11" s="147" t="s">
        <v>295</v>
      </c>
      <c r="P11" s="147" t="s">
        <v>294</v>
      </c>
      <c r="Q11" s="147" t="s">
        <v>293</v>
      </c>
      <c r="R11" s="146" t="s">
        <v>5</v>
      </c>
      <c r="S11" s="146" t="s">
        <v>297</v>
      </c>
      <c r="T11" s="146" t="s">
        <v>296</v>
      </c>
      <c r="U11" s="146" t="s">
        <v>293</v>
      </c>
      <c r="V11" s="146" t="s">
        <v>295</v>
      </c>
      <c r="W11" s="146" t="s">
        <v>294</v>
      </c>
      <c r="X11" s="145" t="s">
        <v>293</v>
      </c>
    </row>
    <row r="12" spans="1:24">
      <c r="A12" s="144">
        <v>2024</v>
      </c>
      <c r="B12" s="143">
        <f>'Data for Q3'!$K$7*(1+'Data for Q3'!$K$8)*(1+'Data for Q3'!$K$9)</f>
        <v>3564.0000000000005</v>
      </c>
      <c r="C12" s="142">
        <v>1</v>
      </c>
      <c r="D12" s="131">
        <f>C4</f>
        <v>42</v>
      </c>
      <c r="E12" s="141">
        <v>0</v>
      </c>
      <c r="F12" s="131">
        <f>1-E12</f>
        <v>1</v>
      </c>
      <c r="G12" s="141">
        <v>1</v>
      </c>
      <c r="H12" s="130">
        <v>0</v>
      </c>
      <c r="I12" s="131">
        <f>1-H12</f>
        <v>1</v>
      </c>
      <c r="J12" s="141">
        <v>1</v>
      </c>
      <c r="K12" s="139">
        <f>C5</f>
        <v>58</v>
      </c>
      <c r="L12" s="139">
        <v>0</v>
      </c>
      <c r="M12" s="134">
        <f>1-L12</f>
        <v>1</v>
      </c>
      <c r="N12" s="139">
        <v>1</v>
      </c>
      <c r="O12" s="140">
        <f>'Data for Q3'!K26</f>
        <v>0</v>
      </c>
      <c r="P12" s="134">
        <f>1-O12</f>
        <v>1</v>
      </c>
      <c r="Q12" s="139">
        <v>1</v>
      </c>
      <c r="R12" s="126">
        <f>C6</f>
        <v>70</v>
      </c>
      <c r="S12" s="126">
        <v>0</v>
      </c>
      <c r="T12" s="126">
        <f>1-S12</f>
        <v>1</v>
      </c>
      <c r="U12" s="138">
        <v>1</v>
      </c>
      <c r="V12" s="136">
        <v>0</v>
      </c>
      <c r="W12" s="126">
        <f>1-V12</f>
        <v>1</v>
      </c>
      <c r="X12" s="137">
        <v>1</v>
      </c>
    </row>
    <row r="13" spans="1:24">
      <c r="A13" s="133">
        <f t="shared" ref="A13:A44" si="1">A12+1</f>
        <v>2025</v>
      </c>
      <c r="B13" s="27">
        <f>B12*(1+'Data for Q3'!K13)</f>
        <v>3813.4800000000009</v>
      </c>
      <c r="C13" s="132">
        <f>1/(1+'Data for Q3'!$K$18)^(A13-$A$12-0.5)</f>
        <v>0.97590007294853309</v>
      </c>
      <c r="D13" s="131">
        <f t="shared" ref="D13:D44" si="2">D12+1</f>
        <v>43</v>
      </c>
      <c r="E13" s="129">
        <f>_xlfn.XLOOKUP(D13,'Data for Q3'!N:N,'Data for Q3'!O:O)</f>
        <v>7.5000000000000002E-4</v>
      </c>
      <c r="F13" s="129">
        <f t="shared" ref="F13:F44" si="3">(1-E13)*F12</f>
        <v>0.99924999999999997</v>
      </c>
      <c r="G13" s="129">
        <f t="shared" ref="G13:G44" si="4">(1-E13/2)*F12</f>
        <v>0.99962499999999999</v>
      </c>
      <c r="H13" s="130">
        <f>'Data for Q3'!K24</f>
        <v>0.06</v>
      </c>
      <c r="I13" s="129">
        <f t="shared" ref="I13:I44" si="5">(1-H13)*I12</f>
        <v>0.94</v>
      </c>
      <c r="J13" s="129">
        <f t="shared" ref="J13:J44" si="6">(1-H13/2)*I12</f>
        <v>0.97</v>
      </c>
      <c r="K13" s="134">
        <f t="shared" ref="K13:K44" si="7">K12+1</f>
        <v>59</v>
      </c>
      <c r="L13" s="127">
        <f>_xlfn.XLOOKUP(K13,'Data for Q3'!N:N,'Data for Q3'!O:O)</f>
        <v>3.1800000000000001E-3</v>
      </c>
      <c r="M13" s="127">
        <f t="shared" ref="M13:M44" si="8">(1-L13)*M12</f>
        <v>0.99682000000000004</v>
      </c>
      <c r="N13" s="127">
        <f t="shared" ref="N13:N44" si="9">(1-L13/2)*M12</f>
        <v>0.99841000000000002</v>
      </c>
      <c r="O13" s="135">
        <f t="shared" ref="O13:O44" si="10">O12</f>
        <v>0</v>
      </c>
      <c r="P13" s="127">
        <f t="shared" ref="P13:P44" si="11">(1-O13)*P12</f>
        <v>1</v>
      </c>
      <c r="Q13" s="127">
        <f t="shared" ref="Q13:Q44" si="12">(1-O13/2)*P12</f>
        <v>1</v>
      </c>
      <c r="R13" s="126">
        <f t="shared" ref="R13:R57" si="13">R12+1</f>
        <v>71</v>
      </c>
      <c r="S13" s="124">
        <f>_xlfn.XLOOKUP(R13,'Data for Q3'!N:N,'Data for Q3'!O:O)</f>
        <v>1.031E-2</v>
      </c>
      <c r="T13" s="124">
        <f t="shared" ref="T13:T57" si="14">(1-S13)*T12</f>
        <v>0.98968999999999996</v>
      </c>
      <c r="U13" s="124">
        <f t="shared" ref="U13:U57" si="15">(1-S13/2)*T12</f>
        <v>0.99484499999999998</v>
      </c>
      <c r="V13" s="136">
        <f t="shared" ref="V13:V57" si="16">V12</f>
        <v>0</v>
      </c>
      <c r="W13" s="124">
        <f t="shared" ref="W13:W57" si="17">(1-V13)*W12</f>
        <v>1</v>
      </c>
      <c r="X13" s="123">
        <f t="shared" ref="X13:X57" si="18">(1-V13/2)*W12</f>
        <v>1</v>
      </c>
    </row>
    <row r="14" spans="1:24">
      <c r="A14" s="133">
        <f t="shared" si="1"/>
        <v>2026</v>
      </c>
      <c r="B14" s="27">
        <f>B13*(1+'Data for Q3'!K14)</f>
        <v>4042.2888000000012</v>
      </c>
      <c r="C14" s="132">
        <f>1/(1+'Data for Q3'!$K$18)^(A14-$A$12-0.5)</f>
        <v>0.92942864090336497</v>
      </c>
      <c r="D14" s="131">
        <f t="shared" si="2"/>
        <v>44</v>
      </c>
      <c r="E14" s="129">
        <f>_xlfn.XLOOKUP(D14,'Data for Q3'!N:N,'Data for Q3'!O:O)</f>
        <v>8.0000000000000004E-4</v>
      </c>
      <c r="F14" s="129">
        <f t="shared" si="3"/>
        <v>0.99845059999999997</v>
      </c>
      <c r="G14" s="129">
        <f t="shared" si="4"/>
        <v>0.99885029999999997</v>
      </c>
      <c r="H14" s="130">
        <f>H13</f>
        <v>0.06</v>
      </c>
      <c r="I14" s="129">
        <f t="shared" si="5"/>
        <v>0.88359999999999994</v>
      </c>
      <c r="J14" s="129">
        <f t="shared" si="6"/>
        <v>0.91179999999999994</v>
      </c>
      <c r="K14" s="134">
        <f t="shared" si="7"/>
        <v>60</v>
      </c>
      <c r="L14" s="127">
        <f>_xlfn.XLOOKUP(K14,'Data for Q3'!N:N,'Data for Q3'!O:O)</f>
        <v>3.5000000000000001E-3</v>
      </c>
      <c r="M14" s="127">
        <f t="shared" si="8"/>
        <v>0.99333113000000006</v>
      </c>
      <c r="N14" s="127">
        <f t="shared" si="9"/>
        <v>0.99507556500000005</v>
      </c>
      <c r="O14" s="135">
        <f t="shared" si="10"/>
        <v>0</v>
      </c>
      <c r="P14" s="127">
        <f t="shared" si="11"/>
        <v>1</v>
      </c>
      <c r="Q14" s="127">
        <f t="shared" si="12"/>
        <v>1</v>
      </c>
      <c r="R14" s="126">
        <f t="shared" si="13"/>
        <v>72</v>
      </c>
      <c r="S14" s="124">
        <f>_xlfn.XLOOKUP(R14,'Data for Q3'!N:N,'Data for Q3'!O:O)</f>
        <v>1.1339999999999999E-2</v>
      </c>
      <c r="T14" s="124">
        <f t="shared" si="14"/>
        <v>0.97846691539999997</v>
      </c>
      <c r="U14" s="124">
        <f t="shared" si="15"/>
        <v>0.98407845770000002</v>
      </c>
      <c r="V14" s="136">
        <f t="shared" si="16"/>
        <v>0</v>
      </c>
      <c r="W14" s="124">
        <f t="shared" si="17"/>
        <v>1</v>
      </c>
      <c r="X14" s="123">
        <f t="shared" si="18"/>
        <v>1</v>
      </c>
    </row>
    <row r="15" spans="1:24">
      <c r="A15" s="133">
        <f t="shared" si="1"/>
        <v>2027</v>
      </c>
      <c r="B15" s="27">
        <f>B14*(1+'Data for Q3'!$K$15)</f>
        <v>4244.4032400000015</v>
      </c>
      <c r="C15" s="132">
        <f>1/(1+'Data for Q3'!$K$18)^(A15-$A$12-0.5)</f>
        <v>0.88517013419368074</v>
      </c>
      <c r="D15" s="131">
        <f t="shared" si="2"/>
        <v>45</v>
      </c>
      <c r="E15" s="129">
        <f>_xlfn.XLOOKUP(D15,'Data for Q3'!N:N,'Data for Q3'!O:O)</f>
        <v>8.5999999999999998E-4</v>
      </c>
      <c r="F15" s="129">
        <f t="shared" si="3"/>
        <v>0.99759193248400002</v>
      </c>
      <c r="G15" s="129">
        <f t="shared" si="4"/>
        <v>0.99802126624199994</v>
      </c>
      <c r="H15" s="130">
        <f>'Data for Q3'!K25</f>
        <v>0.03</v>
      </c>
      <c r="I15" s="129">
        <f t="shared" si="5"/>
        <v>0.85709199999999996</v>
      </c>
      <c r="J15" s="129">
        <f t="shared" si="6"/>
        <v>0.87034599999999995</v>
      </c>
      <c r="K15" s="134">
        <f t="shared" si="7"/>
        <v>61</v>
      </c>
      <c r="L15" s="127">
        <f>_xlfn.XLOOKUP(K15,'Data for Q3'!N:N,'Data for Q3'!O:O)</f>
        <v>3.8400000000000001E-3</v>
      </c>
      <c r="M15" s="127">
        <f t="shared" si="8"/>
        <v>0.98951673846080013</v>
      </c>
      <c r="N15" s="127">
        <f t="shared" si="9"/>
        <v>0.99142393423039998</v>
      </c>
      <c r="O15" s="135">
        <f t="shared" si="10"/>
        <v>0</v>
      </c>
      <c r="P15" s="127">
        <f t="shared" si="11"/>
        <v>1</v>
      </c>
      <c r="Q15" s="127">
        <f t="shared" si="12"/>
        <v>1</v>
      </c>
      <c r="R15" s="126">
        <f t="shared" si="13"/>
        <v>73</v>
      </c>
      <c r="S15" s="124">
        <f>_xlfn.XLOOKUP(R15,'Data for Q3'!N:N,'Data for Q3'!O:O)</f>
        <v>1.244E-2</v>
      </c>
      <c r="T15" s="124">
        <f t="shared" si="14"/>
        <v>0.96629478697242399</v>
      </c>
      <c r="U15" s="124">
        <f t="shared" si="15"/>
        <v>0.97238085118621198</v>
      </c>
      <c r="V15" s="136">
        <f t="shared" si="16"/>
        <v>0</v>
      </c>
      <c r="W15" s="124">
        <f t="shared" si="17"/>
        <v>1</v>
      </c>
      <c r="X15" s="123">
        <f t="shared" si="18"/>
        <v>1</v>
      </c>
    </row>
    <row r="16" spans="1:24">
      <c r="A16" s="133">
        <f t="shared" si="1"/>
        <v>2028</v>
      </c>
      <c r="B16" s="27">
        <f>B15*(1+'Data for Q3'!$K$15)</f>
        <v>4456.623402000002</v>
      </c>
      <c r="C16" s="132">
        <f>1/(1+'Data for Q3'!$K$18)^(A16-$A$12-0.5)</f>
        <v>0.843019175422553</v>
      </c>
      <c r="D16" s="131">
        <f t="shared" si="2"/>
        <v>46</v>
      </c>
      <c r="E16" s="129">
        <f>_xlfn.XLOOKUP(D16,'Data for Q3'!N:N,'Data for Q3'!O:O)</f>
        <v>9.2000000000000003E-4</v>
      </c>
      <c r="F16" s="129">
        <f t="shared" si="3"/>
        <v>0.99667414790611475</v>
      </c>
      <c r="G16" s="129">
        <f t="shared" si="4"/>
        <v>0.99713304019505733</v>
      </c>
      <c r="H16" s="130">
        <f t="shared" ref="H16:H24" si="19">H15</f>
        <v>0.03</v>
      </c>
      <c r="I16" s="129">
        <f t="shared" si="5"/>
        <v>0.83137923999999996</v>
      </c>
      <c r="J16" s="129">
        <f t="shared" si="6"/>
        <v>0.84423561999999996</v>
      </c>
      <c r="K16" s="134">
        <f t="shared" si="7"/>
        <v>62</v>
      </c>
      <c r="L16" s="127">
        <f>_xlfn.XLOOKUP(K16,'Data for Q3'!N:N,'Data for Q3'!O:O)</f>
        <v>4.2100000000000002E-3</v>
      </c>
      <c r="M16" s="127">
        <f t="shared" si="8"/>
        <v>0.98535087299188007</v>
      </c>
      <c r="N16" s="127">
        <f t="shared" si="9"/>
        <v>0.9874338057263401</v>
      </c>
      <c r="O16" s="135">
        <f t="shared" si="10"/>
        <v>0</v>
      </c>
      <c r="P16" s="127">
        <f t="shared" si="11"/>
        <v>1</v>
      </c>
      <c r="Q16" s="127">
        <f t="shared" si="12"/>
        <v>1</v>
      </c>
      <c r="R16" s="126">
        <f t="shared" si="13"/>
        <v>74</v>
      </c>
      <c r="S16" s="124">
        <f>_xlfn.XLOOKUP(R16,'Data for Q3'!N:N,'Data for Q3'!O:O)</f>
        <v>1.366E-2</v>
      </c>
      <c r="T16" s="124">
        <f t="shared" si="14"/>
        <v>0.9530952001823807</v>
      </c>
      <c r="U16" s="124">
        <f t="shared" si="15"/>
        <v>0.95969499357740229</v>
      </c>
      <c r="V16" s="136">
        <f t="shared" si="16"/>
        <v>0</v>
      </c>
      <c r="W16" s="124">
        <f t="shared" si="17"/>
        <v>1</v>
      </c>
      <c r="X16" s="123">
        <f t="shared" si="18"/>
        <v>1</v>
      </c>
    </row>
    <row r="17" spans="1:24">
      <c r="A17" s="133">
        <f t="shared" si="1"/>
        <v>2029</v>
      </c>
      <c r="B17" s="27">
        <f>B16*(1+'Data for Q3'!$K$15)</f>
        <v>4679.4545721000022</v>
      </c>
      <c r="C17" s="132">
        <f>1/(1+'Data for Q3'!$K$18)^(A17-$A$12-0.5)</f>
        <v>0.80287540516433631</v>
      </c>
      <c r="D17" s="131">
        <f t="shared" si="2"/>
        <v>47</v>
      </c>
      <c r="E17" s="129">
        <f>_xlfn.XLOOKUP(D17,'Data for Q3'!N:N,'Data for Q3'!O:O)</f>
        <v>1.01E-3</v>
      </c>
      <c r="F17" s="129">
        <f t="shared" si="3"/>
        <v>0.99566750701672957</v>
      </c>
      <c r="G17" s="129">
        <f t="shared" si="4"/>
        <v>0.99617082746142216</v>
      </c>
      <c r="H17" s="130">
        <f t="shared" si="19"/>
        <v>0.03</v>
      </c>
      <c r="I17" s="129">
        <f t="shared" si="5"/>
        <v>0.80643786279999996</v>
      </c>
      <c r="J17" s="129">
        <f t="shared" si="6"/>
        <v>0.81890855139999996</v>
      </c>
      <c r="K17" s="134">
        <f t="shared" si="7"/>
        <v>63</v>
      </c>
      <c r="L17" s="127">
        <f>_xlfn.XLOOKUP(K17,'Data for Q3'!N:N,'Data for Q3'!O:O)</f>
        <v>4.64E-3</v>
      </c>
      <c r="M17" s="127">
        <f t="shared" si="8"/>
        <v>0.98077884494119771</v>
      </c>
      <c r="N17" s="127">
        <f t="shared" si="9"/>
        <v>0.98306485896653895</v>
      </c>
      <c r="O17" s="135">
        <f t="shared" si="10"/>
        <v>0</v>
      </c>
      <c r="P17" s="127">
        <f t="shared" si="11"/>
        <v>1</v>
      </c>
      <c r="Q17" s="127">
        <f t="shared" si="12"/>
        <v>1</v>
      </c>
      <c r="R17" s="126">
        <f t="shared" si="13"/>
        <v>75</v>
      </c>
      <c r="S17" s="124">
        <f>_xlfn.XLOOKUP(R17,'Data for Q3'!N:N,'Data for Q3'!O:O)</f>
        <v>1.502E-2</v>
      </c>
      <c r="T17" s="124">
        <f t="shared" si="14"/>
        <v>0.93877971027564133</v>
      </c>
      <c r="U17" s="124">
        <f t="shared" si="15"/>
        <v>0.94593745522901096</v>
      </c>
      <c r="V17" s="136">
        <f t="shared" si="16"/>
        <v>0</v>
      </c>
      <c r="W17" s="124">
        <f t="shared" si="17"/>
        <v>1</v>
      </c>
      <c r="X17" s="123">
        <f t="shared" si="18"/>
        <v>1</v>
      </c>
    </row>
    <row r="18" spans="1:24">
      <c r="A18" s="133">
        <f t="shared" si="1"/>
        <v>2030</v>
      </c>
      <c r="B18" s="27">
        <f>B17*(1+'Data for Q3'!$K$15)</f>
        <v>4913.4273007050024</v>
      </c>
      <c r="C18" s="132">
        <f>1/(1+'Data for Q3'!$K$18)^(A18-$A$12-0.5)</f>
        <v>0.7646432430136535</v>
      </c>
      <c r="D18" s="131">
        <f t="shared" si="2"/>
        <v>48</v>
      </c>
      <c r="E18" s="129">
        <f>_xlfn.XLOOKUP(D18,'Data for Q3'!N:N,'Data for Q3'!O:O)</f>
        <v>1.09E-3</v>
      </c>
      <c r="F18" s="129">
        <f t="shared" si="3"/>
        <v>0.99458222943408126</v>
      </c>
      <c r="G18" s="129">
        <f t="shared" si="4"/>
        <v>0.99512486822540547</v>
      </c>
      <c r="H18" s="130">
        <f t="shared" si="19"/>
        <v>0.03</v>
      </c>
      <c r="I18" s="129">
        <f t="shared" si="5"/>
        <v>0.78224472691599989</v>
      </c>
      <c r="J18" s="129">
        <f t="shared" si="6"/>
        <v>0.79434129485799998</v>
      </c>
      <c r="K18" s="134">
        <f t="shared" si="7"/>
        <v>64</v>
      </c>
      <c r="L18" s="127">
        <f>_xlfn.XLOOKUP(K18,'Data for Q3'!N:N,'Data for Q3'!O:O)</f>
        <v>5.11E-3</v>
      </c>
      <c r="M18" s="127">
        <f t="shared" si="8"/>
        <v>0.97576706504354827</v>
      </c>
      <c r="N18" s="127">
        <f t="shared" si="9"/>
        <v>0.97827295499237299</v>
      </c>
      <c r="O18" s="135">
        <f t="shared" si="10"/>
        <v>0</v>
      </c>
      <c r="P18" s="127">
        <f t="shared" si="11"/>
        <v>1</v>
      </c>
      <c r="Q18" s="127">
        <f t="shared" si="12"/>
        <v>1</v>
      </c>
      <c r="R18" s="126">
        <f t="shared" si="13"/>
        <v>76</v>
      </c>
      <c r="S18" s="124">
        <f>_xlfn.XLOOKUP(R18,'Data for Q3'!N:N,'Data for Q3'!O:O)</f>
        <v>1.6559999999999998E-2</v>
      </c>
      <c r="T18" s="124">
        <f t="shared" si="14"/>
        <v>0.92323351827347666</v>
      </c>
      <c r="U18" s="124">
        <f t="shared" si="15"/>
        <v>0.93100661427455911</v>
      </c>
      <c r="V18" s="136">
        <f t="shared" si="16"/>
        <v>0</v>
      </c>
      <c r="W18" s="124">
        <f t="shared" si="17"/>
        <v>1</v>
      </c>
      <c r="X18" s="123">
        <f t="shared" si="18"/>
        <v>1</v>
      </c>
    </row>
    <row r="19" spans="1:24">
      <c r="A19" s="133">
        <f t="shared" si="1"/>
        <v>2031</v>
      </c>
      <c r="B19" s="27">
        <f>B18*(1+'Data for Q3'!$K$15)</f>
        <v>5159.0986657402527</v>
      </c>
      <c r="C19" s="132">
        <f>1/(1+'Data for Q3'!$K$18)^(A19-$A$12-0.5)</f>
        <v>0.72823166001300332</v>
      </c>
      <c r="D19" s="131">
        <f t="shared" si="2"/>
        <v>49</v>
      </c>
      <c r="E19" s="129">
        <f>_xlfn.XLOOKUP(D19,'Data for Q3'!N:N,'Data for Q3'!O:O)</f>
        <v>1.1900000000000001E-3</v>
      </c>
      <c r="F19" s="129">
        <f t="shared" si="3"/>
        <v>0.99339867658105463</v>
      </c>
      <c r="G19" s="129">
        <f t="shared" si="4"/>
        <v>0.99399045300756794</v>
      </c>
      <c r="H19" s="130">
        <f t="shared" si="19"/>
        <v>0.03</v>
      </c>
      <c r="I19" s="129">
        <f t="shared" si="5"/>
        <v>0.75877738510851989</v>
      </c>
      <c r="J19" s="129">
        <f t="shared" si="6"/>
        <v>0.77051105601225989</v>
      </c>
      <c r="K19" s="134">
        <f t="shared" si="7"/>
        <v>65</v>
      </c>
      <c r="L19" s="127">
        <f>_xlfn.XLOOKUP(K19,'Data for Q3'!N:N,'Data for Q3'!O:O)</f>
        <v>5.62E-3</v>
      </c>
      <c r="M19" s="127">
        <f t="shared" si="8"/>
        <v>0.97028325413800354</v>
      </c>
      <c r="N19" s="127">
        <f t="shared" si="9"/>
        <v>0.97302515959077596</v>
      </c>
      <c r="O19" s="135">
        <f t="shared" si="10"/>
        <v>0</v>
      </c>
      <c r="P19" s="127">
        <f t="shared" si="11"/>
        <v>1</v>
      </c>
      <c r="Q19" s="127">
        <f t="shared" si="12"/>
        <v>1</v>
      </c>
      <c r="R19" s="126">
        <f t="shared" si="13"/>
        <v>77</v>
      </c>
      <c r="S19" s="124">
        <f>_xlfn.XLOOKUP(R19,'Data for Q3'!N:N,'Data for Q3'!O:O)</f>
        <v>1.8339999999999999E-2</v>
      </c>
      <c r="T19" s="124">
        <f t="shared" si="14"/>
        <v>0.90630141554834109</v>
      </c>
      <c r="U19" s="124">
        <f t="shared" si="15"/>
        <v>0.91476746691090882</v>
      </c>
      <c r="V19" s="136">
        <f t="shared" si="16"/>
        <v>0</v>
      </c>
      <c r="W19" s="124">
        <f t="shared" si="17"/>
        <v>1</v>
      </c>
      <c r="X19" s="123">
        <f t="shared" si="18"/>
        <v>1</v>
      </c>
    </row>
    <row r="20" spans="1:24">
      <c r="A20" s="133">
        <f t="shared" si="1"/>
        <v>2032</v>
      </c>
      <c r="B20" s="27">
        <f>B19*(1+'Data for Q3'!$K$15)</f>
        <v>5417.0535990272656</v>
      </c>
      <c r="C20" s="132">
        <f>1/(1+'Data for Q3'!$K$18)^(A20-$A$12-0.5)</f>
        <v>0.69355396191714602</v>
      </c>
      <c r="D20" s="131">
        <f t="shared" si="2"/>
        <v>50</v>
      </c>
      <c r="E20" s="129">
        <f>_xlfn.XLOOKUP(D20,'Data for Q3'!N:N,'Data for Q3'!O:O)</f>
        <v>1.2899999999999999E-3</v>
      </c>
      <c r="F20" s="129">
        <f t="shared" si="3"/>
        <v>0.992117192288265</v>
      </c>
      <c r="G20" s="129">
        <f t="shared" si="4"/>
        <v>0.99275793443465987</v>
      </c>
      <c r="H20" s="130">
        <f t="shared" si="19"/>
        <v>0.03</v>
      </c>
      <c r="I20" s="129">
        <f t="shared" si="5"/>
        <v>0.73601406355526422</v>
      </c>
      <c r="J20" s="129">
        <f t="shared" si="6"/>
        <v>0.74739572433189205</v>
      </c>
      <c r="K20" s="134">
        <f t="shared" si="7"/>
        <v>66</v>
      </c>
      <c r="L20" s="127">
        <f>_xlfn.XLOOKUP(K20,'Data for Q3'!N:N,'Data for Q3'!O:O)</f>
        <v>6.1999999999999998E-3</v>
      </c>
      <c r="M20" s="127">
        <f t="shared" si="8"/>
        <v>0.9642674979623479</v>
      </c>
      <c r="N20" s="127">
        <f t="shared" si="9"/>
        <v>0.96727537605017577</v>
      </c>
      <c r="O20" s="135">
        <f t="shared" si="10"/>
        <v>0</v>
      </c>
      <c r="P20" s="127">
        <f t="shared" si="11"/>
        <v>1</v>
      </c>
      <c r="Q20" s="127">
        <f t="shared" si="12"/>
        <v>1</v>
      </c>
      <c r="R20" s="126">
        <f t="shared" si="13"/>
        <v>78</v>
      </c>
      <c r="S20" s="124">
        <f>_xlfn.XLOOKUP(R20,'Data for Q3'!N:N,'Data for Q3'!O:O)</f>
        <v>2.0410000000000001E-2</v>
      </c>
      <c r="T20" s="124">
        <f t="shared" si="14"/>
        <v>0.8878038036569994</v>
      </c>
      <c r="U20" s="124">
        <f t="shared" si="15"/>
        <v>0.8970526096026703</v>
      </c>
      <c r="V20" s="136">
        <f t="shared" si="16"/>
        <v>0</v>
      </c>
      <c r="W20" s="124">
        <f t="shared" si="17"/>
        <v>1</v>
      </c>
      <c r="X20" s="123">
        <f t="shared" si="18"/>
        <v>1</v>
      </c>
    </row>
    <row r="21" spans="1:24">
      <c r="A21" s="133">
        <f t="shared" si="1"/>
        <v>2033</v>
      </c>
      <c r="B21" s="27">
        <f>B20*(1+'Data for Q3'!$K$15)</f>
        <v>5687.9062789786294</v>
      </c>
      <c r="C21" s="132">
        <f>1/(1+'Data for Q3'!$K$18)^(A21-$A$12-0.5)</f>
        <v>0.66052758277823431</v>
      </c>
      <c r="D21" s="131">
        <f t="shared" si="2"/>
        <v>51</v>
      </c>
      <c r="E21" s="129">
        <f>_xlfn.XLOOKUP(D21,'Data for Q3'!N:N,'Data for Q3'!O:O)</f>
        <v>1.41E-3</v>
      </c>
      <c r="F21" s="129">
        <f t="shared" si="3"/>
        <v>0.99071830704713848</v>
      </c>
      <c r="G21" s="129">
        <f t="shared" si="4"/>
        <v>0.9914177496677018</v>
      </c>
      <c r="H21" s="130">
        <f t="shared" si="19"/>
        <v>0.03</v>
      </c>
      <c r="I21" s="129">
        <f t="shared" si="5"/>
        <v>0.71393364164860629</v>
      </c>
      <c r="J21" s="129">
        <f t="shared" si="6"/>
        <v>0.72497385260193525</v>
      </c>
      <c r="K21" s="134">
        <f t="shared" si="7"/>
        <v>67</v>
      </c>
      <c r="L21" s="127">
        <f>_xlfn.XLOOKUP(K21,'Data for Q3'!N:N,'Data for Q3'!O:O)</f>
        <v>6.8599999999999998E-3</v>
      </c>
      <c r="M21" s="127">
        <f t="shared" si="8"/>
        <v>0.95765262292632625</v>
      </c>
      <c r="N21" s="127">
        <f t="shared" si="9"/>
        <v>0.96096006044433702</v>
      </c>
      <c r="O21" s="135">
        <f t="shared" si="10"/>
        <v>0</v>
      </c>
      <c r="P21" s="127">
        <f t="shared" si="11"/>
        <v>1</v>
      </c>
      <c r="Q21" s="127">
        <f t="shared" si="12"/>
        <v>1</v>
      </c>
      <c r="R21" s="126">
        <f t="shared" si="13"/>
        <v>79</v>
      </c>
      <c r="S21" s="124">
        <f>_xlfn.XLOOKUP(R21,'Data for Q3'!N:N,'Data for Q3'!O:O)</f>
        <v>2.2839999999999999E-2</v>
      </c>
      <c r="T21" s="124">
        <f t="shared" si="14"/>
        <v>0.8675263647814736</v>
      </c>
      <c r="U21" s="124">
        <f t="shared" si="15"/>
        <v>0.8776650842192365</v>
      </c>
      <c r="V21" s="136">
        <f t="shared" si="16"/>
        <v>0</v>
      </c>
      <c r="W21" s="124">
        <f t="shared" si="17"/>
        <v>1</v>
      </c>
      <c r="X21" s="123">
        <f t="shared" si="18"/>
        <v>1</v>
      </c>
    </row>
    <row r="22" spans="1:24">
      <c r="A22" s="133">
        <f t="shared" si="1"/>
        <v>2034</v>
      </c>
      <c r="B22" s="27">
        <f>B21*(1+'Data for Q3'!$K$15)</f>
        <v>5972.3015929275607</v>
      </c>
      <c r="C22" s="132">
        <f>1/(1+'Data for Q3'!$K$18)^(A22-$A$12-0.5)</f>
        <v>0.62907388836022304</v>
      </c>
      <c r="D22" s="131">
        <f t="shared" si="2"/>
        <v>52</v>
      </c>
      <c r="E22" s="129">
        <f>_xlfn.XLOOKUP(D22,'Data for Q3'!N:N,'Data for Q3'!O:O)</f>
        <v>1.5299999999999999E-3</v>
      </c>
      <c r="F22" s="129">
        <f t="shared" si="3"/>
        <v>0.98920250803735632</v>
      </c>
      <c r="G22" s="129">
        <f t="shared" si="4"/>
        <v>0.98996040754224746</v>
      </c>
      <c r="H22" s="130">
        <f t="shared" si="19"/>
        <v>0.03</v>
      </c>
      <c r="I22" s="129">
        <f t="shared" si="5"/>
        <v>0.69251563239914804</v>
      </c>
      <c r="J22" s="129">
        <f t="shared" si="6"/>
        <v>0.70322463702387716</v>
      </c>
      <c r="K22" s="134">
        <f t="shared" si="7"/>
        <v>68</v>
      </c>
      <c r="L22" s="127">
        <f>_xlfn.XLOOKUP(K22,'Data for Q3'!N:N,'Data for Q3'!O:O)</f>
        <v>7.6099999999999996E-3</v>
      </c>
      <c r="M22" s="127">
        <f t="shared" si="8"/>
        <v>0.95036488646585693</v>
      </c>
      <c r="N22" s="127">
        <f t="shared" si="9"/>
        <v>0.95400875469609159</v>
      </c>
      <c r="O22" s="135">
        <f t="shared" si="10"/>
        <v>0</v>
      </c>
      <c r="P22" s="127">
        <f t="shared" si="11"/>
        <v>1</v>
      </c>
      <c r="Q22" s="127">
        <f t="shared" si="12"/>
        <v>1</v>
      </c>
      <c r="R22" s="126">
        <f t="shared" si="13"/>
        <v>80</v>
      </c>
      <c r="S22" s="124">
        <f>_xlfn.XLOOKUP(R22,'Data for Q3'!N:N,'Data for Q3'!O:O)</f>
        <v>2.571E-2</v>
      </c>
      <c r="T22" s="124">
        <f t="shared" si="14"/>
        <v>0.84522226194294192</v>
      </c>
      <c r="U22" s="124">
        <f t="shared" si="15"/>
        <v>0.85637431336220782</v>
      </c>
      <c r="V22" s="136">
        <f t="shared" si="16"/>
        <v>0</v>
      </c>
      <c r="W22" s="124">
        <f t="shared" si="17"/>
        <v>1</v>
      </c>
      <c r="X22" s="123">
        <f t="shared" si="18"/>
        <v>1</v>
      </c>
    </row>
    <row r="23" spans="1:24">
      <c r="A23" s="133">
        <f t="shared" si="1"/>
        <v>2035</v>
      </c>
      <c r="B23" s="27">
        <f>B22*(1+'Data for Q3'!$K$15)</f>
        <v>6270.9166725739387</v>
      </c>
      <c r="C23" s="132">
        <f>1/(1+'Data for Q3'!$K$18)^(A23-$A$12-0.5)</f>
        <v>0.59911798891449808</v>
      </c>
      <c r="D23" s="131">
        <f t="shared" si="2"/>
        <v>53</v>
      </c>
      <c r="E23" s="129">
        <f>_xlfn.XLOOKUP(D23,'Data for Q3'!N:N,'Data for Q3'!O:O)</f>
        <v>1.6800000000000001E-3</v>
      </c>
      <c r="F23" s="129">
        <f t="shared" si="3"/>
        <v>0.98754064782385353</v>
      </c>
      <c r="G23" s="129">
        <f t="shared" si="4"/>
        <v>0.98837157793060504</v>
      </c>
      <c r="H23" s="130">
        <f t="shared" si="19"/>
        <v>0.03</v>
      </c>
      <c r="I23" s="129">
        <f t="shared" si="5"/>
        <v>0.67174016342717358</v>
      </c>
      <c r="J23" s="129">
        <f t="shared" si="6"/>
        <v>0.68212789791316086</v>
      </c>
      <c r="K23" s="134">
        <f t="shared" si="7"/>
        <v>69</v>
      </c>
      <c r="L23" s="127">
        <f>_xlfn.XLOOKUP(K23,'Data for Q3'!N:N,'Data for Q3'!O:O)</f>
        <v>8.4399999999999996E-3</v>
      </c>
      <c r="M23" s="127">
        <f t="shared" si="8"/>
        <v>0.94234380682408514</v>
      </c>
      <c r="N23" s="127">
        <f t="shared" si="9"/>
        <v>0.94635434664497098</v>
      </c>
      <c r="O23" s="135">
        <f t="shared" si="10"/>
        <v>0</v>
      </c>
      <c r="P23" s="127">
        <f t="shared" si="11"/>
        <v>1</v>
      </c>
      <c r="Q23" s="127">
        <f t="shared" si="12"/>
        <v>1</v>
      </c>
      <c r="R23" s="126">
        <f t="shared" si="13"/>
        <v>81</v>
      </c>
      <c r="S23" s="124">
        <f>_xlfn.XLOOKUP(R23,'Data for Q3'!N:N,'Data for Q3'!O:O)</f>
        <v>2.913E-2</v>
      </c>
      <c r="T23" s="124">
        <f t="shared" si="14"/>
        <v>0.82060093745254403</v>
      </c>
      <c r="U23" s="124">
        <f t="shared" si="15"/>
        <v>0.83291159969774298</v>
      </c>
      <c r="V23" s="136">
        <f t="shared" si="16"/>
        <v>0</v>
      </c>
      <c r="W23" s="124">
        <f t="shared" si="17"/>
        <v>1</v>
      </c>
      <c r="X23" s="123">
        <f t="shared" si="18"/>
        <v>1</v>
      </c>
    </row>
    <row r="24" spans="1:24">
      <c r="A24" s="133">
        <f t="shared" si="1"/>
        <v>2036</v>
      </c>
      <c r="B24" s="27">
        <f>B23*(1+'Data for Q3'!$K$15)</f>
        <v>6584.4625062026362</v>
      </c>
      <c r="C24" s="132">
        <f>1/(1+'Data for Q3'!$K$18)^(A24-$A$12-0.5)</f>
        <v>0.57058856087095067</v>
      </c>
      <c r="D24" s="131">
        <f t="shared" si="2"/>
        <v>54</v>
      </c>
      <c r="E24" s="129">
        <f>_xlfn.XLOOKUP(D24,'Data for Q3'!N:N,'Data for Q3'!O:O)</f>
        <v>1.8600000000000001E-3</v>
      </c>
      <c r="F24" s="129">
        <f t="shared" si="3"/>
        <v>0.98570382221890118</v>
      </c>
      <c r="G24" s="129">
        <f t="shared" si="4"/>
        <v>0.98662223502137736</v>
      </c>
      <c r="H24" s="130">
        <f t="shared" si="19"/>
        <v>0.03</v>
      </c>
      <c r="I24" s="129">
        <f t="shared" si="5"/>
        <v>0.65158795852435836</v>
      </c>
      <c r="J24" s="129">
        <f t="shared" si="6"/>
        <v>0.66166406097576591</v>
      </c>
      <c r="K24" s="134">
        <f t="shared" si="7"/>
        <v>70</v>
      </c>
      <c r="L24" s="127">
        <f>_xlfn.XLOOKUP(K24,'Data for Q3'!N:N,'Data for Q3'!O:O)</f>
        <v>9.3399999999999993E-3</v>
      </c>
      <c r="M24" s="127">
        <f t="shared" si="8"/>
        <v>0.93354231566834822</v>
      </c>
      <c r="N24" s="127">
        <f t="shared" si="9"/>
        <v>0.93794306124621674</v>
      </c>
      <c r="O24" s="135">
        <f t="shared" si="10"/>
        <v>0</v>
      </c>
      <c r="P24" s="127">
        <f t="shared" si="11"/>
        <v>1</v>
      </c>
      <c r="Q24" s="127">
        <f t="shared" si="12"/>
        <v>1</v>
      </c>
      <c r="R24" s="126">
        <f t="shared" si="13"/>
        <v>82</v>
      </c>
      <c r="S24" s="124">
        <f>_xlfn.XLOOKUP(R24,'Data for Q3'!N:N,'Data for Q3'!O:O)</f>
        <v>3.32E-2</v>
      </c>
      <c r="T24" s="124">
        <f t="shared" si="14"/>
        <v>0.79335698632911955</v>
      </c>
      <c r="U24" s="124">
        <f t="shared" si="15"/>
        <v>0.80697896189083185</v>
      </c>
      <c r="V24" s="136">
        <f t="shared" si="16"/>
        <v>0</v>
      </c>
      <c r="W24" s="124">
        <f t="shared" si="17"/>
        <v>1</v>
      </c>
      <c r="X24" s="123">
        <f t="shared" si="18"/>
        <v>1</v>
      </c>
    </row>
    <row r="25" spans="1:24">
      <c r="A25" s="133">
        <f t="shared" si="1"/>
        <v>2037</v>
      </c>
      <c r="B25" s="27">
        <f>B24*(1+'Data for Q3'!$K$15)</f>
        <v>6913.6856315127679</v>
      </c>
      <c r="C25" s="132">
        <f>1/(1+'Data for Q3'!$K$18)^(A25-$A$12-0.5)</f>
        <v>0.54341767701995292</v>
      </c>
      <c r="D25" s="131">
        <f t="shared" si="2"/>
        <v>55</v>
      </c>
      <c r="E25" s="129">
        <f>_xlfn.XLOOKUP(D25,'Data for Q3'!N:N,'Data for Q3'!O:O)</f>
        <v>2.0699999999999998E-3</v>
      </c>
      <c r="F25" s="129">
        <f t="shared" si="3"/>
        <v>0.98366341530690804</v>
      </c>
      <c r="G25" s="129">
        <f t="shared" si="4"/>
        <v>0.98468361876290467</v>
      </c>
      <c r="H25" s="130">
        <f>'Data for Q3'!K26</f>
        <v>0</v>
      </c>
      <c r="I25" s="129">
        <f t="shared" si="5"/>
        <v>0.65158795852435836</v>
      </c>
      <c r="J25" s="129">
        <f t="shared" si="6"/>
        <v>0.65158795852435836</v>
      </c>
      <c r="K25" s="134">
        <f t="shared" si="7"/>
        <v>71</v>
      </c>
      <c r="L25" s="127">
        <f>_xlfn.XLOOKUP(K25,'Data for Q3'!N:N,'Data for Q3'!O:O)</f>
        <v>1.031E-2</v>
      </c>
      <c r="M25" s="127">
        <f t="shared" si="8"/>
        <v>0.92391749439380755</v>
      </c>
      <c r="N25" s="127">
        <f t="shared" si="9"/>
        <v>0.92872990503107788</v>
      </c>
      <c r="O25" s="135">
        <f t="shared" si="10"/>
        <v>0</v>
      </c>
      <c r="P25" s="127">
        <f t="shared" si="11"/>
        <v>1</v>
      </c>
      <c r="Q25" s="127">
        <f t="shared" si="12"/>
        <v>1</v>
      </c>
      <c r="R25" s="126">
        <f t="shared" si="13"/>
        <v>83</v>
      </c>
      <c r="S25" s="124">
        <f>_xlfn.XLOOKUP(R25,'Data for Q3'!N:N,'Data for Q3'!O:O)</f>
        <v>3.805E-2</v>
      </c>
      <c r="T25" s="124">
        <f t="shared" si="14"/>
        <v>0.76316975299929657</v>
      </c>
      <c r="U25" s="124">
        <f t="shared" si="15"/>
        <v>0.77826336966420806</v>
      </c>
      <c r="V25" s="136">
        <f t="shared" si="16"/>
        <v>0</v>
      </c>
      <c r="W25" s="124">
        <f t="shared" si="17"/>
        <v>1</v>
      </c>
      <c r="X25" s="123">
        <f t="shared" si="18"/>
        <v>1</v>
      </c>
    </row>
    <row r="26" spans="1:24">
      <c r="A26" s="133">
        <f t="shared" si="1"/>
        <v>2038</v>
      </c>
      <c r="B26" s="27">
        <f>B25*(1+'Data for Q3'!$K$15)</f>
        <v>7259.369913088407</v>
      </c>
      <c r="C26" s="132">
        <f>1/(1+'Data for Q3'!$K$18)^(A26-$A$12-0.5)</f>
        <v>0.51754064478090755</v>
      </c>
      <c r="D26" s="131">
        <f t="shared" si="2"/>
        <v>56</v>
      </c>
      <c r="E26" s="129">
        <f>_xlfn.XLOOKUP(D26,'Data for Q3'!N:N,'Data for Q3'!O:O)</f>
        <v>2.31E-3</v>
      </c>
      <c r="F26" s="129">
        <f t="shared" si="3"/>
        <v>0.98139115281754907</v>
      </c>
      <c r="G26" s="129">
        <f t="shared" si="4"/>
        <v>0.98252728406222856</v>
      </c>
      <c r="H26" s="130">
        <f t="shared" ref="H26:H57" si="20">H25</f>
        <v>0</v>
      </c>
      <c r="I26" s="129">
        <f t="shared" si="5"/>
        <v>0.65158795852435836</v>
      </c>
      <c r="J26" s="129">
        <f t="shared" si="6"/>
        <v>0.65158795852435836</v>
      </c>
      <c r="K26" s="134">
        <f t="shared" si="7"/>
        <v>72</v>
      </c>
      <c r="L26" s="127">
        <f>_xlfn.XLOOKUP(K26,'Data for Q3'!N:N,'Data for Q3'!O:O)</f>
        <v>1.1339999999999999E-2</v>
      </c>
      <c r="M26" s="127">
        <f t="shared" si="8"/>
        <v>0.9134402700073817</v>
      </c>
      <c r="N26" s="127">
        <f t="shared" si="9"/>
        <v>0.91867888220059468</v>
      </c>
      <c r="O26" s="135">
        <f t="shared" si="10"/>
        <v>0</v>
      </c>
      <c r="P26" s="127">
        <f t="shared" si="11"/>
        <v>1</v>
      </c>
      <c r="Q26" s="127">
        <f t="shared" si="12"/>
        <v>1</v>
      </c>
      <c r="R26" s="126">
        <f t="shared" si="13"/>
        <v>84</v>
      </c>
      <c r="S26" s="124">
        <f>_xlfn.XLOOKUP(R26,'Data for Q3'!N:N,'Data for Q3'!O:O)</f>
        <v>4.3770000000000003E-2</v>
      </c>
      <c r="T26" s="124">
        <f t="shared" si="14"/>
        <v>0.72976581291051734</v>
      </c>
      <c r="U26" s="124">
        <f t="shared" si="15"/>
        <v>0.7464677829549069</v>
      </c>
      <c r="V26" s="136">
        <f t="shared" si="16"/>
        <v>0</v>
      </c>
      <c r="W26" s="124">
        <f t="shared" si="17"/>
        <v>1</v>
      </c>
      <c r="X26" s="123">
        <f t="shared" si="18"/>
        <v>1</v>
      </c>
    </row>
    <row r="27" spans="1:24">
      <c r="A27" s="133">
        <f t="shared" si="1"/>
        <v>2039</v>
      </c>
      <c r="B27" s="27">
        <f>B26*(1+'Data for Q3'!$K$15)</f>
        <v>7622.3384087428276</v>
      </c>
      <c r="C27" s="132">
        <f>1/(1+'Data for Q3'!$K$18)^(A27-$A$12-0.5)</f>
        <v>0.49289585217229281</v>
      </c>
      <c r="D27" s="131">
        <f t="shared" si="2"/>
        <v>57</v>
      </c>
      <c r="E27" s="129">
        <f>_xlfn.XLOOKUP(D27,'Data for Q3'!N:N,'Data for Q3'!O:O)</f>
        <v>2.5799999999999998E-3</v>
      </c>
      <c r="F27" s="129">
        <f t="shared" si="3"/>
        <v>0.97885916364327974</v>
      </c>
      <c r="G27" s="129">
        <f t="shared" si="4"/>
        <v>0.98012515823041446</v>
      </c>
      <c r="H27" s="130">
        <f t="shared" si="20"/>
        <v>0</v>
      </c>
      <c r="I27" s="129">
        <f t="shared" si="5"/>
        <v>0.65158795852435836</v>
      </c>
      <c r="J27" s="129">
        <f t="shared" si="6"/>
        <v>0.65158795852435836</v>
      </c>
      <c r="K27" s="134">
        <f t="shared" si="7"/>
        <v>73</v>
      </c>
      <c r="L27" s="127">
        <f>_xlfn.XLOOKUP(K27,'Data for Q3'!N:N,'Data for Q3'!O:O)</f>
        <v>1.244E-2</v>
      </c>
      <c r="M27" s="127">
        <f t="shared" si="8"/>
        <v>0.90207707304848983</v>
      </c>
      <c r="N27" s="127">
        <f t="shared" si="9"/>
        <v>0.90775867152793577</v>
      </c>
      <c r="O27" s="135">
        <f t="shared" si="10"/>
        <v>0</v>
      </c>
      <c r="P27" s="127">
        <f t="shared" si="11"/>
        <v>1</v>
      </c>
      <c r="Q27" s="127">
        <f t="shared" si="12"/>
        <v>1</v>
      </c>
      <c r="R27" s="126">
        <f t="shared" si="13"/>
        <v>85</v>
      </c>
      <c r="S27" s="124">
        <f>_xlfn.XLOOKUP(R27,'Data for Q3'!N:N,'Data for Q3'!O:O)</f>
        <v>5.0500000000000003E-2</v>
      </c>
      <c r="T27" s="124">
        <f t="shared" si="14"/>
        <v>0.6929126393585362</v>
      </c>
      <c r="U27" s="124">
        <f t="shared" si="15"/>
        <v>0.71133922613452683</v>
      </c>
      <c r="V27" s="136">
        <f t="shared" si="16"/>
        <v>0</v>
      </c>
      <c r="W27" s="124">
        <f t="shared" si="17"/>
        <v>1</v>
      </c>
      <c r="X27" s="123">
        <f t="shared" si="18"/>
        <v>1</v>
      </c>
    </row>
    <row r="28" spans="1:24">
      <c r="A28" s="133">
        <f t="shared" si="1"/>
        <v>2040</v>
      </c>
      <c r="B28" s="27">
        <f>B27*(1+'Data for Q3'!$K$15)</f>
        <v>8003.4553291799693</v>
      </c>
      <c r="C28" s="132">
        <f>1/(1+'Data for Q3'!$K$18)^(A28-$A$12-0.5)</f>
        <v>0.46942462111646938</v>
      </c>
      <c r="D28" s="131">
        <f t="shared" si="2"/>
        <v>58</v>
      </c>
      <c r="E28" s="129">
        <f>_xlfn.XLOOKUP(D28,'Data for Q3'!N:N,'Data for Q3'!O:O)</f>
        <v>2.8700000000000002E-3</v>
      </c>
      <c r="F28" s="129">
        <f t="shared" si="3"/>
        <v>0.97604983784362354</v>
      </c>
      <c r="G28" s="129">
        <f t="shared" si="4"/>
        <v>0.97745450074345164</v>
      </c>
      <c r="H28" s="130">
        <f t="shared" si="20"/>
        <v>0</v>
      </c>
      <c r="I28" s="129">
        <f t="shared" si="5"/>
        <v>0.65158795852435836</v>
      </c>
      <c r="J28" s="129">
        <f t="shared" si="6"/>
        <v>0.65158795852435836</v>
      </c>
      <c r="K28" s="134">
        <f t="shared" si="7"/>
        <v>74</v>
      </c>
      <c r="L28" s="127">
        <f>_xlfn.XLOOKUP(K28,'Data for Q3'!N:N,'Data for Q3'!O:O)</f>
        <v>1.366E-2</v>
      </c>
      <c r="M28" s="127">
        <f t="shared" si="8"/>
        <v>0.8897547002306474</v>
      </c>
      <c r="N28" s="127">
        <f t="shared" si="9"/>
        <v>0.89591588663956867</v>
      </c>
      <c r="O28" s="135">
        <f t="shared" si="10"/>
        <v>0</v>
      </c>
      <c r="P28" s="127">
        <f t="shared" si="11"/>
        <v>1</v>
      </c>
      <c r="Q28" s="127">
        <f t="shared" si="12"/>
        <v>1</v>
      </c>
      <c r="R28" s="126">
        <f t="shared" si="13"/>
        <v>86</v>
      </c>
      <c r="S28" s="124">
        <f>_xlfn.XLOOKUP(R28,'Data for Q3'!N:N,'Data for Q3'!O:O)</f>
        <v>5.8319999999999997E-2</v>
      </c>
      <c r="T28" s="124">
        <f t="shared" si="14"/>
        <v>0.65250197423114631</v>
      </c>
      <c r="U28" s="124">
        <f t="shared" si="15"/>
        <v>0.67270730679484125</v>
      </c>
      <c r="V28" s="136">
        <f t="shared" si="16"/>
        <v>0</v>
      </c>
      <c r="W28" s="124">
        <f t="shared" si="17"/>
        <v>1</v>
      </c>
      <c r="X28" s="123">
        <f t="shared" si="18"/>
        <v>1</v>
      </c>
    </row>
    <row r="29" spans="1:24">
      <c r="A29" s="133">
        <f t="shared" si="1"/>
        <v>2041</v>
      </c>
      <c r="B29" s="27">
        <f>B28*(1+'Data for Q3'!$K$15)</f>
        <v>8403.6280956389674</v>
      </c>
      <c r="C29" s="132">
        <f>1/(1+'Data for Q3'!$K$18)^(A29-$A$12-0.5)</f>
        <v>0.44707106772997074</v>
      </c>
      <c r="D29" s="131">
        <f t="shared" si="2"/>
        <v>59</v>
      </c>
      <c r="E29" s="129">
        <f>_xlfn.XLOOKUP(D29,'Data for Q3'!N:N,'Data for Q3'!O:O)</f>
        <v>3.1800000000000001E-3</v>
      </c>
      <c r="F29" s="129">
        <f t="shared" si="3"/>
        <v>0.97294599935928083</v>
      </c>
      <c r="G29" s="129">
        <f t="shared" si="4"/>
        <v>0.97449791860145218</v>
      </c>
      <c r="H29" s="130">
        <f t="shared" si="20"/>
        <v>0</v>
      </c>
      <c r="I29" s="129">
        <f t="shared" si="5"/>
        <v>0.65158795852435836</v>
      </c>
      <c r="J29" s="129">
        <f t="shared" si="6"/>
        <v>0.65158795852435836</v>
      </c>
      <c r="K29" s="134">
        <f t="shared" si="7"/>
        <v>75</v>
      </c>
      <c r="L29" s="127">
        <f>_xlfn.XLOOKUP(K29,'Data for Q3'!N:N,'Data for Q3'!O:O)</f>
        <v>1.502E-2</v>
      </c>
      <c r="M29" s="127">
        <f t="shared" si="8"/>
        <v>0.87639058463318309</v>
      </c>
      <c r="N29" s="127">
        <f t="shared" si="9"/>
        <v>0.88307264243191519</v>
      </c>
      <c r="O29" s="135">
        <f t="shared" si="10"/>
        <v>0</v>
      </c>
      <c r="P29" s="127">
        <f t="shared" si="11"/>
        <v>1</v>
      </c>
      <c r="Q29" s="127">
        <f t="shared" si="12"/>
        <v>1</v>
      </c>
      <c r="R29" s="126">
        <f t="shared" si="13"/>
        <v>87</v>
      </c>
      <c r="S29" s="124">
        <f>_xlfn.XLOOKUP(R29,'Data for Q3'!N:N,'Data for Q3'!O:O)</f>
        <v>6.7339999999999997E-2</v>
      </c>
      <c r="T29" s="124">
        <f t="shared" si="14"/>
        <v>0.60856249128642093</v>
      </c>
      <c r="U29" s="124">
        <f t="shared" si="15"/>
        <v>0.63053223275878367</v>
      </c>
      <c r="V29" s="136">
        <f t="shared" si="16"/>
        <v>0</v>
      </c>
      <c r="W29" s="124">
        <f t="shared" si="17"/>
        <v>1</v>
      </c>
      <c r="X29" s="123">
        <f t="shared" si="18"/>
        <v>1</v>
      </c>
    </row>
    <row r="30" spans="1:24">
      <c r="A30" s="133">
        <f t="shared" si="1"/>
        <v>2042</v>
      </c>
      <c r="B30" s="27">
        <f>B29*(1+'Data for Q3'!$K$15)</f>
        <v>8823.8095004209154</v>
      </c>
      <c r="C30" s="132">
        <f>1/(1+'Data for Q3'!$K$18)^(A30-$A$12-0.5)</f>
        <v>0.42578196926663886</v>
      </c>
      <c r="D30" s="131">
        <f t="shared" si="2"/>
        <v>60</v>
      </c>
      <c r="E30" s="129">
        <f>_xlfn.XLOOKUP(D30,'Data for Q3'!N:N,'Data for Q3'!O:O)</f>
        <v>3.5000000000000001E-3</v>
      </c>
      <c r="F30" s="129">
        <f t="shared" si="3"/>
        <v>0.96954068836152341</v>
      </c>
      <c r="G30" s="129">
        <f t="shared" si="4"/>
        <v>0.97124334386040201</v>
      </c>
      <c r="H30" s="130">
        <f t="shared" si="20"/>
        <v>0</v>
      </c>
      <c r="I30" s="129">
        <f t="shared" si="5"/>
        <v>0.65158795852435836</v>
      </c>
      <c r="J30" s="129">
        <f t="shared" si="6"/>
        <v>0.65158795852435836</v>
      </c>
      <c r="K30" s="134">
        <f t="shared" si="7"/>
        <v>76</v>
      </c>
      <c r="L30" s="127">
        <f>_xlfn.XLOOKUP(K30,'Data for Q3'!N:N,'Data for Q3'!O:O)</f>
        <v>1.6559999999999998E-2</v>
      </c>
      <c r="M30" s="127">
        <f t="shared" si="8"/>
        <v>0.86187755655165754</v>
      </c>
      <c r="N30" s="127">
        <f t="shared" si="9"/>
        <v>0.86913407059242043</v>
      </c>
      <c r="O30" s="135">
        <f t="shared" si="10"/>
        <v>0</v>
      </c>
      <c r="P30" s="127">
        <f t="shared" si="11"/>
        <v>1</v>
      </c>
      <c r="Q30" s="127">
        <f t="shared" si="12"/>
        <v>1</v>
      </c>
      <c r="R30" s="126">
        <f t="shared" si="13"/>
        <v>88</v>
      </c>
      <c r="S30" s="124">
        <f>_xlfn.XLOOKUP(R30,'Data for Q3'!N:N,'Data for Q3'!O:O)</f>
        <v>7.7649999999999997E-2</v>
      </c>
      <c r="T30" s="124">
        <f t="shared" si="14"/>
        <v>0.56130761383803029</v>
      </c>
      <c r="U30" s="124">
        <f t="shared" si="15"/>
        <v>0.58493505256222567</v>
      </c>
      <c r="V30" s="136">
        <f t="shared" si="16"/>
        <v>0</v>
      </c>
      <c r="W30" s="124">
        <f t="shared" si="17"/>
        <v>1</v>
      </c>
      <c r="X30" s="123">
        <f t="shared" si="18"/>
        <v>1</v>
      </c>
    </row>
    <row r="31" spans="1:24">
      <c r="A31" s="133">
        <f t="shared" si="1"/>
        <v>2043</v>
      </c>
      <c r="B31" s="27">
        <f>B30*(1+'Data for Q3'!$K$15)</f>
        <v>9264.9999754419623</v>
      </c>
      <c r="C31" s="132">
        <f>1/(1+'Data for Q3'!$K$18)^(A31-$A$12-0.5)</f>
        <v>0.40550663739679882</v>
      </c>
      <c r="D31" s="131">
        <f t="shared" si="2"/>
        <v>61</v>
      </c>
      <c r="E31" s="129">
        <f>_xlfn.XLOOKUP(D31,'Data for Q3'!N:N,'Data for Q3'!O:O)</f>
        <v>3.8400000000000001E-3</v>
      </c>
      <c r="F31" s="129">
        <f t="shared" si="3"/>
        <v>0.96581765211821524</v>
      </c>
      <c r="G31" s="129">
        <f t="shared" si="4"/>
        <v>0.96767917023986927</v>
      </c>
      <c r="H31" s="130">
        <f t="shared" si="20"/>
        <v>0</v>
      </c>
      <c r="I31" s="129">
        <f t="shared" si="5"/>
        <v>0.65158795852435836</v>
      </c>
      <c r="J31" s="129">
        <f t="shared" si="6"/>
        <v>0.65158795852435836</v>
      </c>
      <c r="K31" s="134">
        <f t="shared" si="7"/>
        <v>77</v>
      </c>
      <c r="L31" s="127">
        <f>_xlfn.XLOOKUP(K31,'Data for Q3'!N:N,'Data for Q3'!O:O)</f>
        <v>1.8339999999999999E-2</v>
      </c>
      <c r="M31" s="127">
        <f t="shared" si="8"/>
        <v>0.84607072216450008</v>
      </c>
      <c r="N31" s="127">
        <f t="shared" si="9"/>
        <v>0.85397413935807887</v>
      </c>
      <c r="O31" s="135">
        <f t="shared" si="10"/>
        <v>0</v>
      </c>
      <c r="P31" s="127">
        <f t="shared" si="11"/>
        <v>1</v>
      </c>
      <c r="Q31" s="127">
        <f t="shared" si="12"/>
        <v>1</v>
      </c>
      <c r="R31" s="126">
        <f t="shared" si="13"/>
        <v>89</v>
      </c>
      <c r="S31" s="124">
        <f>_xlfn.XLOOKUP(R31,'Data for Q3'!N:N,'Data for Q3'!O:O)</f>
        <v>8.9319999999999997E-2</v>
      </c>
      <c r="T31" s="124">
        <f t="shared" si="14"/>
        <v>0.51117161777001741</v>
      </c>
      <c r="U31" s="124">
        <f t="shared" si="15"/>
        <v>0.53623961580402379</v>
      </c>
      <c r="V31" s="136">
        <f t="shared" si="16"/>
        <v>0</v>
      </c>
      <c r="W31" s="124">
        <f t="shared" si="17"/>
        <v>1</v>
      </c>
      <c r="X31" s="123">
        <f t="shared" si="18"/>
        <v>1</v>
      </c>
    </row>
    <row r="32" spans="1:24">
      <c r="A32" s="133">
        <f t="shared" si="1"/>
        <v>2044</v>
      </c>
      <c r="B32" s="27">
        <f>B31*(1+'Data for Q3'!$K$15)</f>
        <v>9728.2499742140608</v>
      </c>
      <c r="C32" s="132">
        <f>1/(1+'Data for Q3'!$K$18)^(A32-$A$12-0.5)</f>
        <v>0.3861967975207608</v>
      </c>
      <c r="D32" s="131">
        <f t="shared" si="2"/>
        <v>62</v>
      </c>
      <c r="E32" s="129">
        <f>_xlfn.XLOOKUP(D32,'Data for Q3'!N:N,'Data for Q3'!O:O)</f>
        <v>4.2100000000000002E-3</v>
      </c>
      <c r="F32" s="129">
        <f t="shared" si="3"/>
        <v>0.96175155980279747</v>
      </c>
      <c r="G32" s="129">
        <f t="shared" si="4"/>
        <v>0.96378460596050641</v>
      </c>
      <c r="H32" s="130">
        <f t="shared" si="20"/>
        <v>0</v>
      </c>
      <c r="I32" s="129">
        <f t="shared" si="5"/>
        <v>0.65158795852435836</v>
      </c>
      <c r="J32" s="129">
        <f t="shared" si="6"/>
        <v>0.65158795852435836</v>
      </c>
      <c r="K32" s="134">
        <f t="shared" si="7"/>
        <v>78</v>
      </c>
      <c r="L32" s="127">
        <f>_xlfn.XLOOKUP(K32,'Data for Q3'!N:N,'Data for Q3'!O:O)</f>
        <v>2.0410000000000001E-2</v>
      </c>
      <c r="M32" s="127">
        <f t="shared" si="8"/>
        <v>0.82880241872512261</v>
      </c>
      <c r="N32" s="127">
        <f t="shared" si="9"/>
        <v>0.83743657044481135</v>
      </c>
      <c r="O32" s="135">
        <f t="shared" si="10"/>
        <v>0</v>
      </c>
      <c r="P32" s="127">
        <f t="shared" si="11"/>
        <v>1</v>
      </c>
      <c r="Q32" s="127">
        <f t="shared" si="12"/>
        <v>1</v>
      </c>
      <c r="R32" s="126">
        <f t="shared" si="13"/>
        <v>90</v>
      </c>
      <c r="S32" s="124">
        <f>_xlfn.XLOOKUP(R32,'Data for Q3'!N:N,'Data for Q3'!O:O)</f>
        <v>0.10238</v>
      </c>
      <c r="T32" s="124">
        <f t="shared" si="14"/>
        <v>0.45883786754272299</v>
      </c>
      <c r="U32" s="124">
        <f t="shared" si="15"/>
        <v>0.48500474265637022</v>
      </c>
      <c r="V32" s="136">
        <f t="shared" si="16"/>
        <v>0</v>
      </c>
      <c r="W32" s="124">
        <f t="shared" si="17"/>
        <v>1</v>
      </c>
      <c r="X32" s="123">
        <f t="shared" si="18"/>
        <v>1</v>
      </c>
    </row>
    <row r="33" spans="1:24">
      <c r="A33" s="133">
        <f t="shared" si="1"/>
        <v>2045</v>
      </c>
      <c r="B33" s="27">
        <f>B32*(1+'Data for Q3'!$K$15)</f>
        <v>10214.662472924765</v>
      </c>
      <c r="C33" s="132">
        <f>1/(1+'Data for Q3'!$K$18)^(A33-$A$12-0.5)</f>
        <v>0.36780647382929599</v>
      </c>
      <c r="D33" s="131">
        <f t="shared" si="2"/>
        <v>63</v>
      </c>
      <c r="E33" s="129">
        <f>_xlfn.XLOOKUP(D33,'Data for Q3'!N:N,'Data for Q3'!O:O)</f>
        <v>4.64E-3</v>
      </c>
      <c r="F33" s="129">
        <f t="shared" si="3"/>
        <v>0.9572890325653125</v>
      </c>
      <c r="G33" s="129">
        <f t="shared" si="4"/>
        <v>0.95952029618405499</v>
      </c>
      <c r="H33" s="130">
        <f t="shared" si="20"/>
        <v>0</v>
      </c>
      <c r="I33" s="129">
        <f t="shared" si="5"/>
        <v>0.65158795852435836</v>
      </c>
      <c r="J33" s="129">
        <f t="shared" si="6"/>
        <v>0.65158795852435836</v>
      </c>
      <c r="K33" s="134">
        <f t="shared" si="7"/>
        <v>79</v>
      </c>
      <c r="L33" s="127">
        <f>_xlfn.XLOOKUP(K33,'Data for Q3'!N:N,'Data for Q3'!O:O)</f>
        <v>2.2839999999999999E-2</v>
      </c>
      <c r="M33" s="127">
        <f t="shared" si="8"/>
        <v>0.80987257148144087</v>
      </c>
      <c r="N33" s="127">
        <f t="shared" si="9"/>
        <v>0.81933749510328169</v>
      </c>
      <c r="O33" s="135">
        <f t="shared" si="10"/>
        <v>0</v>
      </c>
      <c r="P33" s="127">
        <f t="shared" si="11"/>
        <v>1</v>
      </c>
      <c r="Q33" s="127">
        <f t="shared" si="12"/>
        <v>1</v>
      </c>
      <c r="R33" s="126">
        <f t="shared" si="13"/>
        <v>91</v>
      </c>
      <c r="S33" s="124">
        <f>_xlfn.XLOOKUP(R33,'Data for Q3'!N:N,'Data for Q3'!O:O)</f>
        <v>0.11683</v>
      </c>
      <c r="T33" s="124">
        <f t="shared" si="14"/>
        <v>0.40523183947770669</v>
      </c>
      <c r="U33" s="124">
        <f t="shared" si="15"/>
        <v>0.43203485351021481</v>
      </c>
      <c r="V33" s="136">
        <f t="shared" si="16"/>
        <v>0</v>
      </c>
      <c r="W33" s="124">
        <f t="shared" si="17"/>
        <v>1</v>
      </c>
      <c r="X33" s="123">
        <f t="shared" si="18"/>
        <v>1</v>
      </c>
    </row>
    <row r="34" spans="1:24">
      <c r="A34" s="133">
        <f t="shared" si="1"/>
        <v>2046</v>
      </c>
      <c r="B34" s="27">
        <f>B33*(1+'Data for Q3'!$K$15)</f>
        <v>10725.395596571003</v>
      </c>
      <c r="C34" s="132">
        <f>1/(1+'Data for Q3'!$K$18)^(A34-$A$12-0.5)</f>
        <v>0.35029187983742477</v>
      </c>
      <c r="D34" s="131">
        <f t="shared" si="2"/>
        <v>64</v>
      </c>
      <c r="E34" s="129">
        <f>_xlfn.XLOOKUP(D34,'Data for Q3'!N:N,'Data for Q3'!O:O)</f>
        <v>5.11E-3</v>
      </c>
      <c r="F34" s="129">
        <f t="shared" si="3"/>
        <v>0.9523972856089038</v>
      </c>
      <c r="G34" s="129">
        <f t="shared" si="4"/>
        <v>0.95484315908710815</v>
      </c>
      <c r="H34" s="130">
        <f t="shared" si="20"/>
        <v>0</v>
      </c>
      <c r="I34" s="129">
        <f t="shared" si="5"/>
        <v>0.65158795852435836</v>
      </c>
      <c r="J34" s="129">
        <f t="shared" si="6"/>
        <v>0.65158795852435836</v>
      </c>
      <c r="K34" s="134">
        <f t="shared" si="7"/>
        <v>80</v>
      </c>
      <c r="L34" s="127">
        <f>_xlfn.XLOOKUP(K34,'Data for Q3'!N:N,'Data for Q3'!O:O)</f>
        <v>2.571E-2</v>
      </c>
      <c r="M34" s="127">
        <f t="shared" si="8"/>
        <v>0.78905074766865302</v>
      </c>
      <c r="N34" s="127">
        <f t="shared" si="9"/>
        <v>0.799461659575047</v>
      </c>
      <c r="O34" s="135">
        <f t="shared" si="10"/>
        <v>0</v>
      </c>
      <c r="P34" s="127">
        <f t="shared" si="11"/>
        <v>1</v>
      </c>
      <c r="Q34" s="127">
        <f t="shared" si="12"/>
        <v>1</v>
      </c>
      <c r="R34" s="126">
        <f t="shared" si="13"/>
        <v>92</v>
      </c>
      <c r="S34" s="124">
        <f>_xlfn.XLOOKUP(R34,'Data for Q3'!N:N,'Data for Q3'!O:O)</f>
        <v>0.13261000000000001</v>
      </c>
      <c r="T34" s="124">
        <f t="shared" si="14"/>
        <v>0.35149404524456801</v>
      </c>
      <c r="U34" s="124">
        <f t="shared" si="15"/>
        <v>0.37836294236113732</v>
      </c>
      <c r="V34" s="136">
        <f t="shared" si="16"/>
        <v>0</v>
      </c>
      <c r="W34" s="124">
        <f t="shared" si="17"/>
        <v>1</v>
      </c>
      <c r="X34" s="123">
        <f t="shared" si="18"/>
        <v>1</v>
      </c>
    </row>
    <row r="35" spans="1:24">
      <c r="A35" s="133">
        <f t="shared" si="1"/>
        <v>2047</v>
      </c>
      <c r="B35" s="27">
        <f>B34*(1+'Data for Q3'!$K$15)</f>
        <v>11261.665376399553</v>
      </c>
      <c r="C35" s="132">
        <f>1/(1+'Data for Q3'!$K$18)^(A35-$A$12-0.5)</f>
        <v>0.33361131413088069</v>
      </c>
      <c r="D35" s="131">
        <f t="shared" si="2"/>
        <v>65</v>
      </c>
      <c r="E35" s="129">
        <f>_xlfn.XLOOKUP(D35,'Data for Q3'!N:N,'Data for Q3'!O:O)</f>
        <v>5.62E-3</v>
      </c>
      <c r="F35" s="129">
        <f t="shared" si="3"/>
        <v>0.94704481286378184</v>
      </c>
      <c r="G35" s="129">
        <f t="shared" si="4"/>
        <v>0.94972104923634282</v>
      </c>
      <c r="H35" s="130">
        <f t="shared" si="20"/>
        <v>0</v>
      </c>
      <c r="I35" s="129">
        <f t="shared" si="5"/>
        <v>0.65158795852435836</v>
      </c>
      <c r="J35" s="129">
        <f t="shared" si="6"/>
        <v>0.65158795852435836</v>
      </c>
      <c r="K35" s="134">
        <f t="shared" si="7"/>
        <v>81</v>
      </c>
      <c r="L35" s="127">
        <f>_xlfn.XLOOKUP(K35,'Data for Q3'!N:N,'Data for Q3'!O:O)</f>
        <v>2.913E-2</v>
      </c>
      <c r="M35" s="127">
        <f t="shared" si="8"/>
        <v>0.76606569938906521</v>
      </c>
      <c r="N35" s="127">
        <f t="shared" si="9"/>
        <v>0.77755822352885906</v>
      </c>
      <c r="O35" s="135">
        <f t="shared" si="10"/>
        <v>0</v>
      </c>
      <c r="P35" s="127">
        <f t="shared" si="11"/>
        <v>1</v>
      </c>
      <c r="Q35" s="127">
        <f t="shared" si="12"/>
        <v>1</v>
      </c>
      <c r="R35" s="126">
        <f t="shared" si="13"/>
        <v>93</v>
      </c>
      <c r="S35" s="124">
        <f>_xlfn.XLOOKUP(R35,'Data for Q3'!N:N,'Data for Q3'!O:O)</f>
        <v>0.14960999999999999</v>
      </c>
      <c r="T35" s="124">
        <f t="shared" si="14"/>
        <v>0.29890702113552819</v>
      </c>
      <c r="U35" s="124">
        <f t="shared" si="15"/>
        <v>0.3252005331900481</v>
      </c>
      <c r="V35" s="136">
        <f t="shared" si="16"/>
        <v>0</v>
      </c>
      <c r="W35" s="124">
        <f t="shared" si="17"/>
        <v>1</v>
      </c>
      <c r="X35" s="123">
        <f t="shared" si="18"/>
        <v>1</v>
      </c>
    </row>
    <row r="36" spans="1:24">
      <c r="A36" s="133">
        <f t="shared" si="1"/>
        <v>2048</v>
      </c>
      <c r="B36" s="27">
        <f>B35*(1+'Data for Q3'!$K$15)</f>
        <v>11824.748645219532</v>
      </c>
      <c r="C36" s="132">
        <f>1/(1+'Data for Q3'!$K$18)^(A36-$A$12-0.5)</f>
        <v>0.31772506107702925</v>
      </c>
      <c r="D36" s="131">
        <f t="shared" si="2"/>
        <v>66</v>
      </c>
      <c r="E36" s="129">
        <f>_xlfn.XLOOKUP(D36,'Data for Q3'!N:N,'Data for Q3'!O:O)</f>
        <v>6.1999999999999998E-3</v>
      </c>
      <c r="F36" s="129">
        <f t="shared" si="3"/>
        <v>0.94117313502402644</v>
      </c>
      <c r="G36" s="129">
        <f t="shared" si="4"/>
        <v>0.94410897394390414</v>
      </c>
      <c r="H36" s="130">
        <f t="shared" si="20"/>
        <v>0</v>
      </c>
      <c r="I36" s="129">
        <f t="shared" si="5"/>
        <v>0.65158795852435836</v>
      </c>
      <c r="J36" s="129">
        <f t="shared" si="6"/>
        <v>0.65158795852435836</v>
      </c>
      <c r="K36" s="134">
        <f t="shared" si="7"/>
        <v>82</v>
      </c>
      <c r="L36" s="127">
        <f>_xlfn.XLOOKUP(K36,'Data for Q3'!N:N,'Data for Q3'!O:O)</f>
        <v>3.32E-2</v>
      </c>
      <c r="M36" s="127">
        <f t="shared" si="8"/>
        <v>0.74063231816934827</v>
      </c>
      <c r="N36" s="127">
        <f t="shared" si="9"/>
        <v>0.75334900877920674</v>
      </c>
      <c r="O36" s="135">
        <f t="shared" si="10"/>
        <v>0</v>
      </c>
      <c r="P36" s="127">
        <f t="shared" si="11"/>
        <v>1</v>
      </c>
      <c r="Q36" s="127">
        <f t="shared" si="12"/>
        <v>1</v>
      </c>
      <c r="R36" s="126">
        <f t="shared" si="13"/>
        <v>94</v>
      </c>
      <c r="S36" s="124">
        <f>_xlfn.XLOOKUP(R36,'Data for Q3'!N:N,'Data for Q3'!O:O)</f>
        <v>0.16771</v>
      </c>
      <c r="T36" s="124">
        <f t="shared" si="14"/>
        <v>0.24877732462088875</v>
      </c>
      <c r="U36" s="124">
        <f t="shared" si="15"/>
        <v>0.2738421728782085</v>
      </c>
      <c r="V36" s="136">
        <f t="shared" si="16"/>
        <v>0</v>
      </c>
      <c r="W36" s="124">
        <f t="shared" si="17"/>
        <v>1</v>
      </c>
      <c r="X36" s="123">
        <f t="shared" si="18"/>
        <v>1</v>
      </c>
    </row>
    <row r="37" spans="1:24">
      <c r="A37" s="133">
        <f t="shared" si="1"/>
        <v>2049</v>
      </c>
      <c r="B37" s="27">
        <f>B36*(1+'Data for Q3'!$K$15)</f>
        <v>12415.986077480509</v>
      </c>
      <c r="C37" s="132">
        <f>1/(1+'Data for Q3'!$K$18)^(A37-$A$12-0.5)</f>
        <v>0.3025952962638373</v>
      </c>
      <c r="D37" s="131">
        <f t="shared" si="2"/>
        <v>67</v>
      </c>
      <c r="E37" s="129">
        <f>_xlfn.XLOOKUP(D37,'Data for Q3'!N:N,'Data for Q3'!O:O)</f>
        <v>6.8599999999999998E-3</v>
      </c>
      <c r="F37" s="129">
        <f t="shared" si="3"/>
        <v>0.9347166873177617</v>
      </c>
      <c r="G37" s="129">
        <f t="shared" si="4"/>
        <v>0.93794491117089396</v>
      </c>
      <c r="H37" s="130">
        <f t="shared" si="20"/>
        <v>0</v>
      </c>
      <c r="I37" s="129">
        <f t="shared" si="5"/>
        <v>0.65158795852435836</v>
      </c>
      <c r="J37" s="129">
        <f t="shared" si="6"/>
        <v>0.65158795852435836</v>
      </c>
      <c r="K37" s="134">
        <f t="shared" si="7"/>
        <v>83</v>
      </c>
      <c r="L37" s="127">
        <f>_xlfn.XLOOKUP(K37,'Data for Q3'!N:N,'Data for Q3'!O:O)</f>
        <v>3.805E-2</v>
      </c>
      <c r="M37" s="127">
        <f t="shared" si="8"/>
        <v>0.7124512584630045</v>
      </c>
      <c r="N37" s="127">
        <f t="shared" si="9"/>
        <v>0.72654178831617644</v>
      </c>
      <c r="O37" s="135">
        <f t="shared" si="10"/>
        <v>0</v>
      </c>
      <c r="P37" s="127">
        <f t="shared" si="11"/>
        <v>1</v>
      </c>
      <c r="Q37" s="127">
        <f t="shared" si="12"/>
        <v>1</v>
      </c>
      <c r="R37" s="126">
        <f t="shared" si="13"/>
        <v>95</v>
      </c>
      <c r="S37" s="124">
        <f>_xlfn.XLOOKUP(R37,'Data for Q3'!N:N,'Data for Q3'!O:O)</f>
        <v>0.18670999999999999</v>
      </c>
      <c r="T37" s="124">
        <f t="shared" si="14"/>
        <v>0.20232811034092263</v>
      </c>
      <c r="U37" s="124">
        <f t="shared" si="15"/>
        <v>0.22555271748090569</v>
      </c>
      <c r="V37" s="136">
        <f t="shared" si="16"/>
        <v>0</v>
      </c>
      <c r="W37" s="124">
        <f t="shared" si="17"/>
        <v>1</v>
      </c>
      <c r="X37" s="123">
        <f t="shared" si="18"/>
        <v>1</v>
      </c>
    </row>
    <row r="38" spans="1:24">
      <c r="A38" s="133">
        <f t="shared" si="1"/>
        <v>2050</v>
      </c>
      <c r="B38" s="27">
        <f>B37*(1+'Data for Q3'!$K$15)</f>
        <v>13036.785381354535</v>
      </c>
      <c r="C38" s="132">
        <f>1/(1+'Data for Q3'!$K$18)^(A38-$A$12-0.5)</f>
        <v>0.28818599644174986</v>
      </c>
      <c r="D38" s="131">
        <f t="shared" si="2"/>
        <v>68</v>
      </c>
      <c r="E38" s="129">
        <f>_xlfn.XLOOKUP(D38,'Data for Q3'!N:N,'Data for Q3'!O:O)</f>
        <v>7.6099999999999996E-3</v>
      </c>
      <c r="F38" s="129">
        <f t="shared" si="3"/>
        <v>0.92760349332727354</v>
      </c>
      <c r="G38" s="129">
        <f t="shared" si="4"/>
        <v>0.93116009032251768</v>
      </c>
      <c r="H38" s="130">
        <f t="shared" si="20"/>
        <v>0</v>
      </c>
      <c r="I38" s="129">
        <f t="shared" si="5"/>
        <v>0.65158795852435836</v>
      </c>
      <c r="J38" s="129">
        <f t="shared" si="6"/>
        <v>0.65158795852435836</v>
      </c>
      <c r="K38" s="134">
        <f t="shared" si="7"/>
        <v>84</v>
      </c>
      <c r="L38" s="127">
        <f>_xlfn.XLOOKUP(K38,'Data for Q3'!N:N,'Data for Q3'!O:O)</f>
        <v>4.3770000000000003E-2</v>
      </c>
      <c r="M38" s="127">
        <f t="shared" si="8"/>
        <v>0.68126726688007877</v>
      </c>
      <c r="N38" s="127">
        <f t="shared" si="9"/>
        <v>0.69685926267154163</v>
      </c>
      <c r="O38" s="135">
        <f t="shared" si="10"/>
        <v>0</v>
      </c>
      <c r="P38" s="127">
        <f t="shared" si="11"/>
        <v>1</v>
      </c>
      <c r="Q38" s="127">
        <f t="shared" si="12"/>
        <v>1</v>
      </c>
      <c r="R38" s="126">
        <f t="shared" si="13"/>
        <v>96</v>
      </c>
      <c r="S38" s="124">
        <f>_xlfn.XLOOKUP(R38,'Data for Q3'!N:N,'Data for Q3'!O:O)</f>
        <v>0.20644000000000001</v>
      </c>
      <c r="T38" s="124">
        <f t="shared" si="14"/>
        <v>0.16055949524214258</v>
      </c>
      <c r="U38" s="124">
        <f t="shared" si="15"/>
        <v>0.1814438027915326</v>
      </c>
      <c r="V38" s="136">
        <f t="shared" si="16"/>
        <v>0</v>
      </c>
      <c r="W38" s="124">
        <f t="shared" si="17"/>
        <v>1</v>
      </c>
      <c r="X38" s="123">
        <f t="shared" si="18"/>
        <v>1</v>
      </c>
    </row>
    <row r="39" spans="1:24">
      <c r="A39" s="133">
        <f t="shared" si="1"/>
        <v>2051</v>
      </c>
      <c r="B39" s="27">
        <f>B38*(1+'Data for Q3'!$K$15)</f>
        <v>13688.624650422262</v>
      </c>
      <c r="C39" s="132">
        <f>1/(1+'Data for Q3'!$K$18)^(A39-$A$12-0.5)</f>
        <v>0.27446285375404744</v>
      </c>
      <c r="D39" s="131">
        <f t="shared" si="2"/>
        <v>69</v>
      </c>
      <c r="E39" s="129">
        <f>_xlfn.XLOOKUP(D39,'Data for Q3'!N:N,'Data for Q3'!O:O)</f>
        <v>8.4399999999999996E-3</v>
      </c>
      <c r="F39" s="129">
        <f t="shared" si="3"/>
        <v>0.91977451984359138</v>
      </c>
      <c r="G39" s="129">
        <f t="shared" si="4"/>
        <v>0.9236890065854324</v>
      </c>
      <c r="H39" s="130">
        <f t="shared" si="20"/>
        <v>0</v>
      </c>
      <c r="I39" s="129">
        <f t="shared" si="5"/>
        <v>0.65158795852435836</v>
      </c>
      <c r="J39" s="129">
        <f t="shared" si="6"/>
        <v>0.65158795852435836</v>
      </c>
      <c r="K39" s="134">
        <f t="shared" si="7"/>
        <v>85</v>
      </c>
      <c r="L39" s="127">
        <f>_xlfn.XLOOKUP(K39,'Data for Q3'!N:N,'Data for Q3'!O:O)</f>
        <v>5.0500000000000003E-2</v>
      </c>
      <c r="M39" s="127">
        <f t="shared" si="8"/>
        <v>0.64686326990263476</v>
      </c>
      <c r="N39" s="127">
        <f t="shared" si="9"/>
        <v>0.66406526839135682</v>
      </c>
      <c r="O39" s="135">
        <f t="shared" si="10"/>
        <v>0</v>
      </c>
      <c r="P39" s="127">
        <f t="shared" si="11"/>
        <v>1</v>
      </c>
      <c r="Q39" s="127">
        <f t="shared" si="12"/>
        <v>1</v>
      </c>
      <c r="R39" s="126">
        <f t="shared" si="13"/>
        <v>97</v>
      </c>
      <c r="S39" s="124">
        <f>_xlfn.XLOOKUP(R39,'Data for Q3'!N:N,'Data for Q3'!O:O)</f>
        <v>0.22670000000000001</v>
      </c>
      <c r="T39" s="124">
        <f t="shared" si="14"/>
        <v>0.12416065767074885</v>
      </c>
      <c r="U39" s="124">
        <f t="shared" si="15"/>
        <v>0.14236007645644572</v>
      </c>
      <c r="V39" s="136">
        <f t="shared" si="16"/>
        <v>0</v>
      </c>
      <c r="W39" s="124">
        <f t="shared" si="17"/>
        <v>1</v>
      </c>
      <c r="X39" s="123">
        <f t="shared" si="18"/>
        <v>1</v>
      </c>
    </row>
    <row r="40" spans="1:24">
      <c r="A40" s="133">
        <f t="shared" si="1"/>
        <v>2052</v>
      </c>
      <c r="B40" s="27">
        <f>B39*(1+'Data for Q3'!$K$15)</f>
        <v>14373.055882943376</v>
      </c>
      <c r="C40" s="132">
        <f>1/(1+'Data for Q3'!$K$18)^(A40-$A$12-0.5)</f>
        <v>0.26139319405147377</v>
      </c>
      <c r="D40" s="131">
        <f t="shared" si="2"/>
        <v>70</v>
      </c>
      <c r="E40" s="129">
        <f>_xlfn.XLOOKUP(D40,'Data for Q3'!N:N,'Data for Q3'!O:O)</f>
        <v>9.3399999999999993E-3</v>
      </c>
      <c r="F40" s="129">
        <f t="shared" si="3"/>
        <v>0.91118382582825219</v>
      </c>
      <c r="G40" s="129">
        <f t="shared" si="4"/>
        <v>0.91547917283592184</v>
      </c>
      <c r="H40" s="130">
        <f t="shared" si="20"/>
        <v>0</v>
      </c>
      <c r="I40" s="129">
        <f t="shared" si="5"/>
        <v>0.65158795852435836</v>
      </c>
      <c r="J40" s="129">
        <f t="shared" si="6"/>
        <v>0.65158795852435836</v>
      </c>
      <c r="K40" s="134">
        <f t="shared" si="7"/>
        <v>86</v>
      </c>
      <c r="L40" s="127">
        <f>_xlfn.XLOOKUP(K40,'Data for Q3'!N:N,'Data for Q3'!O:O)</f>
        <v>5.8319999999999997E-2</v>
      </c>
      <c r="M40" s="127">
        <f t="shared" si="8"/>
        <v>0.6091382040019131</v>
      </c>
      <c r="N40" s="127">
        <f t="shared" si="9"/>
        <v>0.62800073695227399</v>
      </c>
      <c r="O40" s="135">
        <f t="shared" si="10"/>
        <v>0</v>
      </c>
      <c r="P40" s="127">
        <f t="shared" si="11"/>
        <v>1</v>
      </c>
      <c r="Q40" s="127">
        <f t="shared" si="12"/>
        <v>1</v>
      </c>
      <c r="R40" s="126">
        <f t="shared" si="13"/>
        <v>98</v>
      </c>
      <c r="S40" s="124">
        <f>_xlfn.XLOOKUP(R40,'Data for Q3'!N:N,'Data for Q3'!O:O)</f>
        <v>0.24728</v>
      </c>
      <c r="T40" s="124">
        <f t="shared" si="14"/>
        <v>9.345821024192609E-2</v>
      </c>
      <c r="U40" s="124">
        <f t="shared" si="15"/>
        <v>0.10880943395633746</v>
      </c>
      <c r="V40" s="136">
        <f t="shared" si="16"/>
        <v>0</v>
      </c>
      <c r="W40" s="124">
        <f t="shared" si="17"/>
        <v>1</v>
      </c>
      <c r="X40" s="123">
        <f t="shared" si="18"/>
        <v>1</v>
      </c>
    </row>
    <row r="41" spans="1:24">
      <c r="A41" s="133">
        <f t="shared" si="1"/>
        <v>2053</v>
      </c>
      <c r="B41" s="27">
        <f>B40*(1+'Data for Q3'!$K$15)</f>
        <v>15091.708677090544</v>
      </c>
      <c r="C41" s="132">
        <f>1/(1+'Data for Q3'!$K$18)^(A41-$A$12-0.5)</f>
        <v>0.24894589909664167</v>
      </c>
      <c r="D41" s="131">
        <f t="shared" si="2"/>
        <v>71</v>
      </c>
      <c r="E41" s="129">
        <f>_xlfn.XLOOKUP(D41,'Data for Q3'!N:N,'Data for Q3'!O:O)</f>
        <v>1.031E-2</v>
      </c>
      <c r="F41" s="129">
        <f t="shared" si="3"/>
        <v>0.90178952058396289</v>
      </c>
      <c r="G41" s="129">
        <f t="shared" si="4"/>
        <v>0.90648667320610754</v>
      </c>
      <c r="H41" s="130">
        <f t="shared" si="20"/>
        <v>0</v>
      </c>
      <c r="I41" s="129">
        <f t="shared" si="5"/>
        <v>0.65158795852435836</v>
      </c>
      <c r="J41" s="129">
        <f t="shared" si="6"/>
        <v>0.65158795852435836</v>
      </c>
      <c r="K41" s="134">
        <f t="shared" si="7"/>
        <v>87</v>
      </c>
      <c r="L41" s="127">
        <f>_xlfn.XLOOKUP(K41,'Data for Q3'!N:N,'Data for Q3'!O:O)</f>
        <v>6.7339999999999997E-2</v>
      </c>
      <c r="M41" s="127">
        <f t="shared" si="8"/>
        <v>0.56811883734442425</v>
      </c>
      <c r="N41" s="127">
        <f t="shared" si="9"/>
        <v>0.58862852067316873</v>
      </c>
      <c r="O41" s="135">
        <f t="shared" si="10"/>
        <v>0</v>
      </c>
      <c r="P41" s="127">
        <f t="shared" si="11"/>
        <v>1</v>
      </c>
      <c r="Q41" s="127">
        <f t="shared" si="12"/>
        <v>1</v>
      </c>
      <c r="R41" s="126">
        <f t="shared" si="13"/>
        <v>99</v>
      </c>
      <c r="S41" s="124">
        <f>_xlfn.XLOOKUP(R41,'Data for Q3'!N:N,'Data for Q3'!O:O)</f>
        <v>0.26871</v>
      </c>
      <c r="T41" s="124">
        <f t="shared" si="14"/>
        <v>6.8345054567818128E-2</v>
      </c>
      <c r="U41" s="124">
        <f t="shared" si="15"/>
        <v>8.0901632404872109E-2</v>
      </c>
      <c r="V41" s="136">
        <f t="shared" si="16"/>
        <v>0</v>
      </c>
      <c r="W41" s="124">
        <f t="shared" si="17"/>
        <v>1</v>
      </c>
      <c r="X41" s="123">
        <f t="shared" si="18"/>
        <v>1</v>
      </c>
    </row>
    <row r="42" spans="1:24">
      <c r="A42" s="133">
        <f t="shared" si="1"/>
        <v>2054</v>
      </c>
      <c r="B42" s="27">
        <f>B41*(1+'Data for Q3'!$K$15)</f>
        <v>15846.294110945073</v>
      </c>
      <c r="C42" s="132">
        <f>1/(1+'Data for Q3'!$K$18)^(A42-$A$12-0.5)</f>
        <v>0.23709133247299205</v>
      </c>
      <c r="D42" s="131">
        <f t="shared" si="2"/>
        <v>72</v>
      </c>
      <c r="E42" s="129">
        <f>_xlfn.XLOOKUP(D42,'Data for Q3'!N:N,'Data for Q3'!O:O)</f>
        <v>1.1339999999999999E-2</v>
      </c>
      <c r="F42" s="129">
        <f t="shared" si="3"/>
        <v>0.89156322742054073</v>
      </c>
      <c r="G42" s="129">
        <f t="shared" si="4"/>
        <v>0.89667637400225186</v>
      </c>
      <c r="H42" s="130">
        <f t="shared" si="20"/>
        <v>0</v>
      </c>
      <c r="I42" s="129">
        <f t="shared" si="5"/>
        <v>0.65158795852435836</v>
      </c>
      <c r="J42" s="129">
        <f t="shared" si="6"/>
        <v>0.65158795852435836</v>
      </c>
      <c r="K42" s="134">
        <f t="shared" si="7"/>
        <v>88</v>
      </c>
      <c r="L42" s="127">
        <f>_xlfn.XLOOKUP(K42,'Data for Q3'!N:N,'Data for Q3'!O:O)</f>
        <v>7.7649999999999997E-2</v>
      </c>
      <c r="M42" s="127">
        <f t="shared" si="8"/>
        <v>0.52400440962462969</v>
      </c>
      <c r="N42" s="127">
        <f t="shared" si="9"/>
        <v>0.54606162348452703</v>
      </c>
      <c r="O42" s="135">
        <f t="shared" si="10"/>
        <v>0</v>
      </c>
      <c r="P42" s="127">
        <f t="shared" si="11"/>
        <v>1</v>
      </c>
      <c r="Q42" s="127">
        <f t="shared" si="12"/>
        <v>1</v>
      </c>
      <c r="R42" s="126">
        <f t="shared" si="13"/>
        <v>100</v>
      </c>
      <c r="S42" s="124">
        <f>_xlfn.XLOOKUP(R42,'Data for Q3'!N:N,'Data for Q3'!O:O)</f>
        <v>0.29127999999999998</v>
      </c>
      <c r="T42" s="124">
        <f t="shared" si="14"/>
        <v>4.8437507073304062E-2</v>
      </c>
      <c r="U42" s="124">
        <f t="shared" si="15"/>
        <v>5.8391280820561095E-2</v>
      </c>
      <c r="V42" s="136">
        <f t="shared" si="16"/>
        <v>0</v>
      </c>
      <c r="W42" s="124">
        <f t="shared" si="17"/>
        <v>1</v>
      </c>
      <c r="X42" s="123">
        <f t="shared" si="18"/>
        <v>1</v>
      </c>
    </row>
    <row r="43" spans="1:24">
      <c r="A43" s="133">
        <f t="shared" si="1"/>
        <v>2055</v>
      </c>
      <c r="B43" s="27">
        <f>B42*(1+'Data for Q3'!$K$15)</f>
        <v>16638.608816492328</v>
      </c>
      <c r="C43" s="132">
        <f>1/(1+'Data for Q3'!$K$18)^(A43-$A$12-0.5)</f>
        <v>0.22580126902189715</v>
      </c>
      <c r="D43" s="131">
        <f t="shared" si="2"/>
        <v>73</v>
      </c>
      <c r="E43" s="129">
        <f>_xlfn.XLOOKUP(D43,'Data for Q3'!N:N,'Data for Q3'!O:O)</f>
        <v>1.244E-2</v>
      </c>
      <c r="F43" s="129">
        <f t="shared" si="3"/>
        <v>0.8804721808714292</v>
      </c>
      <c r="G43" s="129">
        <f t="shared" si="4"/>
        <v>0.88601770414598491</v>
      </c>
      <c r="H43" s="130">
        <f t="shared" si="20"/>
        <v>0</v>
      </c>
      <c r="I43" s="129">
        <f t="shared" si="5"/>
        <v>0.65158795852435836</v>
      </c>
      <c r="J43" s="129">
        <f t="shared" si="6"/>
        <v>0.65158795852435836</v>
      </c>
      <c r="K43" s="134">
        <f t="shared" si="7"/>
        <v>89</v>
      </c>
      <c r="L43" s="127">
        <f>_xlfn.XLOOKUP(K43,'Data for Q3'!N:N,'Data for Q3'!O:O)</f>
        <v>8.9319999999999997E-2</v>
      </c>
      <c r="M43" s="127">
        <f t="shared" si="8"/>
        <v>0.47720033575695781</v>
      </c>
      <c r="N43" s="127">
        <f t="shared" si="9"/>
        <v>0.50060237269079366</v>
      </c>
      <c r="O43" s="135">
        <f t="shared" si="10"/>
        <v>0</v>
      </c>
      <c r="P43" s="127">
        <f t="shared" si="11"/>
        <v>1</v>
      </c>
      <c r="Q43" s="127">
        <f t="shared" si="12"/>
        <v>1</v>
      </c>
      <c r="R43" s="126">
        <f t="shared" si="13"/>
        <v>101</v>
      </c>
      <c r="S43" s="124">
        <f>_xlfn.XLOOKUP(R43,'Data for Q3'!N:N,'Data for Q3'!O:O)</f>
        <v>0.31508000000000003</v>
      </c>
      <c r="T43" s="124">
        <f t="shared" si="14"/>
        <v>3.3175817344647418E-2</v>
      </c>
      <c r="U43" s="124">
        <f t="shared" si="15"/>
        <v>4.080666220897574E-2</v>
      </c>
      <c r="V43" s="136">
        <f t="shared" si="16"/>
        <v>0</v>
      </c>
      <c r="W43" s="124">
        <f t="shared" si="17"/>
        <v>1</v>
      </c>
      <c r="X43" s="123">
        <f t="shared" si="18"/>
        <v>1</v>
      </c>
    </row>
    <row r="44" spans="1:24">
      <c r="A44" s="133">
        <f t="shared" si="1"/>
        <v>2056</v>
      </c>
      <c r="B44" s="27">
        <f>B43*(1+'Data for Q3'!$K$15)</f>
        <v>17470.539257316945</v>
      </c>
      <c r="C44" s="132">
        <f>1/(1+'Data for Q3'!$K$18)^(A44-$A$12-0.5)</f>
        <v>0.21504882763990207</v>
      </c>
      <c r="D44" s="131">
        <f t="shared" si="2"/>
        <v>74</v>
      </c>
      <c r="E44" s="129">
        <f>_xlfn.XLOOKUP(D44,'Data for Q3'!N:N,'Data for Q3'!O:O)</f>
        <v>1.366E-2</v>
      </c>
      <c r="F44" s="129">
        <f t="shared" si="3"/>
        <v>0.8684449308807255</v>
      </c>
      <c r="G44" s="129">
        <f t="shared" si="4"/>
        <v>0.87445855587607735</v>
      </c>
      <c r="H44" s="130">
        <f t="shared" si="20"/>
        <v>0</v>
      </c>
      <c r="I44" s="129">
        <f t="shared" si="5"/>
        <v>0.65158795852435836</v>
      </c>
      <c r="J44" s="129">
        <f t="shared" si="6"/>
        <v>0.65158795852435836</v>
      </c>
      <c r="K44" s="134">
        <f t="shared" si="7"/>
        <v>90</v>
      </c>
      <c r="L44" s="127">
        <f>_xlfn.XLOOKUP(K44,'Data for Q3'!N:N,'Data for Q3'!O:O)</f>
        <v>0.10238</v>
      </c>
      <c r="M44" s="127">
        <f t="shared" si="8"/>
        <v>0.42834456538216042</v>
      </c>
      <c r="N44" s="127">
        <f t="shared" si="9"/>
        <v>0.45277245056955917</v>
      </c>
      <c r="O44" s="135">
        <f t="shared" si="10"/>
        <v>0</v>
      </c>
      <c r="P44" s="127">
        <f t="shared" si="11"/>
        <v>1</v>
      </c>
      <c r="Q44" s="127">
        <f t="shared" si="12"/>
        <v>1</v>
      </c>
      <c r="R44" s="126">
        <f t="shared" si="13"/>
        <v>102</v>
      </c>
      <c r="S44" s="124">
        <f>_xlfn.XLOOKUP(R44,'Data for Q3'!N:N,'Data for Q3'!O:O)</f>
        <v>0.33994999999999997</v>
      </c>
      <c r="T44" s="124">
        <f t="shared" si="14"/>
        <v>2.1897698238334529E-2</v>
      </c>
      <c r="U44" s="124">
        <f t="shared" si="15"/>
        <v>2.7536757791490972E-2</v>
      </c>
      <c r="V44" s="136">
        <f t="shared" si="16"/>
        <v>0</v>
      </c>
      <c r="W44" s="124">
        <f t="shared" si="17"/>
        <v>1</v>
      </c>
      <c r="X44" s="123">
        <f t="shared" si="18"/>
        <v>1</v>
      </c>
    </row>
    <row r="45" spans="1:24">
      <c r="A45" s="133">
        <f t="shared" ref="A45:A76" si="21">A44+1</f>
        <v>2057</v>
      </c>
      <c r="B45" s="27">
        <f>B44*(1+'Data for Q3'!$K$15)</f>
        <v>18344.066220182794</v>
      </c>
      <c r="C45" s="132">
        <f>1/(1+'Data for Q3'!$K$18)^(A45-$A$12-0.5)</f>
        <v>0.20480840727609717</v>
      </c>
      <c r="D45" s="131">
        <f t="shared" ref="D45:D76" si="22">D44+1</f>
        <v>75</v>
      </c>
      <c r="E45" s="129">
        <f>_xlfn.XLOOKUP(D45,'Data for Q3'!N:N,'Data for Q3'!O:O)</f>
        <v>1.502E-2</v>
      </c>
      <c r="F45" s="129">
        <f t="shared" ref="F45:F76" si="23">(1-E45)*F44</f>
        <v>0.85540088801889702</v>
      </c>
      <c r="G45" s="129">
        <f t="shared" ref="G45:G76" si="24">(1-E45/2)*F44</f>
        <v>0.8619229094498112</v>
      </c>
      <c r="H45" s="130">
        <f t="shared" si="20"/>
        <v>0</v>
      </c>
      <c r="I45" s="129">
        <f t="shared" ref="I45:I76" si="25">(1-H45)*I44</f>
        <v>0.65158795852435836</v>
      </c>
      <c r="J45" s="129">
        <f t="shared" ref="J45:J76" si="26">(1-H45/2)*I44</f>
        <v>0.65158795852435836</v>
      </c>
      <c r="K45" s="134">
        <f t="shared" ref="K45:K69" si="27">K44+1</f>
        <v>91</v>
      </c>
      <c r="L45" s="127">
        <f>_xlfn.XLOOKUP(K45,'Data for Q3'!N:N,'Data for Q3'!O:O)</f>
        <v>0.11683</v>
      </c>
      <c r="M45" s="127">
        <f t="shared" ref="M45:M69" si="28">(1-L45)*M44</f>
        <v>0.37830106980856265</v>
      </c>
      <c r="N45" s="127">
        <f t="shared" ref="N45:N69" si="29">(1-L45/2)*M44</f>
        <v>0.40332281759536154</v>
      </c>
      <c r="O45" s="135">
        <f t="shared" ref="O45:O69" si="30">O44</f>
        <v>0</v>
      </c>
      <c r="P45" s="127">
        <f t="shared" ref="P45:P69" si="31">(1-O45)*P44</f>
        <v>1</v>
      </c>
      <c r="Q45" s="127">
        <f t="shared" ref="Q45:Q69" si="32">(1-O45/2)*P44</f>
        <v>1</v>
      </c>
      <c r="R45" s="126">
        <f t="shared" si="13"/>
        <v>103</v>
      </c>
      <c r="S45" s="124">
        <f>_xlfn.XLOOKUP(R45,'Data for Q3'!N:N,'Data for Q3'!O:O)</f>
        <v>0.36552000000000001</v>
      </c>
      <c r="T45" s="124">
        <f t="shared" si="14"/>
        <v>1.3893651578258491E-2</v>
      </c>
      <c r="U45" s="124">
        <f t="shared" si="15"/>
        <v>1.7895674908296511E-2</v>
      </c>
      <c r="V45" s="136">
        <f t="shared" si="16"/>
        <v>0</v>
      </c>
      <c r="W45" s="124">
        <f t="shared" si="17"/>
        <v>1</v>
      </c>
      <c r="X45" s="123">
        <f t="shared" si="18"/>
        <v>1</v>
      </c>
    </row>
    <row r="46" spans="1:24">
      <c r="A46" s="133">
        <f t="shared" si="21"/>
        <v>2058</v>
      </c>
      <c r="B46" s="27">
        <f>B45*(1+'Data for Q3'!$K$15)</f>
        <v>19261.269531191934</v>
      </c>
      <c r="C46" s="132">
        <f>1/(1+'Data for Q3'!$K$18)^(A46-$A$12-0.5)</f>
        <v>0.19505562597723539</v>
      </c>
      <c r="D46" s="131">
        <f t="shared" si="22"/>
        <v>76</v>
      </c>
      <c r="E46" s="129">
        <f>_xlfn.XLOOKUP(D46,'Data for Q3'!N:N,'Data for Q3'!O:O)</f>
        <v>1.6559999999999998E-2</v>
      </c>
      <c r="F46" s="129">
        <f t="shared" si="23"/>
        <v>0.84123544931330407</v>
      </c>
      <c r="G46" s="129">
        <f t="shared" si="24"/>
        <v>0.84831816866610055</v>
      </c>
      <c r="H46" s="130">
        <f t="shared" si="20"/>
        <v>0</v>
      </c>
      <c r="I46" s="129">
        <f t="shared" si="25"/>
        <v>0.65158795852435836</v>
      </c>
      <c r="J46" s="129">
        <f t="shared" si="26"/>
        <v>0.65158795852435836</v>
      </c>
      <c r="K46" s="134">
        <f t="shared" si="27"/>
        <v>92</v>
      </c>
      <c r="L46" s="127">
        <f>_xlfn.XLOOKUP(K46,'Data for Q3'!N:N,'Data for Q3'!O:O)</f>
        <v>0.13261000000000001</v>
      </c>
      <c r="M46" s="127">
        <f t="shared" si="28"/>
        <v>0.32813456494124915</v>
      </c>
      <c r="N46" s="127">
        <f t="shared" si="29"/>
        <v>0.35321781737490587</v>
      </c>
      <c r="O46" s="135">
        <f t="shared" si="30"/>
        <v>0</v>
      </c>
      <c r="P46" s="127">
        <f t="shared" si="31"/>
        <v>1</v>
      </c>
      <c r="Q46" s="127">
        <f t="shared" si="32"/>
        <v>1</v>
      </c>
      <c r="R46" s="126">
        <f t="shared" si="13"/>
        <v>104</v>
      </c>
      <c r="S46" s="124">
        <f>_xlfn.XLOOKUP(R46,'Data for Q3'!N:N,'Data for Q3'!O:O)</f>
        <v>0.39119999999999999</v>
      </c>
      <c r="T46" s="124">
        <f t="shared" si="14"/>
        <v>8.4584550808437693E-3</v>
      </c>
      <c r="U46" s="124">
        <f t="shared" si="15"/>
        <v>1.1176053329551131E-2</v>
      </c>
      <c r="V46" s="136">
        <f t="shared" si="16"/>
        <v>0</v>
      </c>
      <c r="W46" s="124">
        <f t="shared" si="17"/>
        <v>1</v>
      </c>
      <c r="X46" s="123">
        <f t="shared" si="18"/>
        <v>1</v>
      </c>
    </row>
    <row r="47" spans="1:24">
      <c r="A47" s="133">
        <f t="shared" si="21"/>
        <v>2059</v>
      </c>
      <c r="B47" s="27">
        <f>B46*(1+'Data for Q3'!$K$15)</f>
        <v>20224.333007751531</v>
      </c>
      <c r="C47" s="132">
        <f>1/(1+'Data for Q3'!$K$18)^(A47-$A$12-0.5)</f>
        <v>0.18576726283546227</v>
      </c>
      <c r="D47" s="131">
        <f t="shared" si="22"/>
        <v>77</v>
      </c>
      <c r="E47" s="129">
        <f>_xlfn.XLOOKUP(D47,'Data for Q3'!N:N,'Data for Q3'!O:O)</f>
        <v>1.8339999999999999E-2</v>
      </c>
      <c r="F47" s="129">
        <f t="shared" si="23"/>
        <v>0.82580719117289803</v>
      </c>
      <c r="G47" s="129">
        <f t="shared" si="24"/>
        <v>0.8335213202431011</v>
      </c>
      <c r="H47" s="130">
        <f t="shared" si="20"/>
        <v>0</v>
      </c>
      <c r="I47" s="129">
        <f t="shared" si="25"/>
        <v>0.65158795852435836</v>
      </c>
      <c r="J47" s="129">
        <f t="shared" si="26"/>
        <v>0.65158795852435836</v>
      </c>
      <c r="K47" s="134">
        <f t="shared" si="27"/>
        <v>93</v>
      </c>
      <c r="L47" s="127">
        <f>_xlfn.XLOOKUP(K47,'Data for Q3'!N:N,'Data for Q3'!O:O)</f>
        <v>0.14960999999999999</v>
      </c>
      <c r="M47" s="127">
        <f t="shared" si="28"/>
        <v>0.27904235268038885</v>
      </c>
      <c r="N47" s="127">
        <f t="shared" si="29"/>
        <v>0.30358845881081903</v>
      </c>
      <c r="O47" s="135">
        <f t="shared" si="30"/>
        <v>0</v>
      </c>
      <c r="P47" s="127">
        <f t="shared" si="31"/>
        <v>1</v>
      </c>
      <c r="Q47" s="127">
        <f t="shared" si="32"/>
        <v>1</v>
      </c>
      <c r="R47" s="126">
        <f t="shared" si="13"/>
        <v>105</v>
      </c>
      <c r="S47" s="124">
        <f>_xlfn.XLOOKUP(R47,'Data for Q3'!N:N,'Data for Q3'!O:O)</f>
        <v>0.41615999999999997</v>
      </c>
      <c r="T47" s="124">
        <f t="shared" si="14"/>
        <v>4.9383844143998266E-3</v>
      </c>
      <c r="U47" s="124">
        <f t="shared" si="15"/>
        <v>6.6984197476217975E-3</v>
      </c>
      <c r="V47" s="136">
        <f t="shared" si="16"/>
        <v>0</v>
      </c>
      <c r="W47" s="124">
        <f t="shared" si="17"/>
        <v>1</v>
      </c>
      <c r="X47" s="123">
        <f t="shared" si="18"/>
        <v>1</v>
      </c>
    </row>
    <row r="48" spans="1:24">
      <c r="A48" s="133">
        <f t="shared" si="21"/>
        <v>2060</v>
      </c>
      <c r="B48" s="27">
        <f>B47*(1+'Data for Q3'!$K$15)</f>
        <v>21235.549658139109</v>
      </c>
      <c r="C48" s="132">
        <f>1/(1+'Data for Q3'!$K$18)^(A48-$A$12-0.5)</f>
        <v>0.17692120270044026</v>
      </c>
      <c r="D48" s="131">
        <f t="shared" si="22"/>
        <v>78</v>
      </c>
      <c r="E48" s="129">
        <f>_xlfn.XLOOKUP(D48,'Data for Q3'!N:N,'Data for Q3'!O:O)</f>
        <v>2.0410000000000001E-2</v>
      </c>
      <c r="F48" s="129">
        <f t="shared" si="23"/>
        <v>0.80895246640105911</v>
      </c>
      <c r="G48" s="129">
        <f t="shared" si="24"/>
        <v>0.81737982878697857</v>
      </c>
      <c r="H48" s="130">
        <f t="shared" si="20"/>
        <v>0</v>
      </c>
      <c r="I48" s="129">
        <f t="shared" si="25"/>
        <v>0.65158795852435836</v>
      </c>
      <c r="J48" s="129">
        <f t="shared" si="26"/>
        <v>0.65158795852435836</v>
      </c>
      <c r="K48" s="134">
        <f t="shared" si="27"/>
        <v>94</v>
      </c>
      <c r="L48" s="127">
        <f>_xlfn.XLOOKUP(K48,'Data for Q3'!N:N,'Data for Q3'!O:O)</f>
        <v>0.16771</v>
      </c>
      <c r="M48" s="127">
        <f t="shared" si="28"/>
        <v>0.23224415971236084</v>
      </c>
      <c r="N48" s="127">
        <f t="shared" si="29"/>
        <v>0.25564325619637485</v>
      </c>
      <c r="O48" s="135">
        <f t="shared" si="30"/>
        <v>0</v>
      </c>
      <c r="P48" s="127">
        <f t="shared" si="31"/>
        <v>1</v>
      </c>
      <c r="Q48" s="127">
        <f t="shared" si="32"/>
        <v>1</v>
      </c>
      <c r="R48" s="126">
        <f t="shared" si="13"/>
        <v>106</v>
      </c>
      <c r="S48" s="124">
        <f>_xlfn.XLOOKUP(R48,'Data for Q3'!N:N,'Data for Q3'!O:O)</f>
        <v>0.43936999999999998</v>
      </c>
      <c r="T48" s="124">
        <f t="shared" si="14"/>
        <v>2.7686064542449748E-3</v>
      </c>
      <c r="U48" s="124">
        <f t="shared" si="15"/>
        <v>3.8534954343224007E-3</v>
      </c>
      <c r="V48" s="136">
        <f t="shared" si="16"/>
        <v>0</v>
      </c>
      <c r="W48" s="124">
        <f t="shared" si="17"/>
        <v>1</v>
      </c>
      <c r="X48" s="123">
        <f t="shared" si="18"/>
        <v>1</v>
      </c>
    </row>
    <row r="49" spans="1:24">
      <c r="A49" s="133">
        <f t="shared" si="21"/>
        <v>2061</v>
      </c>
      <c r="B49" s="27">
        <f>B48*(1+'Data for Q3'!$K$15)</f>
        <v>22297.327141046066</v>
      </c>
      <c r="C49" s="132">
        <f>1/(1+'Data for Q3'!$K$18)^(A49-$A$12-0.5)</f>
        <v>0.1684963835242288</v>
      </c>
      <c r="D49" s="131">
        <f t="shared" si="22"/>
        <v>79</v>
      </c>
      <c r="E49" s="129">
        <f>_xlfn.XLOOKUP(D49,'Data for Q3'!N:N,'Data for Q3'!O:O)</f>
        <v>2.2839999999999999E-2</v>
      </c>
      <c r="F49" s="129">
        <f t="shared" si="23"/>
        <v>0.79047599206845898</v>
      </c>
      <c r="G49" s="129">
        <f t="shared" si="24"/>
        <v>0.79971422923475899</v>
      </c>
      <c r="H49" s="130">
        <f t="shared" si="20"/>
        <v>0</v>
      </c>
      <c r="I49" s="129">
        <f t="shared" si="25"/>
        <v>0.65158795852435836</v>
      </c>
      <c r="J49" s="129">
        <f t="shared" si="26"/>
        <v>0.65158795852435836</v>
      </c>
      <c r="K49" s="134">
        <f t="shared" si="27"/>
        <v>95</v>
      </c>
      <c r="L49" s="127">
        <f>_xlfn.XLOOKUP(K49,'Data for Q3'!N:N,'Data for Q3'!O:O)</f>
        <v>0.18670999999999999</v>
      </c>
      <c r="M49" s="127">
        <f t="shared" si="28"/>
        <v>0.18888185265246596</v>
      </c>
      <c r="N49" s="127">
        <f t="shared" si="29"/>
        <v>0.21056300618241341</v>
      </c>
      <c r="O49" s="135">
        <f t="shared" si="30"/>
        <v>0</v>
      </c>
      <c r="P49" s="127">
        <f t="shared" si="31"/>
        <v>1</v>
      </c>
      <c r="Q49" s="127">
        <f t="shared" si="32"/>
        <v>1</v>
      </c>
      <c r="R49" s="126">
        <f t="shared" si="13"/>
        <v>107</v>
      </c>
      <c r="S49" s="124">
        <f>_xlfn.XLOOKUP(R49,'Data for Q3'!N:N,'Data for Q3'!O:O)</f>
        <v>0.45956000000000002</v>
      </c>
      <c r="T49" s="124">
        <f t="shared" si="14"/>
        <v>1.4962656721321543E-3</v>
      </c>
      <c r="U49" s="124">
        <f t="shared" si="15"/>
        <v>2.1324360631885643E-3</v>
      </c>
      <c r="V49" s="136">
        <f t="shared" si="16"/>
        <v>0</v>
      </c>
      <c r="W49" s="124">
        <f t="shared" si="17"/>
        <v>1</v>
      </c>
      <c r="X49" s="123">
        <f t="shared" si="18"/>
        <v>1</v>
      </c>
    </row>
    <row r="50" spans="1:24">
      <c r="A50" s="133">
        <f t="shared" si="21"/>
        <v>2062</v>
      </c>
      <c r="B50" s="27">
        <f>B49*(1+'Data for Q3'!$K$15)</f>
        <v>23412.193498098371</v>
      </c>
      <c r="C50" s="132">
        <f>1/(1+'Data for Q3'!$K$18)^(A50-$A$12-0.5)</f>
        <v>0.16047274621355123</v>
      </c>
      <c r="D50" s="131">
        <f t="shared" si="22"/>
        <v>80</v>
      </c>
      <c r="E50" s="129">
        <f>_xlfn.XLOOKUP(D50,'Data for Q3'!N:N,'Data for Q3'!O:O)</f>
        <v>2.571E-2</v>
      </c>
      <c r="F50" s="129">
        <f t="shared" si="23"/>
        <v>0.7701528543123789</v>
      </c>
      <c r="G50" s="129">
        <f t="shared" si="24"/>
        <v>0.78031442319041899</v>
      </c>
      <c r="H50" s="130">
        <f t="shared" si="20"/>
        <v>0</v>
      </c>
      <c r="I50" s="129">
        <f t="shared" si="25"/>
        <v>0.65158795852435836</v>
      </c>
      <c r="J50" s="129">
        <f t="shared" si="26"/>
        <v>0.65158795852435836</v>
      </c>
      <c r="K50" s="134">
        <f t="shared" si="27"/>
        <v>96</v>
      </c>
      <c r="L50" s="127">
        <f>_xlfn.XLOOKUP(K50,'Data for Q3'!N:N,'Data for Q3'!O:O)</f>
        <v>0.20644000000000001</v>
      </c>
      <c r="M50" s="127">
        <f t="shared" si="28"/>
        <v>0.1498890829908909</v>
      </c>
      <c r="N50" s="127">
        <f t="shared" si="29"/>
        <v>0.16938546782167843</v>
      </c>
      <c r="O50" s="135">
        <f t="shared" si="30"/>
        <v>0</v>
      </c>
      <c r="P50" s="127">
        <f t="shared" si="31"/>
        <v>1</v>
      </c>
      <c r="Q50" s="127">
        <f t="shared" si="32"/>
        <v>1</v>
      </c>
      <c r="R50" s="126">
        <f t="shared" si="13"/>
        <v>108</v>
      </c>
      <c r="S50" s="124">
        <f>_xlfn.XLOOKUP(R50,'Data for Q3'!N:N,'Data for Q3'!O:O)</f>
        <v>0.47972999999999999</v>
      </c>
      <c r="T50" s="124">
        <f t="shared" si="14"/>
        <v>7.7846214124019592E-4</v>
      </c>
      <c r="U50" s="124">
        <f t="shared" si="15"/>
        <v>1.1373639066861751E-3</v>
      </c>
      <c r="V50" s="136">
        <f t="shared" si="16"/>
        <v>0</v>
      </c>
      <c r="W50" s="124">
        <f t="shared" si="17"/>
        <v>1</v>
      </c>
      <c r="X50" s="123">
        <f t="shared" si="18"/>
        <v>1</v>
      </c>
    </row>
    <row r="51" spans="1:24">
      <c r="A51" s="133">
        <f t="shared" si="21"/>
        <v>2063</v>
      </c>
      <c r="B51" s="27">
        <f>B50*(1+'Data for Q3'!$K$15)</f>
        <v>24582.803173003293</v>
      </c>
      <c r="C51" s="132">
        <f>1/(1+'Data for Q3'!$K$18)^(A51-$A$12-0.5)</f>
        <v>0.15283118687004879</v>
      </c>
      <c r="D51" s="131">
        <f t="shared" si="22"/>
        <v>81</v>
      </c>
      <c r="E51" s="129">
        <f>_xlfn.XLOOKUP(D51,'Data for Q3'!N:N,'Data for Q3'!O:O)</f>
        <v>2.913E-2</v>
      </c>
      <c r="F51" s="129">
        <f t="shared" si="23"/>
        <v>0.7477183016662593</v>
      </c>
      <c r="G51" s="129">
        <f t="shared" si="24"/>
        <v>0.7589355779893191</v>
      </c>
      <c r="H51" s="130">
        <f t="shared" si="20"/>
        <v>0</v>
      </c>
      <c r="I51" s="129">
        <f t="shared" si="25"/>
        <v>0.65158795852435836</v>
      </c>
      <c r="J51" s="129">
        <f t="shared" si="26"/>
        <v>0.65158795852435836</v>
      </c>
      <c r="K51" s="134">
        <f t="shared" si="27"/>
        <v>97</v>
      </c>
      <c r="L51" s="127">
        <f>_xlfn.XLOOKUP(K51,'Data for Q3'!N:N,'Data for Q3'!O:O)</f>
        <v>0.22670000000000001</v>
      </c>
      <c r="M51" s="127">
        <f t="shared" si="28"/>
        <v>0.11590922787685594</v>
      </c>
      <c r="N51" s="127">
        <f t="shared" si="29"/>
        <v>0.1328991554338734</v>
      </c>
      <c r="O51" s="135">
        <f t="shared" si="30"/>
        <v>0</v>
      </c>
      <c r="P51" s="127">
        <f t="shared" si="31"/>
        <v>1</v>
      </c>
      <c r="Q51" s="127">
        <f t="shared" si="32"/>
        <v>1</v>
      </c>
      <c r="R51" s="126">
        <f t="shared" si="13"/>
        <v>109</v>
      </c>
      <c r="S51" s="124">
        <f>_xlfn.XLOOKUP(R51,'Data for Q3'!N:N,'Data for Q3'!O:O)</f>
        <v>0.50988</v>
      </c>
      <c r="T51" s="124">
        <f t="shared" si="14"/>
        <v>3.8153986466464481E-4</v>
      </c>
      <c r="U51" s="124">
        <f t="shared" si="15"/>
        <v>5.8000100295242045E-4</v>
      </c>
      <c r="V51" s="136">
        <f t="shared" si="16"/>
        <v>0</v>
      </c>
      <c r="W51" s="124">
        <f t="shared" si="17"/>
        <v>1</v>
      </c>
      <c r="X51" s="123">
        <f t="shared" si="18"/>
        <v>1</v>
      </c>
    </row>
    <row r="52" spans="1:24">
      <c r="A52" s="133">
        <f t="shared" si="21"/>
        <v>2064</v>
      </c>
      <c r="B52" s="27">
        <f>B51*(1+'Data for Q3'!$K$15)</f>
        <v>25811.94333165346</v>
      </c>
      <c r="C52" s="132">
        <f>1/(1+'Data for Q3'!$K$18)^(A52-$A$12-0.5)</f>
        <v>0.14555351130480837</v>
      </c>
      <c r="D52" s="131">
        <f t="shared" si="22"/>
        <v>82</v>
      </c>
      <c r="E52" s="129">
        <f>_xlfn.XLOOKUP(D52,'Data for Q3'!N:N,'Data for Q3'!O:O)</f>
        <v>3.32E-2</v>
      </c>
      <c r="F52" s="129">
        <f t="shared" si="23"/>
        <v>0.72289405405093954</v>
      </c>
      <c r="G52" s="129">
        <f t="shared" si="24"/>
        <v>0.73530617785859942</v>
      </c>
      <c r="H52" s="130">
        <f t="shared" si="20"/>
        <v>0</v>
      </c>
      <c r="I52" s="129">
        <f t="shared" si="25"/>
        <v>0.65158795852435836</v>
      </c>
      <c r="J52" s="129">
        <f t="shared" si="26"/>
        <v>0.65158795852435836</v>
      </c>
      <c r="K52" s="134">
        <f t="shared" si="27"/>
        <v>98</v>
      </c>
      <c r="L52" s="127">
        <f>_xlfn.XLOOKUP(K52,'Data for Q3'!N:N,'Data for Q3'!O:O)</f>
        <v>0.24728</v>
      </c>
      <c r="M52" s="127">
        <f t="shared" si="28"/>
        <v>8.7247194007467013E-2</v>
      </c>
      <c r="N52" s="127">
        <f t="shared" si="29"/>
        <v>0.10157821094216148</v>
      </c>
      <c r="O52" s="135">
        <f t="shared" si="30"/>
        <v>0</v>
      </c>
      <c r="P52" s="127">
        <f t="shared" si="31"/>
        <v>1</v>
      </c>
      <c r="Q52" s="127">
        <f t="shared" si="32"/>
        <v>1</v>
      </c>
      <c r="R52" s="126">
        <f t="shared" si="13"/>
        <v>110</v>
      </c>
      <c r="S52" s="124">
        <f>_xlfn.XLOOKUP(R52,'Data for Q3'!N:N,'Data for Q3'!O:O)</f>
        <v>0.53</v>
      </c>
      <c r="T52" s="124">
        <f t="shared" si="14"/>
        <v>1.7932373639238306E-4</v>
      </c>
      <c r="U52" s="124">
        <f t="shared" si="15"/>
        <v>2.8043180052851391E-4</v>
      </c>
      <c r="V52" s="136">
        <f t="shared" si="16"/>
        <v>0</v>
      </c>
      <c r="W52" s="124">
        <f t="shared" si="17"/>
        <v>1</v>
      </c>
      <c r="X52" s="123">
        <f t="shared" si="18"/>
        <v>1</v>
      </c>
    </row>
    <row r="53" spans="1:24">
      <c r="A53" s="133">
        <f t="shared" si="21"/>
        <v>2065</v>
      </c>
      <c r="B53" s="27">
        <f>B52*(1+'Data for Q3'!$K$15)</f>
        <v>27102.540498236132</v>
      </c>
      <c r="C53" s="132">
        <f>1/(1+'Data for Q3'!$K$18)^(A53-$A$12-0.5)</f>
        <v>0.13862239171886509</v>
      </c>
      <c r="D53" s="131">
        <f t="shared" si="22"/>
        <v>83</v>
      </c>
      <c r="E53" s="129">
        <f>_xlfn.XLOOKUP(D53,'Data for Q3'!N:N,'Data for Q3'!O:O)</f>
        <v>3.805E-2</v>
      </c>
      <c r="F53" s="129">
        <f t="shared" si="23"/>
        <v>0.69538793529430132</v>
      </c>
      <c r="G53" s="129">
        <f t="shared" si="24"/>
        <v>0.70914099467262048</v>
      </c>
      <c r="H53" s="130">
        <f t="shared" si="20"/>
        <v>0</v>
      </c>
      <c r="I53" s="129">
        <f t="shared" si="25"/>
        <v>0.65158795852435836</v>
      </c>
      <c r="J53" s="129">
        <f t="shared" si="26"/>
        <v>0.65158795852435836</v>
      </c>
      <c r="K53" s="134">
        <f t="shared" si="27"/>
        <v>99</v>
      </c>
      <c r="L53" s="127">
        <f>_xlfn.XLOOKUP(K53,'Data for Q3'!N:N,'Data for Q3'!O:O)</f>
        <v>0.26871</v>
      </c>
      <c r="M53" s="127">
        <f t="shared" si="28"/>
        <v>6.3803000505720547E-2</v>
      </c>
      <c r="N53" s="127">
        <f t="shared" si="29"/>
        <v>7.5525097256593787E-2</v>
      </c>
      <c r="O53" s="135">
        <f t="shared" si="30"/>
        <v>0</v>
      </c>
      <c r="P53" s="127">
        <f t="shared" si="31"/>
        <v>1</v>
      </c>
      <c r="Q53" s="127">
        <f t="shared" si="32"/>
        <v>1</v>
      </c>
      <c r="R53" s="126">
        <f t="shared" si="13"/>
        <v>111</v>
      </c>
      <c r="S53" s="124">
        <f>_xlfn.XLOOKUP(R53,'Data for Q3'!N:N,'Data for Q3'!O:O)</f>
        <v>0.55000000000000004</v>
      </c>
      <c r="T53" s="124">
        <f t="shared" si="14"/>
        <v>8.0695681376572365E-5</v>
      </c>
      <c r="U53" s="124">
        <f t="shared" si="15"/>
        <v>1.3000970888447772E-4</v>
      </c>
      <c r="V53" s="136">
        <f t="shared" si="16"/>
        <v>0</v>
      </c>
      <c r="W53" s="124">
        <f t="shared" si="17"/>
        <v>1</v>
      </c>
      <c r="X53" s="123">
        <f t="shared" si="18"/>
        <v>1</v>
      </c>
    </row>
    <row r="54" spans="1:24">
      <c r="A54" s="133">
        <f t="shared" si="21"/>
        <v>2066</v>
      </c>
      <c r="B54" s="27">
        <f>B53*(1+'Data for Q3'!$K$15)</f>
        <v>28457.667523147938</v>
      </c>
      <c r="C54" s="132">
        <f>1/(1+'Data for Q3'!$K$18)^(A54-$A$12-0.5)</f>
        <v>0.13202132544653816</v>
      </c>
      <c r="D54" s="131">
        <f t="shared" si="22"/>
        <v>84</v>
      </c>
      <c r="E54" s="129">
        <f>_xlfn.XLOOKUP(D54,'Data for Q3'!N:N,'Data for Q3'!O:O)</f>
        <v>4.3770000000000003E-2</v>
      </c>
      <c r="F54" s="129">
        <f t="shared" si="23"/>
        <v>0.66495080536646978</v>
      </c>
      <c r="G54" s="129">
        <f t="shared" si="24"/>
        <v>0.68016937033038549</v>
      </c>
      <c r="H54" s="130">
        <f t="shared" si="20"/>
        <v>0</v>
      </c>
      <c r="I54" s="129">
        <f t="shared" si="25"/>
        <v>0.65158795852435836</v>
      </c>
      <c r="J54" s="129">
        <f t="shared" si="26"/>
        <v>0.65158795852435836</v>
      </c>
      <c r="K54" s="134">
        <f t="shared" si="27"/>
        <v>100</v>
      </c>
      <c r="L54" s="127">
        <f>_xlfn.XLOOKUP(K54,'Data for Q3'!N:N,'Data for Q3'!O:O)</f>
        <v>0.29127999999999998</v>
      </c>
      <c r="M54" s="127">
        <f t="shared" si="28"/>
        <v>4.5218462518414271E-2</v>
      </c>
      <c r="N54" s="127">
        <f t="shared" si="29"/>
        <v>5.4510731512067409E-2</v>
      </c>
      <c r="O54" s="135">
        <f t="shared" si="30"/>
        <v>0</v>
      </c>
      <c r="P54" s="127">
        <f t="shared" si="31"/>
        <v>1</v>
      </c>
      <c r="Q54" s="127">
        <f t="shared" si="32"/>
        <v>1</v>
      </c>
      <c r="R54" s="126">
        <f t="shared" si="13"/>
        <v>112</v>
      </c>
      <c r="S54" s="124">
        <f>_xlfn.XLOOKUP(R54,'Data for Q3'!N:N,'Data for Q3'!O:O)</f>
        <v>0.56999999999999995</v>
      </c>
      <c r="T54" s="124">
        <f t="shared" si="14"/>
        <v>3.4699142991926121E-5</v>
      </c>
      <c r="U54" s="124">
        <f t="shared" si="15"/>
        <v>5.769741218424925E-5</v>
      </c>
      <c r="V54" s="136">
        <f t="shared" si="16"/>
        <v>0</v>
      </c>
      <c r="W54" s="124">
        <f t="shared" si="17"/>
        <v>1</v>
      </c>
      <c r="X54" s="123">
        <f t="shared" si="18"/>
        <v>1</v>
      </c>
    </row>
    <row r="55" spans="1:24">
      <c r="A55" s="133">
        <f t="shared" si="21"/>
        <v>2067</v>
      </c>
      <c r="B55" s="27">
        <f>B54*(1+'Data for Q3'!$K$15)</f>
        <v>29880.550899305337</v>
      </c>
      <c r="C55" s="132">
        <f>1/(1+'Data for Q3'!$K$18)^(A55-$A$12-0.5)</f>
        <v>0.12573459566336972</v>
      </c>
      <c r="D55" s="131">
        <f t="shared" si="22"/>
        <v>85</v>
      </c>
      <c r="E55" s="129">
        <f>_xlfn.XLOOKUP(D55,'Data for Q3'!N:N,'Data for Q3'!O:O)</f>
        <v>5.0500000000000003E-2</v>
      </c>
      <c r="F55" s="129">
        <f t="shared" si="23"/>
        <v>0.63137078969546301</v>
      </c>
      <c r="G55" s="129">
        <f t="shared" si="24"/>
        <v>0.64816079753096645</v>
      </c>
      <c r="H55" s="130">
        <f t="shared" si="20"/>
        <v>0</v>
      </c>
      <c r="I55" s="129">
        <f t="shared" si="25"/>
        <v>0.65158795852435836</v>
      </c>
      <c r="J55" s="129">
        <f t="shared" si="26"/>
        <v>0.65158795852435836</v>
      </c>
      <c r="K55" s="134">
        <f t="shared" si="27"/>
        <v>101</v>
      </c>
      <c r="L55" s="127">
        <f>_xlfn.XLOOKUP(K55,'Data for Q3'!N:N,'Data for Q3'!O:O)</f>
        <v>0.31508000000000003</v>
      </c>
      <c r="M55" s="127">
        <f t="shared" si="28"/>
        <v>3.09710293481123E-2</v>
      </c>
      <c r="N55" s="127">
        <f t="shared" si="29"/>
        <v>3.8094745933263285E-2</v>
      </c>
      <c r="O55" s="135">
        <f t="shared" si="30"/>
        <v>0</v>
      </c>
      <c r="P55" s="127">
        <f t="shared" si="31"/>
        <v>1</v>
      </c>
      <c r="Q55" s="127">
        <f t="shared" si="32"/>
        <v>1</v>
      </c>
      <c r="R55" s="126">
        <f t="shared" si="13"/>
        <v>113</v>
      </c>
      <c r="S55" s="124">
        <f>_xlfn.XLOOKUP(R55,'Data for Q3'!N:N,'Data for Q3'!O:O)</f>
        <v>0.59</v>
      </c>
      <c r="T55" s="124">
        <f t="shared" si="14"/>
        <v>1.4226648626689711E-5</v>
      </c>
      <c r="U55" s="124">
        <f t="shared" si="15"/>
        <v>2.4462895809307918E-5</v>
      </c>
      <c r="V55" s="136">
        <f t="shared" si="16"/>
        <v>0</v>
      </c>
      <c r="W55" s="124">
        <f t="shared" si="17"/>
        <v>1</v>
      </c>
      <c r="X55" s="123">
        <f t="shared" si="18"/>
        <v>1</v>
      </c>
    </row>
    <row r="56" spans="1:24">
      <c r="A56" s="133">
        <f t="shared" si="21"/>
        <v>2068</v>
      </c>
      <c r="B56" s="27">
        <f>B55*(1+'Data for Q3'!$K$15)</f>
        <v>31374.578444270606</v>
      </c>
      <c r="C56" s="132">
        <f>1/(1+'Data for Q3'!$K$18)^(A56-$A$12-0.5)</f>
        <v>0.119747233965114</v>
      </c>
      <c r="D56" s="131">
        <f t="shared" si="22"/>
        <v>86</v>
      </c>
      <c r="E56" s="129">
        <f>_xlfn.XLOOKUP(D56,'Data for Q3'!N:N,'Data for Q3'!O:O)</f>
        <v>5.8319999999999997E-2</v>
      </c>
      <c r="F56" s="129">
        <f t="shared" si="23"/>
        <v>0.59454924524042363</v>
      </c>
      <c r="G56" s="129">
        <f t="shared" si="24"/>
        <v>0.61296001746794337</v>
      </c>
      <c r="H56" s="130">
        <f t="shared" si="20"/>
        <v>0</v>
      </c>
      <c r="I56" s="129">
        <f t="shared" si="25"/>
        <v>0.65158795852435836</v>
      </c>
      <c r="J56" s="129">
        <f t="shared" si="26"/>
        <v>0.65158795852435836</v>
      </c>
      <c r="K56" s="134">
        <f t="shared" si="27"/>
        <v>102</v>
      </c>
      <c r="L56" s="127">
        <f>_xlfn.XLOOKUP(K56,'Data for Q3'!N:N,'Data for Q3'!O:O)</f>
        <v>0.33994999999999997</v>
      </c>
      <c r="M56" s="127">
        <f t="shared" si="28"/>
        <v>2.0442427921221525E-2</v>
      </c>
      <c r="N56" s="127">
        <f t="shared" si="29"/>
        <v>2.5706728634666911E-2</v>
      </c>
      <c r="O56" s="135">
        <f t="shared" si="30"/>
        <v>0</v>
      </c>
      <c r="P56" s="127">
        <f t="shared" si="31"/>
        <v>1</v>
      </c>
      <c r="Q56" s="127">
        <f t="shared" si="32"/>
        <v>1</v>
      </c>
      <c r="R56" s="126">
        <f t="shared" si="13"/>
        <v>114</v>
      </c>
      <c r="S56" s="124">
        <f>_xlfn.XLOOKUP(R56,'Data for Q3'!N:N,'Data for Q3'!O:O)</f>
        <v>0.61</v>
      </c>
      <c r="T56" s="124">
        <f t="shared" si="14"/>
        <v>5.5483929644089877E-6</v>
      </c>
      <c r="U56" s="124">
        <f t="shared" si="15"/>
        <v>9.8875207955493508E-6</v>
      </c>
      <c r="V56" s="136">
        <f t="shared" si="16"/>
        <v>0</v>
      </c>
      <c r="W56" s="124">
        <f t="shared" si="17"/>
        <v>1</v>
      </c>
      <c r="X56" s="123">
        <f t="shared" si="18"/>
        <v>1</v>
      </c>
    </row>
    <row r="57" spans="1:24">
      <c r="A57" s="133">
        <f t="shared" si="21"/>
        <v>2069</v>
      </c>
      <c r="B57" s="27">
        <f>B56*(1+'Data for Q3'!$K$15)</f>
        <v>32943.307366484136</v>
      </c>
      <c r="C57" s="132">
        <f>1/(1+'Data for Q3'!$K$18)^(A57-$A$12-0.5)</f>
        <v>0.11404498472867998</v>
      </c>
      <c r="D57" s="131">
        <f t="shared" si="22"/>
        <v>87</v>
      </c>
      <c r="E57" s="129">
        <f>_xlfn.XLOOKUP(D57,'Data for Q3'!N:N,'Data for Q3'!O:O)</f>
        <v>6.7339999999999997E-2</v>
      </c>
      <c r="F57" s="129">
        <f t="shared" si="23"/>
        <v>0.55451229906593358</v>
      </c>
      <c r="G57" s="129">
        <f t="shared" si="24"/>
        <v>0.5745307721531786</v>
      </c>
      <c r="H57" s="130">
        <f t="shared" si="20"/>
        <v>0</v>
      </c>
      <c r="I57" s="129">
        <f t="shared" si="25"/>
        <v>0.65158795852435836</v>
      </c>
      <c r="J57" s="129">
        <f t="shared" si="26"/>
        <v>0.65158795852435836</v>
      </c>
      <c r="K57" s="134">
        <f t="shared" si="27"/>
        <v>103</v>
      </c>
      <c r="L57" s="127">
        <f>_xlfn.XLOOKUP(K57,'Data for Q3'!N:N,'Data for Q3'!O:O)</f>
        <v>0.36552000000000001</v>
      </c>
      <c r="M57" s="127">
        <f t="shared" si="28"/>
        <v>1.2970311667456632E-2</v>
      </c>
      <c r="N57" s="127">
        <f t="shared" si="29"/>
        <v>1.6706369794339079E-2</v>
      </c>
      <c r="O57" s="135">
        <f t="shared" si="30"/>
        <v>0</v>
      </c>
      <c r="P57" s="127">
        <f t="shared" si="31"/>
        <v>1</v>
      </c>
      <c r="Q57" s="127">
        <f t="shared" si="32"/>
        <v>1</v>
      </c>
      <c r="R57" s="126">
        <f t="shared" si="13"/>
        <v>115</v>
      </c>
      <c r="S57" s="124">
        <f>_xlfn.XLOOKUP(R57,'Data for Q3'!N:N,'Data for Q3'!O:O)</f>
        <v>1</v>
      </c>
      <c r="T57" s="124">
        <f t="shared" si="14"/>
        <v>0</v>
      </c>
      <c r="U57" s="124">
        <f t="shared" si="15"/>
        <v>2.7741964822044939E-6</v>
      </c>
      <c r="V57" s="136">
        <f t="shared" si="16"/>
        <v>0</v>
      </c>
      <c r="W57" s="124">
        <f t="shared" si="17"/>
        <v>1</v>
      </c>
      <c r="X57" s="123">
        <f t="shared" si="18"/>
        <v>1</v>
      </c>
    </row>
    <row r="58" spans="1:24">
      <c r="A58" s="133">
        <f t="shared" si="21"/>
        <v>2070</v>
      </c>
      <c r="B58" s="27">
        <f>B57*(1+'Data for Q3'!$K$15)</f>
        <v>34590.472734808347</v>
      </c>
      <c r="C58" s="132">
        <f>1/(1+'Data for Q3'!$K$18)^(A58-$A$12-0.5)</f>
        <v>0.1086142711701714</v>
      </c>
      <c r="D58" s="131">
        <f t="shared" si="22"/>
        <v>88</v>
      </c>
      <c r="E58" s="129">
        <f>_xlfn.XLOOKUP(D58,'Data for Q3'!N:N,'Data for Q3'!O:O)</f>
        <v>7.7649999999999997E-2</v>
      </c>
      <c r="F58" s="129">
        <f t="shared" si="23"/>
        <v>0.51145441904346389</v>
      </c>
      <c r="G58" s="129">
        <f t="shared" si="24"/>
        <v>0.53298335905469874</v>
      </c>
      <c r="H58" s="130">
        <f t="shared" ref="H58:H85" si="33">H57</f>
        <v>0</v>
      </c>
      <c r="I58" s="129">
        <f t="shared" si="25"/>
        <v>0.65158795852435836</v>
      </c>
      <c r="J58" s="129">
        <f t="shared" si="26"/>
        <v>0.65158795852435836</v>
      </c>
      <c r="K58" s="134">
        <f t="shared" si="27"/>
        <v>104</v>
      </c>
      <c r="L58" s="127">
        <f>_xlfn.XLOOKUP(K58,'Data for Q3'!N:N,'Data for Q3'!O:O)</f>
        <v>0.39119999999999999</v>
      </c>
      <c r="M58" s="127">
        <f t="shared" si="28"/>
        <v>7.8963257431475982E-3</v>
      </c>
      <c r="N58" s="127">
        <f t="shared" si="29"/>
        <v>1.0433318705302114E-2</v>
      </c>
      <c r="O58" s="135">
        <f t="shared" si="30"/>
        <v>0</v>
      </c>
      <c r="P58" s="127">
        <f t="shared" si="31"/>
        <v>1</v>
      </c>
      <c r="Q58" s="127">
        <f t="shared" si="32"/>
        <v>1</v>
      </c>
      <c r="R58" s="126"/>
      <c r="S58" s="124"/>
      <c r="T58" s="124"/>
      <c r="U58" s="124"/>
      <c r="V58" s="125"/>
      <c r="W58" s="124"/>
      <c r="X58" s="123"/>
    </row>
    <row r="59" spans="1:24">
      <c r="A59" s="133">
        <f t="shared" si="21"/>
        <v>2071</v>
      </c>
      <c r="B59" s="27">
        <f>B58*(1+'Data for Q3'!$K$15)</f>
        <v>36319.996371548768</v>
      </c>
      <c r="C59" s="132">
        <f>1/(1+'Data for Q3'!$K$18)^(A59-$A$12-0.5)</f>
        <v>0.10344216301921087</v>
      </c>
      <c r="D59" s="131">
        <f t="shared" si="22"/>
        <v>89</v>
      </c>
      <c r="E59" s="129">
        <f>_xlfn.XLOOKUP(D59,'Data for Q3'!N:N,'Data for Q3'!O:O)</f>
        <v>8.9319999999999997E-2</v>
      </c>
      <c r="F59" s="129">
        <f t="shared" si="23"/>
        <v>0.4657713103345017</v>
      </c>
      <c r="G59" s="129">
        <f t="shared" si="24"/>
        <v>0.4886128646889828</v>
      </c>
      <c r="H59" s="130">
        <f t="shared" si="33"/>
        <v>0</v>
      </c>
      <c r="I59" s="129">
        <f t="shared" si="25"/>
        <v>0.65158795852435836</v>
      </c>
      <c r="J59" s="129">
        <f t="shared" si="26"/>
        <v>0.65158795852435836</v>
      </c>
      <c r="K59" s="134">
        <f t="shared" si="27"/>
        <v>105</v>
      </c>
      <c r="L59" s="127">
        <f>_xlfn.XLOOKUP(K59,'Data for Q3'!N:N,'Data for Q3'!O:O)</f>
        <v>0.41615999999999997</v>
      </c>
      <c r="M59" s="127">
        <f t="shared" si="28"/>
        <v>4.6101908218792939E-3</v>
      </c>
      <c r="N59" s="127">
        <f t="shared" si="29"/>
        <v>6.2532582825134461E-3</v>
      </c>
      <c r="O59" s="135">
        <f t="shared" si="30"/>
        <v>0</v>
      </c>
      <c r="P59" s="127">
        <f t="shared" si="31"/>
        <v>1</v>
      </c>
      <c r="Q59" s="127">
        <f t="shared" si="32"/>
        <v>1</v>
      </c>
      <c r="R59" s="126"/>
      <c r="S59" s="124"/>
      <c r="T59" s="124"/>
      <c r="U59" s="124"/>
      <c r="V59" s="125"/>
      <c r="W59" s="124"/>
      <c r="X59" s="123"/>
    </row>
    <row r="60" spans="1:24">
      <c r="A60" s="133">
        <f t="shared" si="21"/>
        <v>2072</v>
      </c>
      <c r="B60" s="27">
        <f>B59*(1+'Data for Q3'!$K$15)</f>
        <v>38135.996190126207</v>
      </c>
      <c r="C60" s="132">
        <f>1/(1+'Data for Q3'!$K$18)^(A60-$A$12-0.5)</f>
        <v>9.8516345732581778E-2</v>
      </c>
      <c r="D60" s="131">
        <f t="shared" si="22"/>
        <v>90</v>
      </c>
      <c r="E60" s="129">
        <f>_xlfn.XLOOKUP(D60,'Data for Q3'!N:N,'Data for Q3'!O:O)</f>
        <v>0.10238</v>
      </c>
      <c r="F60" s="129">
        <f t="shared" si="23"/>
        <v>0.41808564358245542</v>
      </c>
      <c r="G60" s="129">
        <f t="shared" si="24"/>
        <v>0.44192847695847859</v>
      </c>
      <c r="H60" s="130">
        <f t="shared" si="33"/>
        <v>0</v>
      </c>
      <c r="I60" s="129">
        <f t="shared" si="25"/>
        <v>0.65158795852435836</v>
      </c>
      <c r="J60" s="129">
        <f t="shared" si="26"/>
        <v>0.65158795852435836</v>
      </c>
      <c r="K60" s="134">
        <f t="shared" si="27"/>
        <v>106</v>
      </c>
      <c r="L60" s="127">
        <f>_xlfn.XLOOKUP(K60,'Data for Q3'!N:N,'Data for Q3'!O:O)</f>
        <v>0.43936999999999998</v>
      </c>
      <c r="M60" s="127">
        <f t="shared" si="28"/>
        <v>2.5846112804701884E-3</v>
      </c>
      <c r="N60" s="127">
        <f t="shared" si="29"/>
        <v>3.5974010511747412E-3</v>
      </c>
      <c r="O60" s="135">
        <f t="shared" si="30"/>
        <v>0</v>
      </c>
      <c r="P60" s="127">
        <f t="shared" si="31"/>
        <v>1</v>
      </c>
      <c r="Q60" s="127">
        <f t="shared" si="32"/>
        <v>1</v>
      </c>
      <c r="R60" s="126"/>
      <c r="S60" s="124"/>
      <c r="T60" s="124"/>
      <c r="U60" s="124"/>
      <c r="V60" s="125"/>
      <c r="W60" s="124"/>
      <c r="X60" s="123"/>
    </row>
    <row r="61" spans="1:24">
      <c r="A61" s="133">
        <f t="shared" si="21"/>
        <v>2073</v>
      </c>
      <c r="B61" s="27">
        <f>B60*(1+'Data for Q3'!$K$15)</f>
        <v>40042.795999632515</v>
      </c>
      <c r="C61" s="132">
        <f>1/(1+'Data for Q3'!$K$18)^(A61-$A$12-0.5)</f>
        <v>9.382509117388739E-2</v>
      </c>
      <c r="D61" s="131">
        <f t="shared" si="22"/>
        <v>91</v>
      </c>
      <c r="E61" s="129">
        <f>_xlfn.XLOOKUP(D61,'Data for Q3'!N:N,'Data for Q3'!O:O)</f>
        <v>0.11683</v>
      </c>
      <c r="F61" s="129">
        <f t="shared" si="23"/>
        <v>0.36924069784271718</v>
      </c>
      <c r="G61" s="129">
        <f t="shared" si="24"/>
        <v>0.39366317071258627</v>
      </c>
      <c r="H61" s="130">
        <f t="shared" si="33"/>
        <v>0</v>
      </c>
      <c r="I61" s="129">
        <f t="shared" si="25"/>
        <v>0.65158795852435836</v>
      </c>
      <c r="J61" s="129">
        <f t="shared" si="26"/>
        <v>0.65158795852435836</v>
      </c>
      <c r="K61" s="134">
        <f t="shared" si="27"/>
        <v>107</v>
      </c>
      <c r="L61" s="127">
        <f>_xlfn.XLOOKUP(K61,'Data for Q3'!N:N,'Data for Q3'!O:O)</f>
        <v>0.45956000000000002</v>
      </c>
      <c r="M61" s="127">
        <f t="shared" si="28"/>
        <v>1.3968273204173088E-3</v>
      </c>
      <c r="N61" s="127">
        <f t="shared" si="29"/>
        <v>1.9907193004437486E-3</v>
      </c>
      <c r="O61" s="135">
        <f t="shared" si="30"/>
        <v>0</v>
      </c>
      <c r="P61" s="127">
        <f t="shared" si="31"/>
        <v>1</v>
      </c>
      <c r="Q61" s="127">
        <f t="shared" si="32"/>
        <v>1</v>
      </c>
      <c r="R61" s="126"/>
      <c r="S61" s="124"/>
      <c r="T61" s="124"/>
      <c r="U61" s="124"/>
      <c r="V61" s="125"/>
      <c r="W61" s="124"/>
      <c r="X61" s="123"/>
    </row>
    <row r="62" spans="1:24">
      <c r="A62" s="133">
        <f t="shared" si="21"/>
        <v>2074</v>
      </c>
      <c r="B62" s="27">
        <f>B61*(1+'Data for Q3'!$K$15)</f>
        <v>42044.935799614141</v>
      </c>
      <c r="C62" s="132">
        <f>1/(1+'Data for Q3'!$K$18)^(A62-$A$12-0.5)</f>
        <v>8.9357229689416548E-2</v>
      </c>
      <c r="D62" s="131">
        <f t="shared" si="22"/>
        <v>92</v>
      </c>
      <c r="E62" s="129">
        <f>_xlfn.XLOOKUP(D62,'Data for Q3'!N:N,'Data for Q3'!O:O)</f>
        <v>0.13261000000000001</v>
      </c>
      <c r="F62" s="129">
        <f t="shared" si="23"/>
        <v>0.32027568890179448</v>
      </c>
      <c r="G62" s="129">
        <f t="shared" si="24"/>
        <v>0.34475819337225577</v>
      </c>
      <c r="H62" s="130">
        <f t="shared" si="33"/>
        <v>0</v>
      </c>
      <c r="I62" s="129">
        <f t="shared" si="25"/>
        <v>0.65158795852435836</v>
      </c>
      <c r="J62" s="129">
        <f t="shared" si="26"/>
        <v>0.65158795852435836</v>
      </c>
      <c r="K62" s="134">
        <f t="shared" si="27"/>
        <v>108</v>
      </c>
      <c r="L62" s="127">
        <f>_xlfn.XLOOKUP(K62,'Data for Q3'!N:N,'Data for Q3'!O:O)</f>
        <v>0.47972999999999999</v>
      </c>
      <c r="M62" s="127">
        <f t="shared" si="28"/>
        <v>7.2672734999351327E-4</v>
      </c>
      <c r="N62" s="127">
        <f t="shared" si="29"/>
        <v>1.061777335205411E-3</v>
      </c>
      <c r="O62" s="135">
        <f t="shared" si="30"/>
        <v>0</v>
      </c>
      <c r="P62" s="127">
        <f t="shared" si="31"/>
        <v>1</v>
      </c>
      <c r="Q62" s="127">
        <f t="shared" si="32"/>
        <v>1</v>
      </c>
      <c r="R62" s="126"/>
      <c r="S62" s="124"/>
      <c r="T62" s="124"/>
      <c r="U62" s="124"/>
      <c r="V62" s="125"/>
      <c r="W62" s="124"/>
      <c r="X62" s="123"/>
    </row>
    <row r="63" spans="1:24">
      <c r="A63" s="133">
        <f t="shared" si="21"/>
        <v>2075</v>
      </c>
      <c r="B63" s="27">
        <f>B62*(1+'Data for Q3'!$K$15)</f>
        <v>44147.18258959485</v>
      </c>
      <c r="C63" s="132">
        <f>1/(1+'Data for Q3'!$K$18)^(A63-$A$12-0.5)</f>
        <v>8.5102123513730074E-2</v>
      </c>
      <c r="D63" s="131">
        <f t="shared" si="22"/>
        <v>93</v>
      </c>
      <c r="E63" s="129">
        <f>_xlfn.XLOOKUP(D63,'Data for Q3'!N:N,'Data for Q3'!O:O)</f>
        <v>0.14960999999999999</v>
      </c>
      <c r="F63" s="129">
        <f t="shared" si="23"/>
        <v>0.27235924308519699</v>
      </c>
      <c r="G63" s="129">
        <f t="shared" si="24"/>
        <v>0.29631746599349573</v>
      </c>
      <c r="H63" s="130">
        <f t="shared" si="33"/>
        <v>0</v>
      </c>
      <c r="I63" s="129">
        <f t="shared" si="25"/>
        <v>0.65158795852435836</v>
      </c>
      <c r="J63" s="129">
        <f t="shared" si="26"/>
        <v>0.65158795852435836</v>
      </c>
      <c r="K63" s="134">
        <f t="shared" si="27"/>
        <v>109</v>
      </c>
      <c r="L63" s="127">
        <f>_xlfn.XLOOKUP(K63,'Data for Q3'!N:N,'Data for Q3'!O:O)</f>
        <v>0.50988</v>
      </c>
      <c r="M63" s="127">
        <f t="shared" si="28"/>
        <v>3.5618360877882074E-4</v>
      </c>
      <c r="N63" s="127">
        <f t="shared" si="29"/>
        <v>5.4145547938616709E-4</v>
      </c>
      <c r="O63" s="135">
        <f t="shared" si="30"/>
        <v>0</v>
      </c>
      <c r="P63" s="127">
        <f t="shared" si="31"/>
        <v>1</v>
      </c>
      <c r="Q63" s="127">
        <f t="shared" si="32"/>
        <v>1</v>
      </c>
      <c r="R63" s="126"/>
      <c r="S63" s="124"/>
      <c r="T63" s="124"/>
      <c r="U63" s="124"/>
      <c r="V63" s="125"/>
      <c r="W63" s="124"/>
      <c r="X63" s="123"/>
    </row>
    <row r="64" spans="1:24">
      <c r="A64" s="133">
        <f t="shared" si="21"/>
        <v>2076</v>
      </c>
      <c r="B64" s="27">
        <f>B63*(1+'Data for Q3'!$K$15)</f>
        <v>46354.541719074594</v>
      </c>
      <c r="C64" s="132">
        <f>1/(1+'Data for Q3'!$K$18)^(A64-$A$12-0.5)</f>
        <v>8.1049641441647682E-2</v>
      </c>
      <c r="D64" s="131">
        <f t="shared" si="22"/>
        <v>94</v>
      </c>
      <c r="E64" s="129">
        <f>_xlfn.XLOOKUP(D64,'Data for Q3'!N:N,'Data for Q3'!O:O)</f>
        <v>0.16771</v>
      </c>
      <c r="F64" s="129">
        <f t="shared" si="23"/>
        <v>0.22668187442737858</v>
      </c>
      <c r="G64" s="129">
        <f t="shared" si="24"/>
        <v>0.24952055875628779</v>
      </c>
      <c r="H64" s="130">
        <f t="shared" si="33"/>
        <v>0</v>
      </c>
      <c r="I64" s="129">
        <f t="shared" si="25"/>
        <v>0.65158795852435836</v>
      </c>
      <c r="J64" s="129">
        <f t="shared" si="26"/>
        <v>0.65158795852435836</v>
      </c>
      <c r="K64" s="134">
        <f t="shared" si="27"/>
        <v>110</v>
      </c>
      <c r="L64" s="127">
        <f>_xlfn.XLOOKUP(K64,'Data for Q3'!N:N,'Data for Q3'!O:O)</f>
        <v>0.53</v>
      </c>
      <c r="M64" s="127">
        <f t="shared" si="28"/>
        <v>1.6740629612604574E-4</v>
      </c>
      <c r="N64" s="127">
        <f t="shared" si="29"/>
        <v>2.6179495245243326E-4</v>
      </c>
      <c r="O64" s="135">
        <f t="shared" si="30"/>
        <v>0</v>
      </c>
      <c r="P64" s="127">
        <f t="shared" si="31"/>
        <v>1</v>
      </c>
      <c r="Q64" s="127">
        <f t="shared" si="32"/>
        <v>1</v>
      </c>
      <c r="R64" s="126"/>
      <c r="S64" s="124"/>
      <c r="T64" s="124"/>
      <c r="U64" s="124"/>
      <c r="V64" s="125"/>
      <c r="W64" s="124"/>
      <c r="X64" s="123"/>
    </row>
    <row r="65" spans="1:24">
      <c r="A65" s="133">
        <f t="shared" si="21"/>
        <v>2077</v>
      </c>
      <c r="B65" s="27">
        <f>B64*(1+'Data for Q3'!$K$15)</f>
        <v>48672.268805028325</v>
      </c>
      <c r="C65" s="132">
        <f>1/(1+'Data for Q3'!$K$18)^(A65-$A$12-0.5)</f>
        <v>7.7190134706331112E-2</v>
      </c>
      <c r="D65" s="131">
        <f t="shared" si="22"/>
        <v>95</v>
      </c>
      <c r="E65" s="129">
        <f>_xlfn.XLOOKUP(D65,'Data for Q3'!N:N,'Data for Q3'!O:O)</f>
        <v>0.18670999999999999</v>
      </c>
      <c r="F65" s="129">
        <f t="shared" si="23"/>
        <v>0.18435810165304276</v>
      </c>
      <c r="G65" s="129">
        <f t="shared" si="24"/>
        <v>0.20551998804021065</v>
      </c>
      <c r="H65" s="130">
        <f t="shared" si="33"/>
        <v>0</v>
      </c>
      <c r="I65" s="129">
        <f t="shared" si="25"/>
        <v>0.65158795852435836</v>
      </c>
      <c r="J65" s="129">
        <f t="shared" si="26"/>
        <v>0.65158795852435836</v>
      </c>
      <c r="K65" s="134">
        <f t="shared" si="27"/>
        <v>111</v>
      </c>
      <c r="L65" s="127">
        <f>_xlfn.XLOOKUP(K65,'Data for Q3'!N:N,'Data for Q3'!O:O)</f>
        <v>0.55000000000000004</v>
      </c>
      <c r="M65" s="127">
        <f t="shared" si="28"/>
        <v>7.533283325672057E-5</v>
      </c>
      <c r="N65" s="127">
        <f t="shared" si="29"/>
        <v>1.2136956469138315E-4</v>
      </c>
      <c r="O65" s="135">
        <f t="shared" si="30"/>
        <v>0</v>
      </c>
      <c r="P65" s="127">
        <f t="shared" si="31"/>
        <v>1</v>
      </c>
      <c r="Q65" s="127">
        <f t="shared" si="32"/>
        <v>1</v>
      </c>
      <c r="R65" s="126"/>
      <c r="S65" s="124"/>
      <c r="T65" s="124"/>
      <c r="U65" s="124"/>
      <c r="V65" s="125"/>
      <c r="W65" s="124"/>
      <c r="X65" s="123"/>
    </row>
    <row r="66" spans="1:24">
      <c r="A66" s="133">
        <f t="shared" si="21"/>
        <v>2078</v>
      </c>
      <c r="B66" s="27">
        <f>B65*(1+'Data for Q3'!$K$15)</f>
        <v>51105.882245279747</v>
      </c>
      <c r="C66" s="132">
        <f>1/(1+'Data for Q3'!$K$18)^(A66-$A$12-0.5)</f>
        <v>7.3514414006029608E-2</v>
      </c>
      <c r="D66" s="131">
        <f t="shared" si="22"/>
        <v>96</v>
      </c>
      <c r="E66" s="129">
        <f>_xlfn.XLOOKUP(D66,'Data for Q3'!N:N,'Data for Q3'!O:O)</f>
        <v>0.20644000000000001</v>
      </c>
      <c r="F66" s="129">
        <f t="shared" si="23"/>
        <v>0.14629921514778862</v>
      </c>
      <c r="G66" s="129">
        <f t="shared" si="24"/>
        <v>0.16532865840041569</v>
      </c>
      <c r="H66" s="130">
        <f t="shared" si="33"/>
        <v>0</v>
      </c>
      <c r="I66" s="129">
        <f t="shared" si="25"/>
        <v>0.65158795852435836</v>
      </c>
      <c r="J66" s="129">
        <f t="shared" si="26"/>
        <v>0.65158795852435836</v>
      </c>
      <c r="K66" s="134">
        <f t="shared" si="27"/>
        <v>112</v>
      </c>
      <c r="L66" s="127">
        <f>_xlfn.XLOOKUP(K66,'Data for Q3'!N:N,'Data for Q3'!O:O)</f>
        <v>0.56999999999999995</v>
      </c>
      <c r="M66" s="127">
        <f t="shared" si="28"/>
        <v>3.2393118300389849E-5</v>
      </c>
      <c r="N66" s="127">
        <f t="shared" si="29"/>
        <v>5.3862975778555213E-5</v>
      </c>
      <c r="O66" s="135">
        <f t="shared" si="30"/>
        <v>0</v>
      </c>
      <c r="P66" s="127">
        <f t="shared" si="31"/>
        <v>1</v>
      </c>
      <c r="Q66" s="127">
        <f t="shared" si="32"/>
        <v>1</v>
      </c>
      <c r="R66" s="126"/>
      <c r="S66" s="124"/>
      <c r="T66" s="124"/>
      <c r="U66" s="124"/>
      <c r="V66" s="125"/>
      <c r="W66" s="124"/>
      <c r="X66" s="123"/>
    </row>
    <row r="67" spans="1:24">
      <c r="A67" s="133">
        <f t="shared" si="21"/>
        <v>2079</v>
      </c>
      <c r="B67" s="27">
        <f>B66*(1+'Data for Q3'!$K$15)</f>
        <v>53661.176357543736</v>
      </c>
      <c r="C67" s="132">
        <f>1/(1+'Data for Q3'!$K$18)^(A67-$A$12-0.5)</f>
        <v>7.001372762479012E-2</v>
      </c>
      <c r="D67" s="131">
        <f t="shared" si="22"/>
        <v>97</v>
      </c>
      <c r="E67" s="129">
        <f>_xlfn.XLOOKUP(D67,'Data for Q3'!N:N,'Data for Q3'!O:O)</f>
        <v>0.22670000000000001</v>
      </c>
      <c r="F67" s="129">
        <f t="shared" si="23"/>
        <v>0.11313318307378495</v>
      </c>
      <c r="G67" s="129">
        <f t="shared" si="24"/>
        <v>0.12971619911078677</v>
      </c>
      <c r="H67" s="130">
        <f t="shared" si="33"/>
        <v>0</v>
      </c>
      <c r="I67" s="129">
        <f t="shared" si="25"/>
        <v>0.65158795852435836</v>
      </c>
      <c r="J67" s="129">
        <f t="shared" si="26"/>
        <v>0.65158795852435836</v>
      </c>
      <c r="K67" s="134">
        <f t="shared" si="27"/>
        <v>113</v>
      </c>
      <c r="L67" s="127">
        <f>_xlfn.XLOOKUP(K67,'Data for Q3'!N:N,'Data for Q3'!O:O)</f>
        <v>0.59</v>
      </c>
      <c r="M67" s="127">
        <f t="shared" si="28"/>
        <v>1.328117850315984E-5</v>
      </c>
      <c r="N67" s="127">
        <f t="shared" si="29"/>
        <v>2.2837148401774845E-5</v>
      </c>
      <c r="O67" s="135">
        <f t="shared" si="30"/>
        <v>0</v>
      </c>
      <c r="P67" s="127">
        <f t="shared" si="31"/>
        <v>1</v>
      </c>
      <c r="Q67" s="127">
        <f t="shared" si="32"/>
        <v>1</v>
      </c>
      <c r="R67" s="126"/>
      <c r="S67" s="124"/>
      <c r="T67" s="124"/>
      <c r="U67" s="124"/>
      <c r="V67" s="125"/>
      <c r="W67" s="124"/>
      <c r="X67" s="123"/>
    </row>
    <row r="68" spans="1:24">
      <c r="A68" s="133">
        <f t="shared" si="21"/>
        <v>2080</v>
      </c>
      <c r="B68" s="27">
        <f>B67*(1+'Data for Q3'!$K$15)</f>
        <v>56344.235175420923</v>
      </c>
      <c r="C68" s="132">
        <f>1/(1+'Data for Q3'!$K$18)^(A68-$A$12-0.5)</f>
        <v>6.6679740595038201E-2</v>
      </c>
      <c r="D68" s="131">
        <f t="shared" si="22"/>
        <v>98</v>
      </c>
      <c r="E68" s="129">
        <f>_xlfn.XLOOKUP(D68,'Data for Q3'!N:N,'Data for Q3'!O:O)</f>
        <v>0.24728</v>
      </c>
      <c r="F68" s="129">
        <f t="shared" si="23"/>
        <v>8.5157609563299416E-2</v>
      </c>
      <c r="G68" s="129">
        <f t="shared" si="24"/>
        <v>9.9145396318542175E-2</v>
      </c>
      <c r="H68" s="130">
        <f t="shared" si="33"/>
        <v>0</v>
      </c>
      <c r="I68" s="129">
        <f t="shared" si="25"/>
        <v>0.65158795852435836</v>
      </c>
      <c r="J68" s="129">
        <f t="shared" si="26"/>
        <v>0.65158795852435836</v>
      </c>
      <c r="K68" s="134">
        <f t="shared" si="27"/>
        <v>114</v>
      </c>
      <c r="L68" s="127">
        <f>_xlfn.XLOOKUP(K68,'Data for Q3'!N:N,'Data for Q3'!O:O)</f>
        <v>0.61</v>
      </c>
      <c r="M68" s="127">
        <f t="shared" si="28"/>
        <v>5.1796596162323375E-6</v>
      </c>
      <c r="N68" s="127">
        <f t="shared" si="29"/>
        <v>9.2304190596960895E-6</v>
      </c>
      <c r="O68" s="135">
        <f t="shared" si="30"/>
        <v>0</v>
      </c>
      <c r="P68" s="127">
        <f t="shared" si="31"/>
        <v>1</v>
      </c>
      <c r="Q68" s="127">
        <f t="shared" si="32"/>
        <v>1</v>
      </c>
      <c r="R68" s="126"/>
      <c r="S68" s="124"/>
      <c r="T68" s="124"/>
      <c r="U68" s="124"/>
      <c r="V68" s="125"/>
      <c r="W68" s="124"/>
      <c r="X68" s="123"/>
    </row>
    <row r="69" spans="1:24">
      <c r="A69" s="133">
        <f t="shared" si="21"/>
        <v>2081</v>
      </c>
      <c r="B69" s="27">
        <f>B68*(1+'Data for Q3'!$K$15)</f>
        <v>59161.446934191968</v>
      </c>
      <c r="C69" s="132">
        <f>1/(1+'Data for Q3'!$K$18)^(A69-$A$12-0.5)</f>
        <v>6.3504514852417329E-2</v>
      </c>
      <c r="D69" s="131">
        <f t="shared" si="22"/>
        <v>99</v>
      </c>
      <c r="E69" s="129">
        <f>_xlfn.XLOOKUP(D69,'Data for Q3'!N:N,'Data for Q3'!O:O)</f>
        <v>0.26871</v>
      </c>
      <c r="F69" s="129">
        <f t="shared" si="23"/>
        <v>6.2274908297545228E-2</v>
      </c>
      <c r="G69" s="129">
        <f t="shared" si="24"/>
        <v>7.3716258930422329E-2</v>
      </c>
      <c r="H69" s="130">
        <f t="shared" si="33"/>
        <v>0</v>
      </c>
      <c r="I69" s="129">
        <f t="shared" si="25"/>
        <v>0.65158795852435836</v>
      </c>
      <c r="J69" s="129">
        <f t="shared" si="26"/>
        <v>0.65158795852435836</v>
      </c>
      <c r="K69" s="134">
        <f t="shared" si="27"/>
        <v>115</v>
      </c>
      <c r="L69" s="127">
        <f>_xlfn.XLOOKUP(K69,'Data for Q3'!N:N,'Data for Q3'!O:O)</f>
        <v>1</v>
      </c>
      <c r="M69" s="127">
        <f t="shared" si="28"/>
        <v>0</v>
      </c>
      <c r="N69" s="127">
        <f t="shared" si="29"/>
        <v>2.5898298081161688E-6</v>
      </c>
      <c r="O69" s="135">
        <f t="shared" si="30"/>
        <v>0</v>
      </c>
      <c r="P69" s="127">
        <f t="shared" si="31"/>
        <v>1</v>
      </c>
      <c r="Q69" s="127">
        <f t="shared" si="32"/>
        <v>1</v>
      </c>
      <c r="R69" s="126"/>
      <c r="S69" s="124"/>
      <c r="T69" s="124"/>
      <c r="U69" s="124"/>
      <c r="V69" s="125"/>
      <c r="W69" s="124"/>
      <c r="X69" s="123"/>
    </row>
    <row r="70" spans="1:24">
      <c r="A70" s="133">
        <f t="shared" si="21"/>
        <v>2082</v>
      </c>
      <c r="B70" s="27">
        <f>B69*(1+'Data for Q3'!$K$15)</f>
        <v>62119.519280901572</v>
      </c>
      <c r="C70" s="132">
        <f>1/(1+'Data for Q3'!$K$18)^(A70-$A$12-0.5)</f>
        <v>6.0480490335635545E-2</v>
      </c>
      <c r="D70" s="131">
        <f t="shared" si="22"/>
        <v>100</v>
      </c>
      <c r="E70" s="129">
        <f>_xlfn.XLOOKUP(D70,'Data for Q3'!N:N,'Data for Q3'!O:O)</f>
        <v>0.29127999999999998</v>
      </c>
      <c r="F70" s="129">
        <f t="shared" si="23"/>
        <v>4.4135473008636253E-2</v>
      </c>
      <c r="G70" s="129">
        <f t="shared" si="24"/>
        <v>5.3205190653090741E-2</v>
      </c>
      <c r="H70" s="130">
        <f t="shared" si="33"/>
        <v>0</v>
      </c>
      <c r="I70" s="129">
        <f t="shared" si="25"/>
        <v>0.65158795852435836</v>
      </c>
      <c r="J70" s="129">
        <f t="shared" si="26"/>
        <v>0.65158795852435836</v>
      </c>
      <c r="K70" s="134"/>
      <c r="L70" s="127"/>
      <c r="M70" s="127"/>
      <c r="N70" s="127"/>
      <c r="O70" s="128"/>
      <c r="P70" s="127"/>
      <c r="Q70" s="127"/>
      <c r="R70" s="126"/>
      <c r="S70" s="124"/>
      <c r="T70" s="124"/>
      <c r="U70" s="124"/>
      <c r="V70" s="125"/>
      <c r="W70" s="124"/>
      <c r="X70" s="123"/>
    </row>
    <row r="71" spans="1:24">
      <c r="A71" s="133">
        <f t="shared" si="21"/>
        <v>2083</v>
      </c>
      <c r="B71" s="27">
        <f>B70*(1+'Data for Q3'!$K$15)</f>
        <v>65225.495244946651</v>
      </c>
      <c r="C71" s="132">
        <f>1/(1+'Data for Q3'!$K$18)^(A71-$A$12-0.5)</f>
        <v>5.7600466986319585E-2</v>
      </c>
      <c r="D71" s="131">
        <f t="shared" si="22"/>
        <v>101</v>
      </c>
      <c r="E71" s="129">
        <f>_xlfn.XLOOKUP(D71,'Data for Q3'!N:N,'Data for Q3'!O:O)</f>
        <v>0.31508000000000003</v>
      </c>
      <c r="F71" s="129">
        <f t="shared" si="23"/>
        <v>3.0229268173075141E-2</v>
      </c>
      <c r="G71" s="129">
        <f t="shared" si="24"/>
        <v>3.7182370590855697E-2</v>
      </c>
      <c r="H71" s="130">
        <f t="shared" si="33"/>
        <v>0</v>
      </c>
      <c r="I71" s="129">
        <f t="shared" si="25"/>
        <v>0.65158795852435836</v>
      </c>
      <c r="J71" s="129">
        <f t="shared" si="26"/>
        <v>0.65158795852435836</v>
      </c>
      <c r="K71" s="134"/>
      <c r="L71" s="127"/>
      <c r="M71" s="127"/>
      <c r="N71" s="127"/>
      <c r="O71" s="128"/>
      <c r="P71" s="127"/>
      <c r="Q71" s="127"/>
      <c r="R71" s="126"/>
      <c r="S71" s="124"/>
      <c r="T71" s="124"/>
      <c r="U71" s="124"/>
      <c r="V71" s="125"/>
      <c r="W71" s="124"/>
      <c r="X71" s="123"/>
    </row>
    <row r="72" spans="1:24">
      <c r="A72" s="133">
        <f t="shared" si="21"/>
        <v>2084</v>
      </c>
      <c r="B72" s="27">
        <f>B71*(1+'Data for Q3'!$K$15)</f>
        <v>68486.770007193991</v>
      </c>
      <c r="C72" s="132">
        <f>1/(1+'Data for Q3'!$K$18)^(A72-$A$12-0.5)</f>
        <v>5.4857587606018644E-2</v>
      </c>
      <c r="D72" s="131">
        <f t="shared" si="22"/>
        <v>102</v>
      </c>
      <c r="E72" s="129">
        <f>_xlfn.XLOOKUP(D72,'Data for Q3'!N:N,'Data for Q3'!O:O)</f>
        <v>0.33994999999999997</v>
      </c>
      <c r="F72" s="129">
        <f t="shared" si="23"/>
        <v>1.9952828457638249E-2</v>
      </c>
      <c r="G72" s="129">
        <f t="shared" si="24"/>
        <v>2.5091048315356693E-2</v>
      </c>
      <c r="H72" s="130">
        <f t="shared" si="33"/>
        <v>0</v>
      </c>
      <c r="I72" s="129">
        <f t="shared" si="25"/>
        <v>0.65158795852435836</v>
      </c>
      <c r="J72" s="129">
        <f t="shared" si="26"/>
        <v>0.65158795852435836</v>
      </c>
      <c r="K72" s="127"/>
      <c r="L72" s="127"/>
      <c r="M72" s="127"/>
      <c r="N72" s="127"/>
      <c r="O72" s="128"/>
      <c r="P72" s="127"/>
      <c r="Q72" s="127"/>
      <c r="R72" s="126"/>
      <c r="S72" s="124"/>
      <c r="T72" s="124"/>
      <c r="U72" s="124"/>
      <c r="V72" s="125"/>
      <c r="W72" s="124"/>
      <c r="X72" s="123"/>
    </row>
    <row r="73" spans="1:24">
      <c r="A73" s="133">
        <f t="shared" si="21"/>
        <v>2085</v>
      </c>
      <c r="B73" s="27">
        <f>B72*(1+'Data for Q3'!$K$15)</f>
        <v>71911.108507553698</v>
      </c>
      <c r="C73" s="132">
        <f>1/(1+'Data for Q3'!$K$18)^(A73-$A$12-0.5)</f>
        <v>5.2245321529541554E-2</v>
      </c>
      <c r="D73" s="131">
        <f t="shared" si="22"/>
        <v>103</v>
      </c>
      <c r="E73" s="129">
        <f>_xlfn.XLOOKUP(D73,'Data for Q3'!N:N,'Data for Q3'!O:O)</f>
        <v>0.36552000000000001</v>
      </c>
      <c r="F73" s="129">
        <f t="shared" si="23"/>
        <v>1.2659670599802315E-2</v>
      </c>
      <c r="G73" s="129">
        <f t="shared" si="24"/>
        <v>1.6306249528720281E-2</v>
      </c>
      <c r="H73" s="130">
        <f t="shared" si="33"/>
        <v>0</v>
      </c>
      <c r="I73" s="129">
        <f t="shared" si="25"/>
        <v>0.65158795852435836</v>
      </c>
      <c r="J73" s="129">
        <f t="shared" si="26"/>
        <v>0.65158795852435836</v>
      </c>
      <c r="K73" s="127"/>
      <c r="L73" s="127"/>
      <c r="M73" s="127"/>
      <c r="N73" s="127"/>
      <c r="O73" s="128"/>
      <c r="P73" s="127"/>
      <c r="Q73" s="127"/>
      <c r="R73" s="126"/>
      <c r="S73" s="124"/>
      <c r="T73" s="124"/>
      <c r="U73" s="124"/>
      <c r="V73" s="125"/>
      <c r="W73" s="124"/>
      <c r="X73" s="123"/>
    </row>
    <row r="74" spans="1:24">
      <c r="A74" s="133">
        <f t="shared" si="21"/>
        <v>2086</v>
      </c>
      <c r="B74" s="27">
        <f>B73*(1+'Data for Q3'!$K$15)</f>
        <v>75506.663932931391</v>
      </c>
      <c r="C74" s="132">
        <f>1/(1+'Data for Q3'!$K$18)^(A74-$A$12-0.5)</f>
        <v>4.9757449075753857E-2</v>
      </c>
      <c r="D74" s="131">
        <f t="shared" si="22"/>
        <v>104</v>
      </c>
      <c r="E74" s="129">
        <f>_xlfn.XLOOKUP(D74,'Data for Q3'!N:N,'Data for Q3'!O:O)</f>
        <v>0.39119999999999999</v>
      </c>
      <c r="F74" s="129">
        <f t="shared" si="23"/>
        <v>7.7072074611596493E-3</v>
      </c>
      <c r="G74" s="129">
        <f t="shared" si="24"/>
        <v>1.0183439030480983E-2</v>
      </c>
      <c r="H74" s="130">
        <f t="shared" si="33"/>
        <v>0</v>
      </c>
      <c r="I74" s="129">
        <f t="shared" si="25"/>
        <v>0.65158795852435836</v>
      </c>
      <c r="J74" s="129">
        <f t="shared" si="26"/>
        <v>0.65158795852435836</v>
      </c>
      <c r="K74" s="127"/>
      <c r="L74" s="127"/>
      <c r="M74" s="127"/>
      <c r="N74" s="127"/>
      <c r="O74" s="128"/>
      <c r="P74" s="127"/>
      <c r="Q74" s="127"/>
      <c r="R74" s="126"/>
      <c r="S74" s="124"/>
      <c r="T74" s="124"/>
      <c r="U74" s="124"/>
      <c r="V74" s="125"/>
      <c r="W74" s="124"/>
      <c r="X74" s="123"/>
    </row>
    <row r="75" spans="1:24">
      <c r="A75" s="133">
        <f t="shared" si="21"/>
        <v>2087</v>
      </c>
      <c r="B75" s="27">
        <f>B74*(1+'Data for Q3'!$K$15)</f>
        <v>79281.997129577969</v>
      </c>
      <c r="C75" s="132">
        <f>1/(1+'Data for Q3'!$K$18)^(A75-$A$12-0.5)</f>
        <v>4.7388046738813201E-2</v>
      </c>
      <c r="D75" s="131">
        <f t="shared" si="22"/>
        <v>105</v>
      </c>
      <c r="E75" s="129">
        <f>_xlfn.XLOOKUP(D75,'Data for Q3'!N:N,'Data for Q3'!O:O)</f>
        <v>0.41615999999999997</v>
      </c>
      <c r="F75" s="129">
        <f t="shared" si="23"/>
        <v>4.4997760041234494E-3</v>
      </c>
      <c r="G75" s="129">
        <f t="shared" si="24"/>
        <v>6.1034917326415489E-3</v>
      </c>
      <c r="H75" s="130">
        <f t="shared" si="33"/>
        <v>0</v>
      </c>
      <c r="I75" s="129">
        <f t="shared" si="25"/>
        <v>0.65158795852435836</v>
      </c>
      <c r="J75" s="129">
        <f t="shared" si="26"/>
        <v>0.65158795852435836</v>
      </c>
      <c r="K75" s="127"/>
      <c r="L75" s="127"/>
      <c r="M75" s="127"/>
      <c r="N75" s="127"/>
      <c r="O75" s="128"/>
      <c r="P75" s="127"/>
      <c r="Q75" s="127"/>
      <c r="R75" s="126"/>
      <c r="S75" s="124"/>
      <c r="T75" s="124"/>
      <c r="U75" s="124"/>
      <c r="V75" s="125"/>
      <c r="W75" s="124"/>
      <c r="X75" s="123"/>
    </row>
    <row r="76" spans="1:24">
      <c r="A76" s="133">
        <f t="shared" si="21"/>
        <v>2088</v>
      </c>
      <c r="B76" s="27">
        <f>B75*(1+'Data for Q3'!$K$15)</f>
        <v>83246.096986056873</v>
      </c>
      <c r="C76" s="132">
        <f>1/(1+'Data for Q3'!$K$18)^(A76-$A$12-0.5)</f>
        <v>4.5131473084583998E-2</v>
      </c>
      <c r="D76" s="131">
        <f t="shared" si="22"/>
        <v>106</v>
      </c>
      <c r="E76" s="129">
        <f>_xlfn.XLOOKUP(D76,'Data for Q3'!N:N,'Data for Q3'!O:O)</f>
        <v>0.43936999999999998</v>
      </c>
      <c r="F76" s="129">
        <f t="shared" si="23"/>
        <v>2.5227094211917292E-3</v>
      </c>
      <c r="G76" s="129">
        <f t="shared" si="24"/>
        <v>3.5112427126575895E-3</v>
      </c>
      <c r="H76" s="130">
        <f t="shared" si="33"/>
        <v>0</v>
      </c>
      <c r="I76" s="129">
        <f t="shared" si="25"/>
        <v>0.65158795852435836</v>
      </c>
      <c r="J76" s="129">
        <f t="shared" si="26"/>
        <v>0.65158795852435836</v>
      </c>
      <c r="K76" s="127"/>
      <c r="L76" s="127"/>
      <c r="M76" s="127"/>
      <c r="N76" s="127"/>
      <c r="O76" s="128"/>
      <c r="P76" s="127"/>
      <c r="Q76" s="127"/>
      <c r="R76" s="126"/>
      <c r="S76" s="124"/>
      <c r="T76" s="124"/>
      <c r="U76" s="124"/>
      <c r="V76" s="125"/>
      <c r="W76" s="124"/>
      <c r="X76" s="123"/>
    </row>
    <row r="77" spans="1:24">
      <c r="A77" s="133">
        <f t="shared" ref="A77:A85" si="34">A76+1</f>
        <v>2089</v>
      </c>
      <c r="B77" s="27">
        <f>B76*(1+'Data for Q3'!$K$15)</f>
        <v>87408.40183535972</v>
      </c>
      <c r="C77" s="132">
        <f>1/(1+'Data for Q3'!$K$18)^(A77-$A$12-0.5)</f>
        <v>4.2982355318651418E-2</v>
      </c>
      <c r="D77" s="131">
        <f t="shared" ref="D77:D85" si="35">D76+1</f>
        <v>107</v>
      </c>
      <c r="E77" s="129">
        <f>_xlfn.XLOOKUP(D77,'Data for Q3'!N:N,'Data for Q3'!O:O)</f>
        <v>0.45956000000000002</v>
      </c>
      <c r="F77" s="129">
        <f t="shared" ref="F77:F85" si="36">(1-E77)*F76</f>
        <v>1.3633730795888583E-3</v>
      </c>
      <c r="G77" s="129">
        <f t="shared" ref="G77:G85" si="37">(1-E77/2)*F76</f>
        <v>1.9430412503902937E-3</v>
      </c>
      <c r="H77" s="130">
        <f t="shared" si="33"/>
        <v>0</v>
      </c>
      <c r="I77" s="129">
        <f t="shared" ref="I77:I85" si="38">(1-H77)*I76</f>
        <v>0.65158795852435836</v>
      </c>
      <c r="J77" s="129">
        <f t="shared" ref="J77:J85" si="39">(1-H77/2)*I76</f>
        <v>0.65158795852435836</v>
      </c>
      <c r="K77" s="127"/>
      <c r="L77" s="127"/>
      <c r="M77" s="127"/>
      <c r="N77" s="127"/>
      <c r="O77" s="128"/>
      <c r="P77" s="127"/>
      <c r="Q77" s="127"/>
      <c r="R77" s="126"/>
      <c r="S77" s="124"/>
      <c r="T77" s="124"/>
      <c r="U77" s="124"/>
      <c r="V77" s="125"/>
      <c r="W77" s="124"/>
      <c r="X77" s="123"/>
    </row>
    <row r="78" spans="1:24">
      <c r="A78" s="133">
        <f t="shared" si="34"/>
        <v>2090</v>
      </c>
      <c r="B78" s="27">
        <f>B77*(1+'Data for Q3'!$K$15)</f>
        <v>91778.821927127705</v>
      </c>
      <c r="C78" s="132">
        <f>1/(1+'Data for Q3'!$K$18)^(A78-$A$12-0.5)</f>
        <v>4.0935576493953726E-2</v>
      </c>
      <c r="D78" s="131">
        <f t="shared" si="35"/>
        <v>108</v>
      </c>
      <c r="E78" s="129">
        <f>_xlfn.XLOOKUP(D78,'Data for Q3'!N:N,'Data for Q3'!O:O)</f>
        <v>0.47972999999999999</v>
      </c>
      <c r="F78" s="129">
        <f t="shared" si="36"/>
        <v>7.0932211211769531E-4</v>
      </c>
      <c r="G78" s="129">
        <f t="shared" si="37"/>
        <v>1.0363475958532768E-3</v>
      </c>
      <c r="H78" s="130">
        <f t="shared" si="33"/>
        <v>0</v>
      </c>
      <c r="I78" s="129">
        <f t="shared" si="38"/>
        <v>0.65158795852435836</v>
      </c>
      <c r="J78" s="129">
        <f t="shared" si="39"/>
        <v>0.65158795852435836</v>
      </c>
      <c r="K78" s="127"/>
      <c r="L78" s="127"/>
      <c r="M78" s="127"/>
      <c r="N78" s="127"/>
      <c r="O78" s="128"/>
      <c r="P78" s="127"/>
      <c r="Q78" s="127"/>
      <c r="R78" s="126"/>
      <c r="S78" s="124"/>
      <c r="T78" s="124"/>
      <c r="U78" s="124"/>
      <c r="V78" s="125"/>
      <c r="W78" s="124"/>
      <c r="X78" s="123"/>
    </row>
    <row r="79" spans="1:24">
      <c r="A79" s="133">
        <f t="shared" si="34"/>
        <v>2091</v>
      </c>
      <c r="B79" s="27">
        <f>B78*(1+'Data for Q3'!$K$15)</f>
        <v>96367.763023484091</v>
      </c>
      <c r="C79" s="132">
        <f>1/(1+'Data for Q3'!$K$18)^(A79-$A$12-0.5)</f>
        <v>3.8986263327574988E-2</v>
      </c>
      <c r="D79" s="131">
        <f t="shared" si="35"/>
        <v>109</v>
      </c>
      <c r="E79" s="129">
        <f>_xlfn.XLOOKUP(D79,'Data for Q3'!N:N,'Data for Q3'!O:O)</f>
        <v>0.50988</v>
      </c>
      <c r="F79" s="129">
        <f t="shared" si="36"/>
        <v>3.4765295359112484E-4</v>
      </c>
      <c r="G79" s="129">
        <f t="shared" si="37"/>
        <v>5.2848753285441013E-4</v>
      </c>
      <c r="H79" s="130">
        <f t="shared" si="33"/>
        <v>0</v>
      </c>
      <c r="I79" s="129">
        <f t="shared" si="38"/>
        <v>0.65158795852435836</v>
      </c>
      <c r="J79" s="129">
        <f t="shared" si="39"/>
        <v>0.65158795852435836</v>
      </c>
      <c r="K79" s="127"/>
      <c r="L79" s="127"/>
      <c r="M79" s="127"/>
      <c r="N79" s="127"/>
      <c r="O79" s="128"/>
      <c r="P79" s="127"/>
      <c r="Q79" s="127"/>
      <c r="R79" s="126"/>
      <c r="S79" s="124"/>
      <c r="T79" s="124"/>
      <c r="U79" s="124"/>
      <c r="V79" s="125"/>
      <c r="W79" s="124"/>
      <c r="X79" s="123"/>
    </row>
    <row r="80" spans="1:24">
      <c r="A80" s="133">
        <f t="shared" si="34"/>
        <v>2092</v>
      </c>
      <c r="B80" s="27">
        <f>B79*(1+'Data for Q3'!$K$15)</f>
        <v>101186.1511746583</v>
      </c>
      <c r="C80" s="132">
        <f>1/(1+'Data for Q3'!$K$18)^(A80-$A$12-0.5)</f>
        <v>3.7129774597690457E-2</v>
      </c>
      <c r="D80" s="131">
        <f t="shared" si="35"/>
        <v>110</v>
      </c>
      <c r="E80" s="129">
        <f>_xlfn.XLOOKUP(D80,'Data for Q3'!N:N,'Data for Q3'!O:O)</f>
        <v>0.53</v>
      </c>
      <c r="F80" s="129">
        <f t="shared" si="36"/>
        <v>1.6339688818782866E-4</v>
      </c>
      <c r="G80" s="129">
        <f t="shared" si="37"/>
        <v>2.5552492088947674E-4</v>
      </c>
      <c r="H80" s="130">
        <f t="shared" si="33"/>
        <v>0</v>
      </c>
      <c r="I80" s="129">
        <f t="shared" si="38"/>
        <v>0.65158795852435836</v>
      </c>
      <c r="J80" s="129">
        <f t="shared" si="39"/>
        <v>0.65158795852435836</v>
      </c>
      <c r="K80" s="127"/>
      <c r="L80" s="127"/>
      <c r="M80" s="127"/>
      <c r="N80" s="127"/>
      <c r="O80" s="128"/>
      <c r="P80" s="127"/>
      <c r="Q80" s="127"/>
      <c r="R80" s="126"/>
      <c r="S80" s="124"/>
      <c r="T80" s="124"/>
      <c r="U80" s="124"/>
      <c r="V80" s="125"/>
      <c r="W80" s="124"/>
      <c r="X80" s="123"/>
    </row>
    <row r="81" spans="1:24">
      <c r="A81" s="133">
        <f t="shared" si="34"/>
        <v>2093</v>
      </c>
      <c r="B81" s="27">
        <f>B80*(1+'Data for Q3'!$K$15)</f>
        <v>106245.45873339122</v>
      </c>
      <c r="C81" s="132">
        <f>1/(1+'Data for Q3'!$K$18)^(A81-$A$12-0.5)</f>
        <v>3.5361690093038529E-2</v>
      </c>
      <c r="D81" s="131">
        <f t="shared" si="35"/>
        <v>111</v>
      </c>
      <c r="E81" s="129">
        <f>_xlfn.XLOOKUP(D81,'Data for Q3'!N:N,'Data for Q3'!O:O)</f>
        <v>0.55000000000000004</v>
      </c>
      <c r="F81" s="129">
        <f t="shared" si="36"/>
        <v>7.3528599684522883E-5</v>
      </c>
      <c r="G81" s="129">
        <f t="shared" si="37"/>
        <v>1.1846274393617577E-4</v>
      </c>
      <c r="H81" s="130">
        <f t="shared" si="33"/>
        <v>0</v>
      </c>
      <c r="I81" s="129">
        <f t="shared" si="38"/>
        <v>0.65158795852435836</v>
      </c>
      <c r="J81" s="129">
        <f t="shared" si="39"/>
        <v>0.65158795852435836</v>
      </c>
      <c r="K81" s="127"/>
      <c r="L81" s="127"/>
      <c r="M81" s="127"/>
      <c r="N81" s="127"/>
      <c r="O81" s="128"/>
      <c r="P81" s="127"/>
      <c r="Q81" s="127"/>
      <c r="R81" s="126"/>
      <c r="S81" s="124"/>
      <c r="T81" s="124"/>
      <c r="U81" s="124"/>
      <c r="V81" s="125"/>
      <c r="W81" s="124"/>
      <c r="X81" s="123"/>
    </row>
    <row r="82" spans="1:24">
      <c r="A82" s="133">
        <f t="shared" si="34"/>
        <v>2094</v>
      </c>
      <c r="B82" s="27">
        <f>B81*(1+'Data for Q3'!$K$15)</f>
        <v>111557.73167006079</v>
      </c>
      <c r="C82" s="132">
        <f>1/(1+'Data for Q3'!$K$18)^(A82-$A$12-0.5)</f>
        <v>3.3677800088608122E-2</v>
      </c>
      <c r="D82" s="131">
        <f t="shared" si="35"/>
        <v>112</v>
      </c>
      <c r="E82" s="129">
        <f>_xlfn.XLOOKUP(D82,'Data for Q3'!N:N,'Data for Q3'!O:O)</f>
        <v>0.56999999999999995</v>
      </c>
      <c r="F82" s="129">
        <f t="shared" si="36"/>
        <v>3.1617297864344842E-5</v>
      </c>
      <c r="G82" s="129">
        <f t="shared" si="37"/>
        <v>5.2572948774433866E-5</v>
      </c>
      <c r="H82" s="130">
        <f t="shared" si="33"/>
        <v>0</v>
      </c>
      <c r="I82" s="129">
        <f t="shared" si="38"/>
        <v>0.65158795852435836</v>
      </c>
      <c r="J82" s="129">
        <f t="shared" si="39"/>
        <v>0.65158795852435836</v>
      </c>
      <c r="K82" s="127"/>
      <c r="L82" s="127"/>
      <c r="M82" s="127"/>
      <c r="N82" s="127"/>
      <c r="O82" s="128"/>
      <c r="P82" s="127"/>
      <c r="Q82" s="127"/>
      <c r="R82" s="126"/>
      <c r="S82" s="124"/>
      <c r="T82" s="124"/>
      <c r="U82" s="124"/>
      <c r="V82" s="125"/>
      <c r="W82" s="124"/>
      <c r="X82" s="123"/>
    </row>
    <row r="83" spans="1:24">
      <c r="A83" s="133">
        <f t="shared" si="34"/>
        <v>2095</v>
      </c>
      <c r="B83" s="27">
        <f>B82*(1+'Data for Q3'!$K$15)</f>
        <v>117135.61825356384</v>
      </c>
      <c r="C83" s="132">
        <f>1/(1+'Data for Q3'!$K$18)^(A83-$A$12-0.5)</f>
        <v>3.2074095322483932E-2</v>
      </c>
      <c r="D83" s="131">
        <f t="shared" si="35"/>
        <v>113</v>
      </c>
      <c r="E83" s="129">
        <f>_xlfn.XLOOKUP(D83,'Data for Q3'!N:N,'Data for Q3'!O:O)</f>
        <v>0.59</v>
      </c>
      <c r="F83" s="129">
        <f t="shared" si="36"/>
        <v>1.2963092124381387E-5</v>
      </c>
      <c r="G83" s="129">
        <f t="shared" si="37"/>
        <v>2.2290194994363116E-5</v>
      </c>
      <c r="H83" s="130">
        <f t="shared" si="33"/>
        <v>0</v>
      </c>
      <c r="I83" s="129">
        <f t="shared" si="38"/>
        <v>0.65158795852435836</v>
      </c>
      <c r="J83" s="129">
        <f t="shared" si="39"/>
        <v>0.65158795852435836</v>
      </c>
      <c r="K83" s="127"/>
      <c r="L83" s="127"/>
      <c r="M83" s="127"/>
      <c r="N83" s="127"/>
      <c r="O83" s="128"/>
      <c r="P83" s="127"/>
      <c r="Q83" s="127"/>
      <c r="R83" s="126"/>
      <c r="S83" s="124"/>
      <c r="T83" s="124"/>
      <c r="U83" s="124"/>
      <c r="V83" s="125"/>
      <c r="W83" s="124"/>
      <c r="X83" s="123"/>
    </row>
    <row r="84" spans="1:24">
      <c r="A84" s="133">
        <f t="shared" si="34"/>
        <v>2096</v>
      </c>
      <c r="B84" s="27">
        <f>B83*(1+'Data for Q3'!$K$15)</f>
        <v>122992.39916624203</v>
      </c>
      <c r="C84" s="132">
        <f>1/(1+'Data for Q3'!$K$18)^(A84-$A$12-0.5)</f>
        <v>3.0546757449984689E-2</v>
      </c>
      <c r="D84" s="131">
        <f t="shared" si="35"/>
        <v>114</v>
      </c>
      <c r="E84" s="129">
        <f>_xlfn.XLOOKUP(D84,'Data for Q3'!N:N,'Data for Q3'!O:O)</f>
        <v>0.61</v>
      </c>
      <c r="F84" s="129">
        <f t="shared" si="36"/>
        <v>5.0556059285087414E-6</v>
      </c>
      <c r="G84" s="129">
        <f t="shared" si="37"/>
        <v>9.0093490264450642E-6</v>
      </c>
      <c r="H84" s="130">
        <f t="shared" si="33"/>
        <v>0</v>
      </c>
      <c r="I84" s="129">
        <f t="shared" si="38"/>
        <v>0.65158795852435836</v>
      </c>
      <c r="J84" s="129">
        <f t="shared" si="39"/>
        <v>0.65158795852435836</v>
      </c>
      <c r="K84" s="127"/>
      <c r="L84" s="127"/>
      <c r="M84" s="127"/>
      <c r="N84" s="127"/>
      <c r="O84" s="128"/>
      <c r="P84" s="127"/>
      <c r="Q84" s="127"/>
      <c r="R84" s="126"/>
      <c r="S84" s="124"/>
      <c r="T84" s="124"/>
      <c r="U84" s="124"/>
      <c r="V84" s="125"/>
      <c r="W84" s="124"/>
      <c r="X84" s="123"/>
    </row>
    <row r="85" spans="1:24">
      <c r="A85" s="133">
        <f t="shared" si="34"/>
        <v>2097</v>
      </c>
      <c r="B85" s="27">
        <f>B84*(1+'Data for Q3'!$K$15)</f>
        <v>129142.01912455414</v>
      </c>
      <c r="C85" s="132">
        <f>1/(1+'Data for Q3'!$K$18)^(A85-$A$12-0.5)</f>
        <v>2.9092149952366367E-2</v>
      </c>
      <c r="D85" s="131">
        <f t="shared" si="35"/>
        <v>115</v>
      </c>
      <c r="E85" s="129">
        <f>_xlfn.XLOOKUP(D85,'Data for Q3'!N:N,'Data for Q3'!O:O)</f>
        <v>1</v>
      </c>
      <c r="F85" s="129">
        <f t="shared" si="36"/>
        <v>0</v>
      </c>
      <c r="G85" s="129">
        <f t="shared" si="37"/>
        <v>2.5278029642543707E-6</v>
      </c>
      <c r="H85" s="130">
        <f t="shared" si="33"/>
        <v>0</v>
      </c>
      <c r="I85" s="129">
        <f t="shared" si="38"/>
        <v>0.65158795852435836</v>
      </c>
      <c r="J85" s="129">
        <f t="shared" si="39"/>
        <v>0.65158795852435836</v>
      </c>
      <c r="K85" s="127"/>
      <c r="L85" s="127"/>
      <c r="M85" s="127"/>
      <c r="N85" s="127"/>
      <c r="O85" s="128"/>
      <c r="P85" s="127"/>
      <c r="Q85" s="127"/>
      <c r="R85" s="126"/>
      <c r="S85" s="124"/>
      <c r="T85" s="124"/>
      <c r="U85" s="124"/>
      <c r="V85" s="125"/>
      <c r="W85" s="124"/>
      <c r="X85" s="123"/>
    </row>
    <row r="86" spans="1:24" ht="15.75">
      <c r="A86" s="122"/>
      <c r="D86" s="121"/>
    </row>
    <row r="87" spans="1:24" ht="15.75">
      <c r="A87" s="122"/>
      <c r="D87" s="121"/>
    </row>
    <row r="88" spans="1:24" ht="15.75">
      <c r="A88" s="122"/>
      <c r="D88" s="121"/>
    </row>
    <row r="89" spans="1:24" ht="15.75">
      <c r="A89" s="122"/>
      <c r="D89" s="121"/>
    </row>
    <row r="90" spans="1:24" ht="15.75">
      <c r="A90" s="120"/>
      <c r="D90" s="119"/>
    </row>
    <row r="92" spans="1:24">
      <c r="A92" s="25"/>
      <c r="D92" s="119"/>
    </row>
  </sheetData>
  <mergeCells count="3">
    <mergeCell ref="R10:X10"/>
    <mergeCell ref="D10:J10"/>
    <mergeCell ref="K10:Q10"/>
  </mergeCells>
  <pageMargins left="0.7" right="0.7" top="0.75" bottom="0.75" header="0.3" footer="0.3"/>
  <pageSetup orientation="portrait" horizontalDpi="4294967295" verticalDpi="4294967295" r:id="rId1"/>
  <ignoredErrors>
    <ignoredError sqref="H15:H25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Q1</vt:lpstr>
      <vt:lpstr>Data for Q1</vt:lpstr>
      <vt:lpstr>Solution Q1</vt:lpstr>
      <vt:lpstr>Q2</vt:lpstr>
      <vt:lpstr>Data for Q2</vt:lpstr>
      <vt:lpstr>Solution for Q2</vt:lpstr>
      <vt:lpstr>Q3</vt:lpstr>
      <vt:lpstr>Data for Q3</vt:lpstr>
      <vt:lpstr>Solution Q3 (a)</vt:lpstr>
      <vt:lpstr>Solution Q3 (c)</vt:lpstr>
      <vt:lpstr>Q4</vt:lpstr>
      <vt:lpstr>Data for Q4</vt:lpstr>
      <vt:lpstr>Solution for Q4</vt:lpstr>
      <vt:lpstr>Q5</vt:lpstr>
      <vt:lpstr>Data for Q5</vt:lpstr>
      <vt:lpstr>Solution for Q5 (b)</vt:lpstr>
      <vt:lpstr>Solution for Q5 (c)</vt:lpstr>
      <vt:lpstr>Q6</vt:lpstr>
      <vt:lpstr>Data for Q6</vt:lpstr>
      <vt:lpstr>Solution for Q6</vt:lpstr>
      <vt:lpstr>Q7</vt:lpstr>
      <vt:lpstr>Data for Q7 (c)</vt:lpstr>
      <vt:lpstr>Data for Q7 (d)</vt:lpstr>
      <vt:lpstr>Solution for Q7 (c)</vt:lpstr>
      <vt:lpstr>Solution for Q7 (d)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Aleshia Zionce</dc:creator>
  <cp:lastModifiedBy>Aleshia Zionce</cp:lastModifiedBy>
  <dcterms:created xsi:type="dcterms:W3CDTF">2022-08-14T16:03:15Z</dcterms:created>
  <dcterms:modified xsi:type="dcterms:W3CDTF">2025-01-16T16:42:54Z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