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5C7B0755-27D3-4EE1-AB33-801BFA3B5B6C}" xr6:coauthVersionLast="47" xr6:coauthVersionMax="47" xr10:uidLastSave="{00000000-0000-0000-0000-000000000000}"/>
  <bookViews>
    <workbookView xWindow="28830" yWindow="240" windowWidth="20460" windowHeight="10335" firstSheet="3" activeTab="5" xr2:uid="{0DAF02E3-E79B-4058-99A4-AE8DD9EED8E9}"/>
  </bookViews>
  <sheets>
    <sheet name="Q3" sheetId="1" r:id="rId1"/>
    <sheet name="Q3 Solution" sheetId="2" r:id="rId2"/>
    <sheet name="Q5" sheetId="3" r:id="rId3"/>
    <sheet name="Q5 Solution" sheetId="4" r:id="rId4"/>
    <sheet name="Q7 Solution" sheetId="5" r:id="rId5"/>
    <sheet name="Q8" sheetId="6" r:id="rId6"/>
    <sheet name="Q8 Solution" sheetId="7" r:id="rId7"/>
  </sheets>
  <definedNames>
    <definedName name="lamb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B8" i="7"/>
  <c r="A12" i="7"/>
  <c r="A14" i="7"/>
  <c r="B87" i="5"/>
  <c r="C87" i="5"/>
  <c r="C99" i="5" s="1"/>
  <c r="E109" i="5" s="1"/>
  <c r="D87" i="5"/>
  <c r="D99" i="5" s="1"/>
  <c r="B88" i="5"/>
  <c r="B100" i="5" s="1"/>
  <c r="C88" i="5"/>
  <c r="C100" i="5" s="1"/>
  <c r="D88" i="5"/>
  <c r="D100" i="5" s="1"/>
  <c r="B89" i="5"/>
  <c r="B101" i="5" s="1"/>
  <c r="C89" i="5"/>
  <c r="C101" i="5" s="1"/>
  <c r="D89" i="5"/>
  <c r="D101" i="5" s="1"/>
  <c r="B90" i="5"/>
  <c r="B102" i="5" s="1"/>
  <c r="C90" i="5"/>
  <c r="C102" i="5" s="1"/>
  <c r="D90" i="5"/>
  <c r="B99" i="5"/>
  <c r="D102" i="5"/>
  <c r="E128" i="5"/>
  <c r="E129" i="5"/>
  <c r="E130" i="5"/>
  <c r="E131" i="5"/>
  <c r="F134" i="5"/>
  <c r="F135" i="5"/>
  <c r="F136" i="5"/>
  <c r="F137" i="5"/>
  <c r="B176" i="5"/>
  <c r="B182" i="5"/>
  <c r="B193" i="5"/>
  <c r="E112" i="5" l="1"/>
  <c r="E124" i="5" s="1"/>
  <c r="F143" i="5" s="1"/>
  <c r="F155" i="5" s="1"/>
  <c r="E110" i="5"/>
  <c r="E122" i="5" s="1"/>
  <c r="F141" i="5" s="1"/>
  <c r="F153" i="5" s="1"/>
  <c r="E111" i="5"/>
  <c r="E123" i="5" s="1"/>
  <c r="F142" i="5" s="1"/>
  <c r="F154" i="5" s="1"/>
  <c r="E121" i="5"/>
  <c r="F140" i="5" s="1"/>
  <c r="F152" i="5" s="1"/>
  <c r="F163" i="5" s="1"/>
  <c r="B181" i="5" s="1"/>
  <c r="I10" i="4"/>
  <c r="H32" i="4"/>
  <c r="I32" i="4"/>
  <c r="J32" i="4"/>
  <c r="J33" i="4"/>
  <c r="J35" i="4" s="1"/>
  <c r="J36" i="4" s="1"/>
  <c r="J34" i="4"/>
  <c r="E42" i="4"/>
  <c r="E43" i="4" s="1"/>
  <c r="I44" i="4" s="1"/>
  <c r="I46" i="4" s="1"/>
  <c r="D43" i="4"/>
  <c r="H44" i="4" s="1"/>
  <c r="H43" i="4"/>
  <c r="H9" i="4" s="1"/>
  <c r="E114" i="5" l="1"/>
  <c r="E125" i="5" s="1"/>
  <c r="B202" i="5"/>
  <c r="B183" i="5"/>
  <c r="B198" i="5" s="1"/>
  <c r="B187" i="5"/>
  <c r="H10" i="4"/>
  <c r="J11" i="4"/>
  <c r="H17" i="4"/>
  <c r="G50" i="4"/>
  <c r="G51" i="4"/>
  <c r="J44" i="4"/>
  <c r="H46" i="4"/>
  <c r="G6" i="2"/>
  <c r="C7" i="2"/>
  <c r="F7" i="2"/>
  <c r="H11" i="2" s="1"/>
  <c r="G7" i="2"/>
  <c r="G11" i="2" s="1"/>
  <c r="C10" i="2"/>
  <c r="E10" i="2"/>
  <c r="G10" i="2"/>
  <c r="H10" i="2"/>
  <c r="I10" i="2"/>
  <c r="J10" i="2"/>
  <c r="K10" i="2"/>
  <c r="C11" i="2"/>
  <c r="F11" i="2"/>
  <c r="D16" i="2"/>
  <c r="G20" i="2" s="1"/>
  <c r="G24" i="2" s="1"/>
  <c r="E16" i="2"/>
  <c r="H23" i="2" s="1"/>
  <c r="F16" i="2"/>
  <c r="H16" i="2"/>
  <c r="I16" i="2"/>
  <c r="J16" i="2"/>
  <c r="G19" i="2"/>
  <c r="G23" i="2" s="1"/>
  <c r="C20" i="2"/>
  <c r="C24" i="2" s="1"/>
  <c r="F20" i="2"/>
  <c r="F24" i="2" s="1"/>
  <c r="H24" i="2" s="1"/>
  <c r="C23" i="2"/>
  <c r="E23" i="2"/>
  <c r="F50" i="4" l="1"/>
  <c r="F51" i="4"/>
  <c r="J10" i="4"/>
  <c r="J12" i="4" s="1"/>
  <c r="D16" i="4" s="1"/>
  <c r="I24" i="2"/>
  <c r="J24" i="2" s="1"/>
  <c r="I11" i="2"/>
  <c r="J11" i="2" s="1"/>
  <c r="K11" i="2"/>
  <c r="I23" i="2"/>
  <c r="J23" i="2" s="1"/>
  <c r="E16" i="4" l="1"/>
  <c r="D17" i="4"/>
  <c r="H18" i="4"/>
  <c r="K23" i="2"/>
  <c r="K24" i="2"/>
  <c r="H20" i="4" l="1"/>
  <c r="E17" i="4"/>
  <c r="I18" i="4"/>
  <c r="I20" i="4" s="1"/>
  <c r="G24" i="4" l="1"/>
  <c r="G25" i="4"/>
  <c r="F25" i="4"/>
  <c r="F24" i="4"/>
  <c r="J18" i="4"/>
</calcChain>
</file>

<file path=xl/sharedStrings.xml><?xml version="1.0" encoding="utf-8"?>
<sst xmlns="http://schemas.openxmlformats.org/spreadsheetml/2006/main" count="331" uniqueCount="168">
  <si>
    <t>Question 3</t>
  </si>
  <si>
    <r>
      <t>(</t>
    </r>
    <r>
      <rPr>
        <i/>
        <sz val="14"/>
        <color theme="1"/>
        <rFont val="Times New Roman"/>
        <family val="1"/>
      </rPr>
      <t>7 points</t>
    </r>
    <r>
      <rPr>
        <sz val="14"/>
        <color theme="1"/>
        <rFont val="Times New Roman"/>
        <family val="1"/>
      </rPr>
      <t xml:space="preserve">)  You are an actuary for an Accountable Care Organization (ACO) that participates in the Medicare Shared Savings Program (MSSP).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</si>
  <si>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4"/>
        <color theme="1"/>
        <rFont val="Times New Roman"/>
        <family val="1"/>
      </rPr>
      <t>The ACO is participating in a two-sided model with a 60% share on savings.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</si>
  <si>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4"/>
        <color theme="1"/>
        <rFont val="Times New Roman"/>
        <family val="1"/>
      </rPr>
      <t>2022 is Year 2 of the ACO’s first contract period in the MSSP.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</si>
  <si>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4"/>
        <color theme="1"/>
        <rFont val="Times New Roman"/>
        <family val="1"/>
      </rPr>
      <t>The ACO’s 2022 baseline spending is projected to be $3,000,000.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</si>
  <si>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4"/>
        <color theme="1"/>
        <rFont val="Times New Roman"/>
        <family val="1"/>
      </rPr>
      <t>The ACO’s quality score is 1.0.</t>
    </r>
  </si>
  <si>
    <t>An unanticipated surgery costing $60,000 needs to be scheduled at the ACO between December 15, 2022 and January 15, 2023.</t>
  </si>
  <si>
    <r>
      <t xml:space="preserve">(a)              </t>
    </r>
    <r>
      <rPr>
        <i/>
        <sz val="14"/>
        <color rgb="FF000000"/>
        <rFont val="Times New Roman"/>
        <family val="1"/>
      </rPr>
      <t xml:space="preserve">(4 points)  </t>
    </r>
    <r>
      <rPr>
        <sz val="14"/>
        <color rgb="FF000000"/>
        <rFont val="Times New Roman"/>
        <family val="1"/>
      </rPr>
      <t>Calculate the cumulative marginal revenue over the two MSSP contract period (2021 through 2026) under the following scenarios.  Show your work.</t>
    </r>
  </si>
  <si>
    <t>(i)              The surgery occurs in 2022</t>
  </si>
  <si>
    <t>(ii)             The surgery occurs in 2023</t>
  </si>
  <si>
    <r>
      <t xml:space="preserve">(b)              </t>
    </r>
    <r>
      <rPr>
        <i/>
        <sz val="14"/>
        <color rgb="FF000000"/>
        <rFont val="Times New Roman"/>
        <family val="1"/>
      </rPr>
      <t xml:space="preserve">(2 points)  </t>
    </r>
    <r>
      <rPr>
        <sz val="14"/>
        <color rgb="FF000000"/>
        <rFont val="Times New Roman"/>
        <family val="1"/>
      </rPr>
      <t>Propose weights to use in determining the benchmark such that the cumulative marginal revenue does not exceed net payments for the surgery.</t>
    </r>
  </si>
  <si>
    <t>ANSWER</t>
  </si>
  <si>
    <t>Using equal weights, the cumulative marginal revenue equals the FFS payments</t>
  </si>
  <si>
    <t>Surgery in 2023</t>
  </si>
  <si>
    <t>Surgery in 2022</t>
  </si>
  <si>
    <t>Marginal revenue before share savings/losses</t>
  </si>
  <si>
    <t>Revenue before share savings/losses</t>
  </si>
  <si>
    <t>Weights</t>
  </si>
  <si>
    <t>2021-2026</t>
  </si>
  <si>
    <t>Benchmark</t>
  </si>
  <si>
    <t>Annual base spending</t>
  </si>
  <si>
    <t>Cumulative marginal return</t>
  </si>
  <si>
    <t>Second contract period</t>
  </si>
  <si>
    <t>First contract period</t>
  </si>
  <si>
    <t>Part B</t>
  </si>
  <si>
    <t>Part A</t>
  </si>
  <si>
    <t>(ii)             With age rating and premiums three times higher for Older Adults than Young Adults.</t>
  </si>
  <si>
    <t>(i)              Without age rating.</t>
  </si>
  <si>
    <r>
      <t>(c)              </t>
    </r>
    <r>
      <rPr>
        <i/>
        <sz val="14"/>
        <color theme="1"/>
        <rFont val="Times New Roman"/>
        <family val="1"/>
      </rPr>
      <t>(4 points)</t>
    </r>
    <r>
      <rPr>
        <sz val="14"/>
        <color theme="1"/>
        <rFont val="Times New Roman"/>
        <family val="1"/>
      </rPr>
      <t xml:space="preserve"> Calculate the allowed premiums and equitable risk transfer payments and receipts for Insurer A and Insurer B under each of the following scenarios.  Show your work.</t>
    </r>
  </si>
  <si>
    <r>
      <t>·</t>
    </r>
    <r>
      <rPr>
        <sz val="14"/>
        <color theme="1"/>
        <rFont val="Times New Roman"/>
        <family val="1"/>
      </rPr>
      <t>         No enrollment changes.</t>
    </r>
  </si>
  <si>
    <r>
      <t>·</t>
    </r>
    <r>
      <rPr>
        <sz val="14"/>
        <color theme="1"/>
        <rFont val="Times New Roman"/>
        <family val="1"/>
      </rPr>
      <t>         Adequate monthly premiums are $100 for Young Adults and $600 for Older Adults.</t>
    </r>
  </si>
  <si>
    <t>Older Adult</t>
  </si>
  <si>
    <t>Young Adult</t>
  </si>
  <si>
    <t>Insurer B</t>
  </si>
  <si>
    <t>Insurer A</t>
  </si>
  <si>
    <t>Demographics</t>
  </si>
  <si>
    <t>Enrollment</t>
  </si>
  <si>
    <t>You are given the following information for two adult populations in State X:</t>
  </si>
  <si>
    <t>Question 5</t>
  </si>
  <si>
    <t>or pmpm transer</t>
  </si>
  <si>
    <t>These two answers are also acceptable</t>
  </si>
  <si>
    <t xml:space="preserve">Annual transfer total </t>
  </si>
  <si>
    <t>note:</t>
  </si>
  <si>
    <t>insurer B receive fund 200,000</t>
  </si>
  <si>
    <t>Insurer A transfer out fund 200,000</t>
  </si>
  <si>
    <t>Premium Deficiency</t>
  </si>
  <si>
    <t>Allowed Premium</t>
  </si>
  <si>
    <t>x =</t>
  </si>
  <si>
    <t>75,000x = 13,500,000</t>
  </si>
  <si>
    <t>Young Adult Premium</t>
  </si>
  <si>
    <t xml:space="preserve"> 15,000(x) + 20,000 (3x) = 13,500,000</t>
  </si>
  <si>
    <t>Algebra</t>
  </si>
  <si>
    <t>Older Adult Enrollment</t>
  </si>
  <si>
    <t>Young Adult Enrollment</t>
  </si>
  <si>
    <t>Premium</t>
  </si>
  <si>
    <t>Unallowed Premium</t>
  </si>
  <si>
    <t>ii. 3:1 Age Rating</t>
  </si>
  <si>
    <t>insurer B receive fund 714,286</t>
  </si>
  <si>
    <t>Insurer A transfer out fund 714,286</t>
  </si>
  <si>
    <t>Average Premium</t>
  </si>
  <si>
    <t>i. No Age Rating</t>
  </si>
  <si>
    <t>Source: Restoring the Indifference Ideal: If It’s Not Adjusting for “Risk,” It’s Not “Risk Adjustment”</t>
  </si>
  <si>
    <t>The ACO’s earned performance payment = $7.2M.</t>
  </si>
  <si>
    <t>Since shared savings amount ($7.2M) is &lt; the performance payment limit amount ($68M), then do not apply cap.</t>
  </si>
  <si>
    <t>Step 7: State the earned performance payment amount.</t>
  </si>
  <si>
    <t>= $682m × 10%</t>
  </si>
  <si>
    <t>Total updated benchmark expenditures × Performance payment limit percentage</t>
  </si>
  <si>
    <t>Step 6: Apply the performance payment limit.</t>
  </si>
  <si>
    <t>= $32m × 22%</t>
  </si>
  <si>
    <t>Savings (step 2) × Final shared savings rate (step 4)</t>
  </si>
  <si>
    <t>Step 5: Calculate the shared savings amount.</t>
  </si>
  <si>
    <r>
      <rPr>
        <b/>
        <i/>
        <sz val="14"/>
        <color theme="1"/>
        <rFont val="Times New Roman"/>
        <family val="1"/>
        <charset val="1"/>
      </rPr>
      <t>Note</t>
    </r>
    <r>
      <rPr>
        <i/>
        <sz val="14"/>
        <color theme="1"/>
        <rFont val="Times New Roman"/>
        <family val="1"/>
        <charset val="1"/>
      </rPr>
      <t>: Credit will also be awarded if candidates identify the maximum sharing rate as 50% for the one-sided gainsharing model and correctly apply 50% in their calculations.</t>
    </r>
  </si>
  <si>
    <t>= 40% x 55%</t>
  </si>
  <si>
    <t xml:space="preserve">Quality performance sharing rate allowable by track x ACO’s health equity adjusted quality performance score (expressed as a percentage) </t>
  </si>
  <si>
    <t>Step 4: Determine final shared savings rate based on quality performance</t>
  </si>
  <si>
    <t>Since savings ($32.7M) are ≥ the MSR ($16.4M), the ACO is eligible for a shared savings payment.</t>
  </si>
  <si>
    <t>= $682m × 2.4%</t>
  </si>
  <si>
    <t>Total updated benchmark expenditures × MSR</t>
  </si>
  <si>
    <t>Step 3: Determine if savings generated meet or exceed the MSR.</t>
  </si>
  <si>
    <t xml:space="preserve">Savings </t>
  </si>
  <si>
    <t>Total Performance Year expenditures</t>
  </si>
  <si>
    <t xml:space="preserve">Total Updated Benchmark expenditures </t>
  </si>
  <si>
    <t>Total updated benchmark expenditures − Total performance year expenditures</t>
  </si>
  <si>
    <t>Step 2: Determine difference between total updated benchmark expenditures and total performance year expenditures.</t>
  </si>
  <si>
    <t>MSR for 30,000</t>
  </si>
  <si>
    <t xml:space="preserve">For 30,000 memberships, the MSR is the linear interpolation between MSR for 20,000 and 49,999, which is 2.4% </t>
  </si>
  <si>
    <t xml:space="preserve">The MSR is calculated by linear interpolation between end-points of the membership categories </t>
  </si>
  <si>
    <t>Step 1: Calculate Target MSR</t>
  </si>
  <si>
    <t xml:space="preserve">(d)              (3 points) </t>
  </si>
  <si>
    <t>Updated benchmark</t>
  </si>
  <si>
    <t>Aged/non-dual</t>
  </si>
  <si>
    <t>Aged/dual</t>
  </si>
  <si>
    <t>Disabled</t>
  </si>
  <si>
    <t>ESRD</t>
  </si>
  <si>
    <t>Assigned beneficiary proportions for the performance year</t>
  </si>
  <si>
    <t>Risk adjusted benchmark plus increment</t>
  </si>
  <si>
    <t>OACT national FFS growth increment</t>
  </si>
  <si>
    <t>Risk adjusted historical benchmark</t>
  </si>
  <si>
    <t>Risk ratio</t>
  </si>
  <si>
    <t>Risk score</t>
  </si>
  <si>
    <t>Weighted Average</t>
  </si>
  <si>
    <t>Performance Year</t>
  </si>
  <si>
    <t>Benchmark Period</t>
  </si>
  <si>
    <t>Historical benchmark</t>
  </si>
  <si>
    <t>(ii) Updated Benchmark per Capita</t>
  </si>
  <si>
    <t>3-Year Average Benchmark</t>
  </si>
  <si>
    <t>Proportions</t>
  </si>
  <si>
    <t>Average Annual Per Capita Expenditures</t>
  </si>
  <si>
    <t>Benchmark Year Weights</t>
  </si>
  <si>
    <t>Benchmark Year 3</t>
  </si>
  <si>
    <t>Benchmark Year 2</t>
  </si>
  <si>
    <t>Benchmark Year 1</t>
  </si>
  <si>
    <r>
      <rPr>
        <b/>
        <i/>
        <sz val="14"/>
        <color theme="1"/>
        <rFont val="Times New Roman"/>
        <family val="1"/>
        <charset val="1"/>
      </rPr>
      <t>Note</t>
    </r>
    <r>
      <rPr>
        <i/>
        <sz val="14"/>
        <color theme="1"/>
        <rFont val="Times New Roman"/>
        <family val="1"/>
        <charset val="1"/>
      </rPr>
      <t>: Full credit was awarded whether the trend factors were assumed to be cumulative or not.</t>
    </r>
  </si>
  <si>
    <t>Trended per capital expenditures</t>
  </si>
  <si>
    <t>OACT National Expenditure Trend Factor</t>
  </si>
  <si>
    <t>CMS-HCC risk ratio</t>
  </si>
  <si>
    <t>CMS-HCC risk score</t>
  </si>
  <si>
    <t>Per Capita Expenditures</t>
  </si>
  <si>
    <t>(i) Historical benchmark per Capita</t>
  </si>
  <si>
    <t xml:space="preserve">(c)              (3 points) </t>
  </si>
  <si>
    <t>(ii)             Calculate the shared savings to XYZ.  Show your work.</t>
  </si>
  <si>
    <r>
      <rPr>
        <sz val="14"/>
        <color theme="1"/>
        <rFont val="Times New Roman"/>
        <family val="1"/>
        <charset val="1"/>
      </rPr>
      <t>(d)              </t>
    </r>
    <r>
      <rPr>
        <i/>
        <sz val="14"/>
        <color theme="1"/>
        <rFont val="Times New Roman"/>
        <family val="1"/>
        <charset val="1"/>
      </rPr>
      <t>(3 points)</t>
    </r>
    <r>
      <rPr>
        <sz val="14"/>
        <color theme="1"/>
        <rFont val="Times New Roman"/>
        <family val="1"/>
        <charset val="1"/>
      </rPr>
      <t xml:space="preserve"> </t>
    </r>
  </si>
  <si>
    <t>60,000+</t>
  </si>
  <si>
    <t>50,000 - 59,999</t>
  </si>
  <si>
    <t>20,000 - 49,999</t>
  </si>
  <si>
    <t>15,000 - 19,999</t>
  </si>
  <si>
    <t>10,000 - 14,999</t>
  </si>
  <si>
    <t>MSR High</t>
  </si>
  <si>
    <t>MSR Low</t>
  </si>
  <si>
    <t>Number of Assigned Beneficiaries</t>
  </si>
  <si>
    <t>Minimum Savings Rate (MSR) for gainsharing (one-sided model):</t>
  </si>
  <si>
    <t>Shared savings cap limit</t>
  </si>
  <si>
    <t>55% for its quality metrics</t>
  </si>
  <si>
    <t>Quality score</t>
  </si>
  <si>
    <t>Quality performance sharing rate</t>
  </si>
  <si>
    <t>Performance year expenditures</t>
  </si>
  <si>
    <t>30,000 person-years</t>
  </si>
  <si>
    <t>Assigned beneficiaries in performance year</t>
  </si>
  <si>
    <t>·         Assume no reduction in shared savings for sequestration.</t>
  </si>
  <si>
    <t>·         XYZ participates in a one-sided gainsharing model.</t>
  </si>
  <si>
    <t>You are given the following information on the actual performance for XYZ in its first year:</t>
  </si>
  <si>
    <t>(ii)             Calculate the updated benchmark per capita. Show your work.</t>
  </si>
  <si>
    <t>(i)              Calculate the historical benchmark per capita. Show your work.</t>
  </si>
  <si>
    <r>
      <rPr>
        <sz val="14"/>
        <color theme="1"/>
        <rFont val="Times New Roman"/>
        <family val="1"/>
        <charset val="1"/>
      </rPr>
      <t>(c)              </t>
    </r>
    <r>
      <rPr>
        <i/>
        <sz val="14"/>
        <color theme="1"/>
        <rFont val="Times New Roman"/>
        <family val="1"/>
        <charset val="1"/>
      </rPr>
      <t>(3 points)</t>
    </r>
    <r>
      <rPr>
        <sz val="14"/>
        <color theme="1"/>
        <rFont val="Times New Roman"/>
        <family val="1"/>
        <charset val="1"/>
      </rPr>
      <t xml:space="preserve"> </t>
    </r>
  </si>
  <si>
    <t>OACT National FFS Growth Increment</t>
  </si>
  <si>
    <t>Risk Score</t>
  </si>
  <si>
    <t>Aged/Non-Dual</t>
  </si>
  <si>
    <t>Aged/Dual</t>
  </si>
  <si>
    <t>Performance Year Factors</t>
  </si>
  <si>
    <t>Assigned Beneficiary Proportions and Expenditures in Benchmark and Performance Years</t>
  </si>
  <si>
    <t>In the Excel spreadsheet, you are given information for a different ACO, XYZ.</t>
  </si>
  <si>
    <t>Question 7</t>
  </si>
  <si>
    <t>(ii)             Evaluate whether the Medicare STAR measure of 80% adherence has been met.  Show your work.  Justify your response.</t>
  </si>
  <si>
    <t>(i)              Calculate the Medication Possession Ratio (MPR) and the Proportion of days covered (PDC) for this member.  Show your work.</t>
  </si>
  <si>
    <r>
      <t xml:space="preserve">(c)              </t>
    </r>
    <r>
      <rPr>
        <i/>
        <sz val="14"/>
        <color rgb="FF000000"/>
        <rFont val="Times New Roman"/>
        <family val="1"/>
      </rPr>
      <t>(1 point)</t>
    </r>
  </si>
  <si>
    <r>
      <t>·</t>
    </r>
    <r>
      <rPr>
        <sz val="14"/>
        <color theme="1"/>
        <rFont val="Times New Roman"/>
        <family val="1"/>
      </rPr>
      <t>         Day 151: 90-day supply</t>
    </r>
  </si>
  <si>
    <r>
      <t>·</t>
    </r>
    <r>
      <rPr>
        <sz val="14"/>
        <color theme="1"/>
        <rFont val="Times New Roman"/>
        <family val="1"/>
      </rPr>
      <t>         Day 91: 30-day supply</t>
    </r>
  </si>
  <si>
    <r>
      <t>·</t>
    </r>
    <r>
      <rPr>
        <sz val="14"/>
        <color theme="1"/>
        <rFont val="Times New Roman"/>
        <family val="1"/>
      </rPr>
      <t>         Day 31: 60-day supply</t>
    </r>
  </si>
  <si>
    <r>
      <t>·</t>
    </r>
    <r>
      <rPr>
        <sz val="14"/>
        <color theme="1"/>
        <rFont val="Times New Roman"/>
        <family val="1"/>
      </rPr>
      <t>         Day 1: 30-day supply</t>
    </r>
  </si>
  <si>
    <t>A pharmacy-driven care management program has been implemented.  A Medicare member has had the following prescriptions filled for a drug during the year:</t>
  </si>
  <si>
    <t>Question 8</t>
  </si>
  <si>
    <t>No the STAR measure has not been met as an additional 82 days are required to meet this.</t>
  </si>
  <si>
    <t>days</t>
  </si>
  <si>
    <t>An additional 82 days are required to meet adherence.</t>
  </si>
  <si>
    <t xml:space="preserve">292 days are required to adhere to the Medicare STAR measure of adherence </t>
  </si>
  <si>
    <t>The Medicare STAR measure of adheremce sets a minimum PDC threshold of 80%.</t>
  </si>
  <si>
    <t>(ii)</t>
  </si>
  <si>
    <t>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</si>
</sst>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00_);_(* \(#,##0.000\);_(* &quot;-&quot;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_(* #,##0.00_);_(* \(#,##0.00\);_(* \-??_);_(@_)"/>
    <numFmt numFmtId="171" formatCode="_(* #,##0.0000_);_(* \(#,##0.0000\);_(* \-??_);_(@_)"/>
    <numFmt numFmtId="172" formatCode="#,##0.000_);\(#,##0.000\)"/>
    <numFmt numFmtId="173" formatCode="_(* #,##0.00000_);_(* \(#,##0.00000\);_(* \-??_);_(@_)"/>
    <numFmt numFmtId="174" formatCode="\$#,##0"/>
    <numFmt numFmtId="175" formatCode="\$#,##0_);[Red]&quot;($&quot;#,##0\)"/>
    <numFmt numFmtId="176" formatCode="0.000"/>
    <numFmt numFmtId="177" formatCode="&quot;$&quot;#,##0"/>
    <numFmt numFmtId="178" formatCode="0.0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2060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000000"/>
      <name val="Times New Roman"/>
      <family val="1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4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4"/>
      <color theme="1"/>
      <name val="Times New Roman"/>
      <family val="1"/>
      <charset val="1"/>
    </font>
    <font>
      <b/>
      <sz val="14"/>
      <color theme="1"/>
      <name val="Times New Roman"/>
      <family val="1"/>
      <charset val="1"/>
    </font>
    <font>
      <sz val="11"/>
      <color theme="1"/>
      <name val="Calibri"/>
      <family val="2"/>
      <charset val="1"/>
    </font>
    <font>
      <b/>
      <sz val="14"/>
      <color rgb="FFC9211E"/>
      <name val="Times New Roman"/>
      <family val="1"/>
      <charset val="1"/>
    </font>
    <font>
      <b/>
      <i/>
      <sz val="14"/>
      <color theme="1"/>
      <name val="Times New Roman"/>
      <family val="1"/>
      <charset val="1"/>
    </font>
    <font>
      <i/>
      <sz val="14"/>
      <color theme="1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4"/>
      <color rgb="FF002060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D9D9D9"/>
      </patternFill>
    </fill>
    <fill>
      <patternFill patternType="solid">
        <fgColor rgb="FFDEE6EF"/>
        <bgColor rgb="FFDDDDDD"/>
      </patternFill>
    </fill>
    <fill>
      <patternFill patternType="solid">
        <fgColor theme="0" tint="-0.14999847407452621"/>
        <bgColor rgb="FFDDDDDD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8" fontId="16" fillId="0" borderId="0" applyBorder="0" applyProtection="0"/>
    <xf numFmtId="170" fontId="16" fillId="0" borderId="0" applyBorder="0" applyProtection="0"/>
  </cellStyleXfs>
  <cellXfs count="12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8"/>
    </xf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/>
    </xf>
    <xf numFmtId="10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6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indent="5"/>
    </xf>
    <xf numFmtId="0" fontId="3" fillId="2" borderId="0" xfId="0" applyFont="1" applyFill="1" applyAlignment="1">
      <alignment horizontal="left" vertical="center" indent="16"/>
    </xf>
    <xf numFmtId="0" fontId="10" fillId="2" borderId="0" xfId="0" applyFont="1" applyFill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1" fillId="0" borderId="0" xfId="0" applyFont="1"/>
    <xf numFmtId="164" fontId="3" fillId="0" borderId="1" xfId="0" applyNumberFormat="1" applyFont="1" applyBorder="1"/>
    <xf numFmtId="164" fontId="3" fillId="0" borderId="0" xfId="1" applyNumberFormat="1" applyFont="1"/>
    <xf numFmtId="165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3" fillId="2" borderId="0" xfId="0" applyFont="1" applyFill="1" applyAlignment="1">
      <alignment horizontal="left" vertical="center" indent="5"/>
    </xf>
    <xf numFmtId="6" fontId="3" fillId="2" borderId="0" xfId="0" applyNumberFormat="1" applyFont="1" applyFill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0" fillId="3" borderId="0" xfId="0" applyNumberFormat="1" applyFill="1"/>
    <xf numFmtId="43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164" fontId="0" fillId="0" borderId="0" xfId="0" applyNumberFormat="1"/>
    <xf numFmtId="164" fontId="0" fillId="0" borderId="0" xfId="1" applyNumberFormat="1" applyFont="1"/>
    <xf numFmtId="164" fontId="0" fillId="0" borderId="9" xfId="1" applyNumberFormat="1" applyFont="1" applyBorder="1"/>
    <xf numFmtId="1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quotePrefix="1"/>
    <xf numFmtId="0" fontId="12" fillId="0" borderId="0" xfId="0" applyFont="1"/>
    <xf numFmtId="166" fontId="0" fillId="0" borderId="9" xfId="0" applyNumberFormat="1" applyBorder="1"/>
    <xf numFmtId="43" fontId="0" fillId="0" borderId="0" xfId="0" applyNumberFormat="1"/>
    <xf numFmtId="164" fontId="0" fillId="0" borderId="9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4"/>
    <xf numFmtId="0" fontId="14" fillId="0" borderId="0" xfId="4" applyFont="1"/>
    <xf numFmtId="0" fontId="15" fillId="0" borderId="0" xfId="4" applyFont="1"/>
    <xf numFmtId="167" fontId="14" fillId="0" borderId="0" xfId="4" applyNumberFormat="1" applyFont="1"/>
    <xf numFmtId="169" fontId="17" fillId="4" borderId="0" xfId="5" applyNumberFormat="1" applyFont="1" applyFill="1" applyBorder="1" applyProtection="1"/>
    <xf numFmtId="10" fontId="14" fillId="0" borderId="0" xfId="4" applyNumberFormat="1" applyFont="1" applyAlignment="1">
      <alignment horizontal="right"/>
    </xf>
    <xf numFmtId="0" fontId="18" fillId="0" borderId="0" xfId="4" applyFont="1"/>
    <xf numFmtId="0" fontId="14" fillId="0" borderId="0" xfId="4" applyFont="1" applyAlignment="1">
      <alignment horizontal="center"/>
    </xf>
    <xf numFmtId="10" fontId="14" fillId="0" borderId="0" xfId="4" applyNumberFormat="1" applyFont="1"/>
    <xf numFmtId="0" fontId="20" fillId="0" borderId="0" xfId="4" applyFont="1"/>
    <xf numFmtId="9" fontId="14" fillId="5" borderId="0" xfId="4" applyNumberFormat="1" applyFont="1" applyFill="1"/>
    <xf numFmtId="167" fontId="21" fillId="6" borderId="0" xfId="6" applyNumberFormat="1" applyFont="1" applyFill="1" applyBorder="1" applyProtection="1"/>
    <xf numFmtId="169" fontId="21" fillId="6" borderId="0" xfId="5" applyNumberFormat="1" applyFont="1" applyFill="1" applyBorder="1" applyProtection="1"/>
    <xf numFmtId="167" fontId="21" fillId="5" borderId="0" xfId="6" applyNumberFormat="1" applyFont="1" applyFill="1" applyBorder="1" applyProtection="1"/>
    <xf numFmtId="169" fontId="21" fillId="5" borderId="0" xfId="5" applyNumberFormat="1" applyFont="1" applyFill="1" applyBorder="1" applyProtection="1"/>
    <xf numFmtId="171" fontId="21" fillId="6" borderId="0" xfId="6" applyNumberFormat="1" applyFont="1" applyFill="1" applyBorder="1" applyProtection="1"/>
    <xf numFmtId="171" fontId="14" fillId="5" borderId="0" xfId="4" applyNumberFormat="1" applyFont="1" applyFill="1"/>
    <xf numFmtId="169" fontId="21" fillId="0" borderId="12" xfId="5" applyNumberFormat="1" applyFont="1" applyBorder="1" applyProtection="1"/>
    <xf numFmtId="169" fontId="21" fillId="0" borderId="0" xfId="5" applyNumberFormat="1" applyFont="1" applyBorder="1" applyProtection="1"/>
    <xf numFmtId="0" fontId="15" fillId="0" borderId="9" xfId="4" applyFont="1" applyBorder="1" applyAlignment="1">
      <alignment horizontal="center"/>
    </xf>
    <xf numFmtId="168" fontId="21" fillId="6" borderId="9" xfId="5" applyFont="1" applyFill="1" applyBorder="1" applyProtection="1"/>
    <xf numFmtId="9" fontId="14" fillId="7" borderId="9" xfId="4" applyNumberFormat="1" applyFont="1" applyFill="1" applyBorder="1" applyAlignment="1">
      <alignment horizontal="center"/>
    </xf>
    <xf numFmtId="0" fontId="14" fillId="0" borderId="9" xfId="4" applyFont="1" applyBorder="1"/>
    <xf numFmtId="9" fontId="14" fillId="5" borderId="9" xfId="4" applyNumberFormat="1" applyFont="1" applyFill="1" applyBorder="1" applyAlignment="1">
      <alignment horizontal="center"/>
    </xf>
    <xf numFmtId="0" fontId="15" fillId="0" borderId="9" xfId="4" applyFont="1" applyBorder="1"/>
    <xf numFmtId="9" fontId="14" fillId="7" borderId="9" xfId="6" applyNumberFormat="1" applyFont="1" applyFill="1" applyBorder="1" applyAlignment="1" applyProtection="1">
      <alignment horizontal="center"/>
    </xf>
    <xf numFmtId="0" fontId="20" fillId="7" borderId="9" xfId="4" applyFont="1" applyFill="1" applyBorder="1"/>
    <xf numFmtId="0" fontId="15" fillId="7" borderId="9" xfId="4" applyFont="1" applyFill="1" applyBorder="1" applyAlignment="1">
      <alignment horizontal="center"/>
    </xf>
    <xf numFmtId="0" fontId="14" fillId="7" borderId="0" xfId="4" applyFont="1" applyFill="1" applyAlignment="1">
      <alignment vertical="center"/>
    </xf>
    <xf numFmtId="0" fontId="20" fillId="0" borderId="9" xfId="4" applyFont="1" applyBorder="1"/>
    <xf numFmtId="172" fontId="14" fillId="7" borderId="9" xfId="6" applyNumberFormat="1" applyFont="1" applyFill="1" applyBorder="1" applyAlignment="1" applyProtection="1">
      <alignment horizontal="center"/>
    </xf>
    <xf numFmtId="0" fontId="14" fillId="7" borderId="9" xfId="4" applyFont="1" applyFill="1" applyBorder="1"/>
    <xf numFmtId="173" fontId="21" fillId="6" borderId="9" xfId="6" applyNumberFormat="1" applyFont="1" applyFill="1" applyBorder="1" applyProtection="1"/>
    <xf numFmtId="174" fontId="14" fillId="7" borderId="9" xfId="6" applyNumberFormat="1" applyFont="1" applyFill="1" applyBorder="1" applyAlignment="1" applyProtection="1">
      <alignment horizontal="center"/>
    </xf>
    <xf numFmtId="170" fontId="21" fillId="0" borderId="0" xfId="6" applyFont="1" applyBorder="1" applyProtection="1"/>
    <xf numFmtId="174" fontId="14" fillId="7" borderId="9" xfId="5" applyNumberFormat="1" applyFont="1" applyFill="1" applyBorder="1" applyAlignment="1" applyProtection="1">
      <alignment horizontal="center"/>
    </xf>
    <xf numFmtId="171" fontId="21" fillId="0" borderId="0" xfId="6" applyNumberFormat="1" applyFont="1" applyBorder="1" applyProtection="1"/>
    <xf numFmtId="167" fontId="21" fillId="0" borderId="0" xfId="6" applyNumberFormat="1" applyFont="1" applyBorder="1" applyProtection="1"/>
    <xf numFmtId="0" fontId="21" fillId="0" borderId="0" xfId="4" applyFont="1" applyAlignment="1">
      <alignment horizontal="right"/>
    </xf>
    <xf numFmtId="0" fontId="14" fillId="7" borderId="0" xfId="4" applyFont="1" applyFill="1"/>
    <xf numFmtId="0" fontId="15" fillId="7" borderId="0" xfId="4" applyFont="1" applyFill="1" applyAlignment="1">
      <alignment horizontal="center" vertical="center"/>
    </xf>
    <xf numFmtId="0" fontId="14" fillId="7" borderId="0" xfId="4" applyFont="1" applyFill="1" applyAlignment="1">
      <alignment horizontal="left" vertical="center" indent="15"/>
    </xf>
    <xf numFmtId="0" fontId="14" fillId="7" borderId="0" xfId="4" applyFont="1" applyFill="1" applyAlignment="1">
      <alignment horizontal="left" vertical="center" indent="5"/>
    </xf>
    <xf numFmtId="10" fontId="14" fillId="7" borderId="9" xfId="4" applyNumberFormat="1" applyFont="1" applyFill="1" applyBorder="1" applyAlignment="1">
      <alignment horizontal="center" vertical="center"/>
    </xf>
    <xf numFmtId="0" fontId="14" fillId="7" borderId="9" xfId="4" applyFont="1" applyFill="1" applyBorder="1" applyAlignment="1">
      <alignment vertical="center" wrapText="1"/>
    </xf>
    <xf numFmtId="0" fontId="15" fillId="7" borderId="9" xfId="4" applyFont="1" applyFill="1" applyBorder="1" applyAlignment="1">
      <alignment horizontal="center" vertical="center" wrapText="1"/>
    </xf>
    <xf numFmtId="0" fontId="15" fillId="7" borderId="9" xfId="4" applyFont="1" applyFill="1" applyBorder="1" applyAlignment="1">
      <alignment vertical="center" wrapText="1"/>
    </xf>
    <xf numFmtId="0" fontId="14" fillId="7" borderId="9" xfId="4" applyFont="1" applyFill="1" applyBorder="1" applyAlignment="1">
      <alignment horizontal="justify" vertical="center" wrapText="1"/>
    </xf>
    <xf numFmtId="0" fontId="14" fillId="7" borderId="0" xfId="4" applyFont="1" applyFill="1" applyAlignment="1">
      <alignment horizontal="left" vertical="center" indent="8"/>
    </xf>
    <xf numFmtId="0" fontId="14" fillId="7" borderId="0" xfId="4" applyFont="1" applyFill="1" applyAlignment="1">
      <alignment horizontal="center" vertical="center"/>
    </xf>
    <xf numFmtId="0" fontId="21" fillId="7" borderId="0" xfId="4" applyFont="1" applyFill="1" applyAlignment="1">
      <alignment horizontal="left" vertical="center" indent="5"/>
    </xf>
    <xf numFmtId="174" fontId="14" fillId="7" borderId="9" xfId="4" applyNumberFormat="1" applyFont="1" applyFill="1" applyBorder="1" applyAlignment="1">
      <alignment horizontal="center"/>
    </xf>
    <xf numFmtId="0" fontId="21" fillId="7" borderId="9" xfId="4" applyFont="1" applyFill="1" applyBorder="1"/>
    <xf numFmtId="176" fontId="14" fillId="7" borderId="9" xfId="4" applyNumberFormat="1" applyFont="1" applyFill="1" applyBorder="1" applyAlignment="1">
      <alignment horizontal="center"/>
    </xf>
    <xf numFmtId="0" fontId="14" fillId="7" borderId="0" xfId="4" applyFont="1" applyFill="1" applyAlignment="1">
      <alignment horizontal="center"/>
    </xf>
    <xf numFmtId="0" fontId="22" fillId="7" borderId="0" xfId="4" applyFont="1" applyFill="1"/>
    <xf numFmtId="177" fontId="3" fillId="2" borderId="0" xfId="2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37" fontId="3" fillId="2" borderId="0" xfId="1" applyNumberFormat="1" applyFont="1" applyFill="1" applyBorder="1" applyAlignment="1">
      <alignment horizontal="center"/>
    </xf>
    <xf numFmtId="0" fontId="3" fillId="0" borderId="0" xfId="0" quotePrefix="1" applyFont="1"/>
    <xf numFmtId="178" fontId="3" fillId="0" borderId="0" xfId="3" applyNumberFormat="1" applyFont="1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7" borderId="9" xfId="4" applyFont="1" applyFill="1" applyBorder="1" applyAlignment="1">
      <alignment horizontal="left" vertical="center" wrapText="1"/>
    </xf>
    <xf numFmtId="9" fontId="14" fillId="7" borderId="9" xfId="4" applyNumberFormat="1" applyFont="1" applyFill="1" applyBorder="1" applyAlignment="1">
      <alignment horizontal="left" vertical="center"/>
    </xf>
    <xf numFmtId="0" fontId="14" fillId="7" borderId="0" xfId="4" applyFont="1" applyFill="1" applyAlignment="1">
      <alignment horizontal="left" wrapText="1"/>
    </xf>
    <xf numFmtId="0" fontId="20" fillId="7" borderId="9" xfId="4" applyFont="1" applyFill="1" applyBorder="1" applyAlignment="1">
      <alignment horizontal="left" wrapText="1"/>
    </xf>
    <xf numFmtId="175" fontId="14" fillId="7" borderId="9" xfId="4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</cellXfs>
  <cellStyles count="7">
    <cellStyle name="Comma" xfId="1" builtinId="3"/>
    <cellStyle name="Comma 2" xfId="6" xr:uid="{F09642F9-9C88-476F-AFE1-986E06E2483D}"/>
    <cellStyle name="Currency" xfId="2" builtinId="4"/>
    <cellStyle name="Currency 2" xfId="5" xr:uid="{788292C2-01A4-4D4E-AEE2-01F7A45DCC81}"/>
    <cellStyle name="Normal" xfId="0" builtinId="0"/>
    <cellStyle name="Normal 2" xfId="4" xr:uid="{C1D7C3D3-46BF-48A7-AF61-DC2DC0FC6FA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0</xdr:rowOff>
    </xdr:from>
    <xdr:ext cx="4764405" cy="481330"/>
    <xdr:pic>
      <xdr:nvPicPr>
        <xdr:cNvPr id="2" name="Picture 1">
          <a:extLst>
            <a:ext uri="{FF2B5EF4-FFF2-40B4-BE49-F238E27FC236}">
              <a16:creationId xmlns:a16="http://schemas.microsoft.com/office/drawing/2014/main" id="{D5D18D06-A58A-42ED-9A0F-C1B26FED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2880"/>
          <a:ext cx="4764405" cy="4813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114300</xdr:colOff>
      <xdr:row>5</xdr:row>
      <xdr:rowOff>0</xdr:rowOff>
    </xdr:from>
    <xdr:ext cx="4764405" cy="352425"/>
    <xdr:pic>
      <xdr:nvPicPr>
        <xdr:cNvPr id="3" name="Picture 2">
          <a:extLst>
            <a:ext uri="{FF2B5EF4-FFF2-40B4-BE49-F238E27FC236}">
              <a16:creationId xmlns:a16="http://schemas.microsoft.com/office/drawing/2014/main" id="{3676C650-4CF4-4661-92CB-38818B0AC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14400"/>
          <a:ext cx="4764405" cy="352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A5C4-286E-4E96-BBBF-756A03277125}">
  <dimension ref="A1:U18"/>
  <sheetViews>
    <sheetView workbookViewId="0">
      <selection activeCell="M23" sqref="M23"/>
    </sheetView>
  </sheetViews>
  <sheetFormatPr defaultRowHeight="15" x14ac:dyDescent="0.25"/>
  <cols>
    <col min="1" max="1" width="29.5703125" customWidth="1"/>
    <col min="2" max="2" width="17.85546875" customWidth="1"/>
    <col min="3" max="3" width="17.5703125" customWidth="1"/>
    <col min="4" max="4" width="15.85546875" customWidth="1"/>
  </cols>
  <sheetData>
    <row r="1" spans="1:21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</row>
    <row r="3" spans="1:21" ht="18.75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  <c r="U3" s="2"/>
    </row>
    <row r="4" spans="1:21" ht="18.75" x14ac:dyDescent="0.3">
      <c r="A4" s="6" t="s">
        <v>2</v>
      </c>
      <c r="B4" s="7"/>
      <c r="C4" s="7"/>
      <c r="D4" s="7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</row>
    <row r="5" spans="1:21" ht="18.75" x14ac:dyDescent="0.3">
      <c r="A5" s="6" t="s">
        <v>3</v>
      </c>
      <c r="B5" s="8"/>
      <c r="C5" s="9"/>
      <c r="D5" s="10"/>
      <c r="E5" s="4"/>
      <c r="F5" s="4"/>
      <c r="G5" s="4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</row>
    <row r="6" spans="1:21" ht="18.75" x14ac:dyDescent="0.3">
      <c r="A6" s="6" t="s">
        <v>4</v>
      </c>
      <c r="B6" s="9"/>
      <c r="C6" s="9"/>
      <c r="D6" s="10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</row>
    <row r="7" spans="1:21" ht="18.75" x14ac:dyDescent="0.3">
      <c r="A7" s="6" t="s">
        <v>5</v>
      </c>
      <c r="B7" s="8"/>
      <c r="C7" s="9"/>
      <c r="D7" s="10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</row>
    <row r="8" spans="1:21" ht="18.75" x14ac:dyDescent="0.3">
      <c r="A8" s="3"/>
      <c r="B8" s="11"/>
      <c r="C8" s="9"/>
      <c r="D8" s="10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</row>
    <row r="9" spans="1:21" ht="18.75" x14ac:dyDescent="0.3">
      <c r="A9" s="12" t="s">
        <v>6</v>
      </c>
      <c r="B9" s="10"/>
      <c r="C9" s="9"/>
      <c r="D9" s="10"/>
      <c r="E9" s="4"/>
      <c r="F9" s="4"/>
      <c r="G9" s="4"/>
      <c r="H9" s="4"/>
      <c r="I9" s="4"/>
      <c r="J9" s="4"/>
      <c r="K9" s="4"/>
      <c r="L9" s="4"/>
      <c r="M9" s="2"/>
      <c r="N9" s="2"/>
      <c r="O9" s="2"/>
      <c r="P9" s="2"/>
      <c r="Q9" s="2"/>
      <c r="R9" s="2"/>
      <c r="S9" s="2"/>
      <c r="T9" s="2"/>
      <c r="U9" s="2"/>
    </row>
    <row r="10" spans="1:21" ht="18.75" x14ac:dyDescent="0.3">
      <c r="A10" s="13"/>
      <c r="B10" s="10"/>
      <c r="C10" s="10"/>
      <c r="D10" s="11"/>
      <c r="E10" s="4"/>
      <c r="F10" s="4"/>
      <c r="G10" s="4"/>
      <c r="H10" s="4"/>
      <c r="I10" s="4"/>
      <c r="J10" s="4"/>
      <c r="K10" s="4"/>
      <c r="L10" s="4"/>
      <c r="M10" s="2"/>
      <c r="N10" s="2"/>
      <c r="O10" s="2"/>
      <c r="P10" s="2"/>
      <c r="Q10" s="2"/>
      <c r="R10" s="2"/>
      <c r="S10" s="2"/>
      <c r="T10" s="2"/>
      <c r="U10" s="2"/>
    </row>
    <row r="11" spans="1:21" ht="18.75" x14ac:dyDescent="0.3">
      <c r="A11" s="14" t="s">
        <v>7</v>
      </c>
      <c r="B11" s="10"/>
      <c r="C11" s="10"/>
      <c r="D11" s="11"/>
      <c r="E11" s="4"/>
      <c r="F11" s="4"/>
      <c r="G11" s="4"/>
      <c r="H11" s="4"/>
      <c r="I11" s="4"/>
      <c r="J11" s="4"/>
      <c r="K11" s="4"/>
      <c r="L11" s="4"/>
      <c r="M11" s="2"/>
      <c r="N11" s="2"/>
      <c r="O11" s="2"/>
      <c r="P11" s="2"/>
      <c r="Q11" s="2"/>
      <c r="R11" s="2"/>
      <c r="S11" s="2"/>
      <c r="T11" s="2"/>
      <c r="U11" s="2"/>
    </row>
    <row r="12" spans="1:21" ht="18.75" x14ac:dyDescent="0.3">
      <c r="A12" s="14"/>
      <c r="B12" s="10"/>
      <c r="C12" s="10"/>
      <c r="D12" s="11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2"/>
      <c r="S12" s="2"/>
      <c r="T12" s="2"/>
      <c r="U12" s="2"/>
    </row>
    <row r="13" spans="1:21" ht="18.75" x14ac:dyDescent="0.3">
      <c r="A13" s="15" t="s">
        <v>8</v>
      </c>
      <c r="B13" s="10"/>
      <c r="C13" s="10"/>
      <c r="D13" s="11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2"/>
      <c r="S13" s="2"/>
      <c r="T13" s="2"/>
      <c r="U13" s="2"/>
    </row>
    <row r="14" spans="1:21" ht="18.75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2"/>
      <c r="S14" s="2"/>
      <c r="T14" s="2"/>
      <c r="U14" s="2"/>
    </row>
    <row r="15" spans="1:21" ht="18.75" x14ac:dyDescent="0.3">
      <c r="A15" s="15" t="s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  <c r="R15" s="2"/>
      <c r="S15" s="2"/>
      <c r="T15" s="2"/>
      <c r="U15" s="2"/>
    </row>
    <row r="16" spans="1:21" ht="15.75" x14ac:dyDescent="0.25">
      <c r="A16" s="16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.75" x14ac:dyDescent="0.25">
      <c r="A17" s="14" t="s">
        <v>10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.75" x14ac:dyDescent="0.25">
      <c r="A18" s="17" t="s">
        <v>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9371-C816-4154-988C-C2DB44999EA5}">
  <dimension ref="A1:L28"/>
  <sheetViews>
    <sheetView workbookViewId="0">
      <selection activeCell="C27" sqref="C27"/>
    </sheetView>
  </sheetViews>
  <sheetFormatPr defaultColWidth="9.140625" defaultRowHeight="18.75" x14ac:dyDescent="0.3"/>
  <cols>
    <col min="1" max="1" width="9.140625" style="19"/>
    <col min="2" max="2" width="89" style="19" bestFit="1" customWidth="1"/>
    <col min="3" max="3" width="25" style="19" bestFit="1" customWidth="1"/>
    <col min="4" max="4" width="15.5703125" style="19" bestFit="1" customWidth="1"/>
    <col min="5" max="5" width="10.85546875" style="19" bestFit="1" customWidth="1"/>
    <col min="6" max="6" width="10.140625" style="19" bestFit="1" customWidth="1"/>
    <col min="7" max="7" width="13.5703125" style="19" bestFit="1" customWidth="1"/>
    <col min="8" max="10" width="10.140625" style="19" bestFit="1" customWidth="1"/>
    <col min="11" max="11" width="17.140625" style="19" bestFit="1" customWidth="1"/>
    <col min="12" max="12" width="9.28515625" style="19" bestFit="1" customWidth="1"/>
    <col min="13" max="16384" width="9.140625" style="19"/>
  </cols>
  <sheetData>
    <row r="1" spans="1:12" ht="37.5" x14ac:dyDescent="0.3">
      <c r="A1" s="18" t="s">
        <v>25</v>
      </c>
      <c r="D1" s="115" t="s">
        <v>23</v>
      </c>
      <c r="E1" s="115"/>
      <c r="H1" s="115" t="s">
        <v>22</v>
      </c>
      <c r="I1" s="115"/>
      <c r="J1" s="115"/>
      <c r="K1" s="20" t="s">
        <v>21</v>
      </c>
    </row>
    <row r="2" spans="1:12" x14ac:dyDescent="0.3">
      <c r="C2" s="21" t="s">
        <v>20</v>
      </c>
      <c r="D2" s="22">
        <v>2021</v>
      </c>
      <c r="E2" s="22">
        <v>2022</v>
      </c>
      <c r="F2" s="22">
        <v>2023</v>
      </c>
      <c r="G2" s="23" t="s">
        <v>19</v>
      </c>
      <c r="H2" s="22">
        <v>2024</v>
      </c>
      <c r="I2" s="22">
        <v>2025</v>
      </c>
      <c r="J2" s="22">
        <v>2026</v>
      </c>
      <c r="K2" s="22" t="s">
        <v>18</v>
      </c>
    </row>
    <row r="3" spans="1:12" x14ac:dyDescent="0.3">
      <c r="B3" s="19" t="s">
        <v>17</v>
      </c>
      <c r="D3" s="24">
        <v>0.1</v>
      </c>
      <c r="E3" s="24">
        <v>0.3</v>
      </c>
      <c r="F3" s="24">
        <v>0.6</v>
      </c>
      <c r="G3" s="25"/>
      <c r="H3" s="24">
        <v>0.1</v>
      </c>
      <c r="I3" s="24">
        <v>0.3</v>
      </c>
      <c r="J3" s="24">
        <v>0.6</v>
      </c>
      <c r="L3" s="24"/>
    </row>
    <row r="4" spans="1:12" x14ac:dyDescent="0.3">
      <c r="G4" s="26"/>
    </row>
    <row r="5" spans="1:12" x14ac:dyDescent="0.3">
      <c r="B5" s="27" t="s">
        <v>16</v>
      </c>
      <c r="G5" s="26"/>
    </row>
    <row r="6" spans="1:12" x14ac:dyDescent="0.3">
      <c r="B6" s="19" t="s">
        <v>14</v>
      </c>
      <c r="C6" s="29">
        <v>3000000</v>
      </c>
      <c r="E6" s="29">
        <v>60000</v>
      </c>
      <c r="G6" s="28">
        <f>SUMPRODUCT($D$3:$F$3,D6:F6)+C6</f>
        <v>3018000</v>
      </c>
    </row>
    <row r="7" spans="1:12" x14ac:dyDescent="0.3">
      <c r="B7" s="19" t="s">
        <v>13</v>
      </c>
      <c r="C7" s="29">
        <f>C6</f>
        <v>3000000</v>
      </c>
      <c r="F7" s="29">
        <f>E6</f>
        <v>60000</v>
      </c>
      <c r="G7" s="28">
        <f>SUMPRODUCT($D$3:$F$3,D7:F7)+C7</f>
        <v>3036000</v>
      </c>
    </row>
    <row r="8" spans="1:12" x14ac:dyDescent="0.3">
      <c r="G8" s="26"/>
    </row>
    <row r="9" spans="1:12" x14ac:dyDescent="0.3">
      <c r="B9" s="27" t="s">
        <v>15</v>
      </c>
      <c r="G9" s="26"/>
    </row>
    <row r="10" spans="1:12" x14ac:dyDescent="0.3">
      <c r="B10" s="19" t="s">
        <v>14</v>
      </c>
      <c r="C10" s="29">
        <f>C6</f>
        <v>3000000</v>
      </c>
      <c r="E10" s="30">
        <f>E6*(1-0.6)</f>
        <v>24000</v>
      </c>
      <c r="G10" s="28">
        <f>G6</f>
        <v>3018000</v>
      </c>
      <c r="H10" s="29">
        <f>(E6-E10)*E3</f>
        <v>10800</v>
      </c>
      <c r="I10" s="31">
        <f>H10</f>
        <v>10800</v>
      </c>
      <c r="J10" s="31">
        <f>I10</f>
        <v>10800</v>
      </c>
      <c r="K10" s="31">
        <f>SUM(H10:J10,D10:F10)</f>
        <v>56400</v>
      </c>
    </row>
    <row r="11" spans="1:12" x14ac:dyDescent="0.3">
      <c r="B11" s="19" t="s">
        <v>13</v>
      </c>
      <c r="C11" s="29">
        <f>C7</f>
        <v>3000000</v>
      </c>
      <c r="F11" s="30">
        <f>F7*(1-0.6)</f>
        <v>24000</v>
      </c>
      <c r="G11" s="28">
        <f>G7</f>
        <v>3036000</v>
      </c>
      <c r="H11" s="29">
        <f>(F7-F11)*F3</f>
        <v>21600</v>
      </c>
      <c r="I11" s="31">
        <f>H11</f>
        <v>21600</v>
      </c>
      <c r="J11" s="31">
        <f>I11</f>
        <v>21600</v>
      </c>
      <c r="K11" s="31">
        <f>SUM(H11:J11,D11:F11)</f>
        <v>88800</v>
      </c>
    </row>
    <row r="14" spans="1:12" ht="37.5" x14ac:dyDescent="0.3">
      <c r="A14" s="18" t="s">
        <v>24</v>
      </c>
      <c r="D14" s="115" t="s">
        <v>23</v>
      </c>
      <c r="E14" s="115"/>
      <c r="H14" s="115" t="s">
        <v>22</v>
      </c>
      <c r="I14" s="115"/>
      <c r="J14" s="115"/>
      <c r="K14" s="20" t="s">
        <v>21</v>
      </c>
    </row>
    <row r="15" spans="1:12" x14ac:dyDescent="0.3">
      <c r="C15" s="21" t="s">
        <v>20</v>
      </c>
      <c r="D15" s="22">
        <v>2021</v>
      </c>
      <c r="E15" s="22">
        <v>2022</v>
      </c>
      <c r="F15" s="22">
        <v>2023</v>
      </c>
      <c r="G15" s="23" t="s">
        <v>19</v>
      </c>
      <c r="H15" s="22">
        <v>2024</v>
      </c>
      <c r="I15" s="22">
        <v>2025</v>
      </c>
      <c r="J15" s="22">
        <v>2026</v>
      </c>
      <c r="K15" s="22" t="s">
        <v>18</v>
      </c>
    </row>
    <row r="16" spans="1:12" x14ac:dyDescent="0.3">
      <c r="B16" s="19" t="s">
        <v>17</v>
      </c>
      <c r="D16" s="24">
        <f>1/3</f>
        <v>0.33333333333333331</v>
      </c>
      <c r="E16" s="24">
        <f>1/3</f>
        <v>0.33333333333333331</v>
      </c>
      <c r="F16" s="24">
        <f>1/3</f>
        <v>0.33333333333333331</v>
      </c>
      <c r="G16" s="25"/>
      <c r="H16" s="24">
        <f>1/3</f>
        <v>0.33333333333333331</v>
      </c>
      <c r="I16" s="24">
        <f>1/3</f>
        <v>0.33333333333333331</v>
      </c>
      <c r="J16" s="24">
        <f>1/3</f>
        <v>0.33333333333333331</v>
      </c>
    </row>
    <row r="17" spans="2:11" x14ac:dyDescent="0.3">
      <c r="G17" s="26"/>
    </row>
    <row r="18" spans="2:11" x14ac:dyDescent="0.3">
      <c r="B18" s="27" t="s">
        <v>16</v>
      </c>
      <c r="G18" s="26"/>
    </row>
    <row r="19" spans="2:11" x14ac:dyDescent="0.3">
      <c r="B19" s="19" t="s">
        <v>14</v>
      </c>
      <c r="C19" s="29">
        <v>3000000</v>
      </c>
      <c r="E19" s="29">
        <v>60000</v>
      </c>
      <c r="G19" s="28">
        <f>SUMPRODUCT($D$16:$F$16,D19:F19)+C19</f>
        <v>3020000</v>
      </c>
    </row>
    <row r="20" spans="2:11" x14ac:dyDescent="0.3">
      <c r="B20" s="19" t="s">
        <v>13</v>
      </c>
      <c r="C20" s="29">
        <f>C19</f>
        <v>3000000</v>
      </c>
      <c r="F20" s="29">
        <f>E19</f>
        <v>60000</v>
      </c>
      <c r="G20" s="28">
        <f>SUMPRODUCT($D$16:$F$16,D20:F20)+C20</f>
        <v>3020000</v>
      </c>
    </row>
    <row r="21" spans="2:11" x14ac:dyDescent="0.3">
      <c r="G21" s="26"/>
    </row>
    <row r="22" spans="2:11" x14ac:dyDescent="0.3">
      <c r="B22" s="27" t="s">
        <v>15</v>
      </c>
      <c r="G22" s="26"/>
    </row>
    <row r="23" spans="2:11" x14ac:dyDescent="0.3">
      <c r="B23" s="19" t="s">
        <v>14</v>
      </c>
      <c r="C23" s="29">
        <f>C19</f>
        <v>3000000</v>
      </c>
      <c r="E23" s="30">
        <f>E19*(1-0.6)</f>
        <v>24000</v>
      </c>
      <c r="G23" s="28">
        <f>G19</f>
        <v>3020000</v>
      </c>
      <c r="H23" s="29">
        <f>(E19-E23)*E16</f>
        <v>12000</v>
      </c>
      <c r="I23" s="31">
        <f>H23</f>
        <v>12000</v>
      </c>
      <c r="J23" s="31">
        <f>I23</f>
        <v>12000</v>
      </c>
      <c r="K23" s="31">
        <f>SUM(H23:J23,D23:F23)</f>
        <v>60000</v>
      </c>
    </row>
    <row r="24" spans="2:11" x14ac:dyDescent="0.3">
      <c r="B24" s="19" t="s">
        <v>13</v>
      </c>
      <c r="C24" s="29">
        <f>C20</f>
        <v>3000000</v>
      </c>
      <c r="F24" s="30">
        <f>F20*(1-0.6)</f>
        <v>24000</v>
      </c>
      <c r="G24" s="28">
        <f>G20</f>
        <v>3020000</v>
      </c>
      <c r="H24" s="29">
        <f>(F20-F24)*F16</f>
        <v>12000</v>
      </c>
      <c r="I24" s="31">
        <f>H24</f>
        <v>12000</v>
      </c>
      <c r="J24" s="31">
        <f>I24</f>
        <v>12000</v>
      </c>
      <c r="K24" s="31">
        <f>SUM(H24:J24,D24:F24)</f>
        <v>60000</v>
      </c>
    </row>
    <row r="27" spans="2:11" x14ac:dyDescent="0.3">
      <c r="B27" s="19" t="s">
        <v>12</v>
      </c>
    </row>
    <row r="28" spans="2:11" x14ac:dyDescent="0.3">
      <c r="B28" s="32"/>
    </row>
  </sheetData>
  <mergeCells count="4">
    <mergeCell ref="D1:E1"/>
    <mergeCell ref="H1:J1"/>
    <mergeCell ref="D14:E14"/>
    <mergeCell ref="H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77CD-F3BA-46CE-BCE2-14473EED3D76}">
  <dimension ref="A1:U17"/>
  <sheetViews>
    <sheetView workbookViewId="0">
      <selection activeCell="C6" sqref="C6"/>
    </sheetView>
  </sheetViews>
  <sheetFormatPr defaultRowHeight="15" x14ac:dyDescent="0.25"/>
  <cols>
    <col min="1" max="1" width="20.28515625" customWidth="1"/>
    <col min="2" max="2" width="17.5703125" customWidth="1"/>
    <col min="3" max="3" width="18.5703125" customWidth="1"/>
    <col min="4" max="4" width="10.85546875" customWidth="1"/>
    <col min="5" max="5" width="11" customWidth="1"/>
  </cols>
  <sheetData>
    <row r="1" spans="1:21" ht="18.75" x14ac:dyDescent="0.3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x14ac:dyDescent="0.25">
      <c r="A2" s="116" t="s">
        <v>37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19.5" thickBot="1" x14ac:dyDescent="0.3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9.5" thickBot="1" x14ac:dyDescent="0.35">
      <c r="A4" s="117" t="s">
        <v>36</v>
      </c>
      <c r="B4" s="118"/>
      <c r="C4" s="119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9.5" thickBot="1" x14ac:dyDescent="0.35">
      <c r="A5" s="36" t="s">
        <v>35</v>
      </c>
      <c r="B5" s="37" t="s">
        <v>34</v>
      </c>
      <c r="C5" s="37" t="s">
        <v>33</v>
      </c>
      <c r="D5" s="7"/>
      <c r="E5" s="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9.5" thickBot="1" x14ac:dyDescent="0.35">
      <c r="A6" s="36" t="s">
        <v>32</v>
      </c>
      <c r="B6" s="35">
        <v>10000</v>
      </c>
      <c r="C6" s="35">
        <v>5000</v>
      </c>
      <c r="D6" s="7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9.5" thickBot="1" x14ac:dyDescent="0.35">
      <c r="A7" s="36" t="s">
        <v>31</v>
      </c>
      <c r="B7" s="35">
        <v>10000</v>
      </c>
      <c r="C7" s="35">
        <v>10000</v>
      </c>
      <c r="D7" s="7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.75" x14ac:dyDescent="0.3">
      <c r="A8" s="13"/>
      <c r="B8" s="34"/>
      <c r="C8" s="34"/>
      <c r="D8" s="34"/>
      <c r="E8" s="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.75" x14ac:dyDescent="0.3">
      <c r="A9" s="6" t="s">
        <v>30</v>
      </c>
      <c r="B9" s="4"/>
      <c r="C9" s="34"/>
      <c r="D9" s="7"/>
      <c r="E9" s="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.75" x14ac:dyDescent="0.3">
      <c r="A10" s="6" t="s">
        <v>29</v>
      </c>
      <c r="B10" s="4"/>
      <c r="C10" s="34"/>
      <c r="D10" s="7"/>
      <c r="E10" s="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.75" x14ac:dyDescent="0.3">
      <c r="A11" s="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.75" x14ac:dyDescent="0.3">
      <c r="A12" s="33" t="s">
        <v>28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.75" x14ac:dyDescent="0.3">
      <c r="A13" s="14"/>
      <c r="B13" s="1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.75" x14ac:dyDescent="0.3">
      <c r="A14" s="15" t="s">
        <v>27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.7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.75" x14ac:dyDescent="0.3">
      <c r="A16" s="15" t="s">
        <v>26</v>
      </c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1" ht="15.75" x14ac:dyDescent="0.25">
      <c r="A17" s="17" t="s">
        <v>11</v>
      </c>
    </row>
  </sheetData>
  <mergeCells count="2">
    <mergeCell ref="A2:U2"/>
    <mergeCell ref="A4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6DCA-DFCF-4CE2-84CB-41038C9D75A4}">
  <dimension ref="B2:K51"/>
  <sheetViews>
    <sheetView zoomScale="80" zoomScaleNormal="80" workbookViewId="0">
      <selection activeCell="C6" sqref="C6"/>
    </sheetView>
  </sheetViews>
  <sheetFormatPr defaultRowHeight="15" x14ac:dyDescent="0.25"/>
  <cols>
    <col min="3" max="3" width="11.7109375" bestFit="1" customWidth="1"/>
    <col min="4" max="4" width="11" bestFit="1" customWidth="1"/>
    <col min="5" max="5" width="10" bestFit="1" customWidth="1"/>
    <col min="6" max="6" width="14.85546875" bestFit="1" customWidth="1"/>
    <col min="7" max="7" width="13.85546875" bestFit="1" customWidth="1"/>
    <col min="8" max="8" width="11.7109375" customWidth="1"/>
    <col min="9" max="9" width="13" customWidth="1"/>
    <col min="10" max="10" width="12.28515625" bestFit="1" customWidth="1"/>
    <col min="11" max="11" width="31.5703125" bestFit="1" customWidth="1"/>
    <col min="12" max="12" width="12.140625" customWidth="1"/>
    <col min="13" max="13" width="11.5703125" bestFit="1" customWidth="1"/>
  </cols>
  <sheetData>
    <row r="2" spans="2:10" x14ac:dyDescent="0.25">
      <c r="C2" s="49" t="s">
        <v>61</v>
      </c>
    </row>
    <row r="3" spans="2:10" x14ac:dyDescent="0.25">
      <c r="C3" s="49"/>
    </row>
    <row r="5" spans="2:10" x14ac:dyDescent="0.25">
      <c r="B5" s="49" t="s">
        <v>60</v>
      </c>
    </row>
    <row r="6" spans="2:10" x14ac:dyDescent="0.25">
      <c r="D6" s="121" t="s">
        <v>55</v>
      </c>
      <c r="E6" s="122"/>
      <c r="H6" s="120" t="s">
        <v>36</v>
      </c>
      <c r="I6" s="120"/>
    </row>
    <row r="7" spans="2:10" x14ac:dyDescent="0.25">
      <c r="D7" s="47" t="s">
        <v>34</v>
      </c>
      <c r="E7" s="47" t="s">
        <v>33</v>
      </c>
      <c r="F7" s="53"/>
      <c r="G7" s="53"/>
      <c r="H7" s="47" t="s">
        <v>34</v>
      </c>
      <c r="I7" s="47" t="s">
        <v>33</v>
      </c>
    </row>
    <row r="8" spans="2:10" x14ac:dyDescent="0.25">
      <c r="C8" t="s">
        <v>32</v>
      </c>
      <c r="D8" s="46">
        <v>100</v>
      </c>
      <c r="E8" s="46">
        <v>100</v>
      </c>
      <c r="G8" t="s">
        <v>32</v>
      </c>
      <c r="H8" s="52">
        <v>10000</v>
      </c>
      <c r="I8" s="52">
        <v>5000</v>
      </c>
    </row>
    <row r="9" spans="2:10" x14ac:dyDescent="0.25">
      <c r="C9" t="s">
        <v>31</v>
      </c>
      <c r="D9" s="46">
        <v>600</v>
      </c>
      <c r="E9" s="46">
        <v>600</v>
      </c>
      <c r="G9" t="s">
        <v>31</v>
      </c>
      <c r="H9" s="52">
        <f>H43</f>
        <v>10000</v>
      </c>
      <c r="I9" s="52">
        <v>10000</v>
      </c>
    </row>
    <row r="10" spans="2:10" x14ac:dyDescent="0.25">
      <c r="C10" t="s">
        <v>54</v>
      </c>
      <c r="H10" s="43">
        <f>D8*H8+D9*H9</f>
        <v>7000000</v>
      </c>
      <c r="I10" s="43">
        <f>E8*I8+E9*I9</f>
        <v>6500000</v>
      </c>
      <c r="J10" s="42">
        <f>+H10+I10</f>
        <v>13500000</v>
      </c>
    </row>
    <row r="11" spans="2:10" x14ac:dyDescent="0.25">
      <c r="C11" t="s">
        <v>36</v>
      </c>
      <c r="J11" s="43">
        <f>SUM(H8:I9)</f>
        <v>35000</v>
      </c>
    </row>
    <row r="12" spans="2:10" x14ac:dyDescent="0.25">
      <c r="C12" t="s">
        <v>59</v>
      </c>
      <c r="J12" s="51">
        <f>J10/J11</f>
        <v>385.71428571428572</v>
      </c>
    </row>
    <row r="14" spans="2:10" x14ac:dyDescent="0.25">
      <c r="D14" s="121" t="s">
        <v>46</v>
      </c>
      <c r="E14" s="122"/>
      <c r="H14" s="120" t="s">
        <v>36</v>
      </c>
      <c r="I14" s="120"/>
    </row>
    <row r="15" spans="2:10" x14ac:dyDescent="0.25">
      <c r="D15" s="47" t="s">
        <v>34</v>
      </c>
      <c r="E15" s="47" t="s">
        <v>33</v>
      </c>
      <c r="H15" s="47" t="s">
        <v>34</v>
      </c>
      <c r="I15" s="47" t="s">
        <v>33</v>
      </c>
    </row>
    <row r="16" spans="2:10" x14ac:dyDescent="0.25">
      <c r="C16" t="s">
        <v>32</v>
      </c>
      <c r="D16" s="50">
        <f>J12</f>
        <v>385.71428571428572</v>
      </c>
      <c r="E16" s="50">
        <f>D16</f>
        <v>385.71428571428572</v>
      </c>
      <c r="G16" t="s">
        <v>32</v>
      </c>
      <c r="H16" s="44">
        <v>10000</v>
      </c>
      <c r="I16" s="44">
        <v>5000</v>
      </c>
    </row>
    <row r="17" spans="2:11" x14ac:dyDescent="0.25">
      <c r="C17" t="s">
        <v>31</v>
      </c>
      <c r="D17" s="50">
        <f>D16</f>
        <v>385.71428571428572</v>
      </c>
      <c r="E17" s="50">
        <f>E16</f>
        <v>385.71428571428572</v>
      </c>
      <c r="G17" t="s">
        <v>31</v>
      </c>
      <c r="H17" s="44">
        <f>H9</f>
        <v>10000</v>
      </c>
      <c r="I17" s="44">
        <v>10000</v>
      </c>
    </row>
    <row r="18" spans="2:11" x14ac:dyDescent="0.25">
      <c r="C18" t="s">
        <v>46</v>
      </c>
      <c r="H18" s="43">
        <f>D16*H16+D17*H17</f>
        <v>7714285.7142857146</v>
      </c>
      <c r="I18" s="43">
        <f>E16*I16+E17*I17</f>
        <v>5785714.2857142854</v>
      </c>
      <c r="J18" s="42">
        <f>+H18+I18</f>
        <v>13500000</v>
      </c>
    </row>
    <row r="19" spans="2:11" x14ac:dyDescent="0.25">
      <c r="H19" s="42"/>
      <c r="I19" s="42"/>
    </row>
    <row r="20" spans="2:11" x14ac:dyDescent="0.25">
      <c r="C20" t="s">
        <v>45</v>
      </c>
      <c r="H20" s="41">
        <f>H10-H18</f>
        <v>-714285.71428571455</v>
      </c>
      <c r="I20" s="41">
        <f>I10-I18</f>
        <v>714285.71428571455</v>
      </c>
    </row>
    <row r="21" spans="2:11" x14ac:dyDescent="0.25">
      <c r="H21" s="42"/>
      <c r="I21" s="42"/>
      <c r="K21" s="40" t="s">
        <v>58</v>
      </c>
    </row>
    <row r="22" spans="2:11" x14ac:dyDescent="0.25">
      <c r="H22" s="42"/>
      <c r="I22" s="42"/>
      <c r="K22" s="40" t="s">
        <v>57</v>
      </c>
    </row>
    <row r="23" spans="2:11" x14ac:dyDescent="0.25">
      <c r="C23" t="s">
        <v>42</v>
      </c>
      <c r="F23" t="s">
        <v>34</v>
      </c>
      <c r="G23" t="s">
        <v>33</v>
      </c>
    </row>
    <row r="24" spans="2:11" x14ac:dyDescent="0.25">
      <c r="D24" t="s">
        <v>41</v>
      </c>
      <c r="F24" s="39">
        <f>H20*12</f>
        <v>-8571428.5714285746</v>
      </c>
      <c r="G24" s="39">
        <f>I20*12</f>
        <v>8571428.5714285746</v>
      </c>
      <c r="I24" t="s">
        <v>40</v>
      </c>
    </row>
    <row r="25" spans="2:11" x14ac:dyDescent="0.25">
      <c r="D25" t="s">
        <v>39</v>
      </c>
      <c r="F25" s="38">
        <f>H20/(SUM(H8:H9))</f>
        <v>-35.71428571428573</v>
      </c>
      <c r="G25" s="38">
        <f>I20/(SUM(I8:I9))</f>
        <v>47.619047619047635</v>
      </c>
    </row>
    <row r="26" spans="2:11" x14ac:dyDescent="0.25">
      <c r="B26" s="49" t="s">
        <v>56</v>
      </c>
    </row>
    <row r="28" spans="2:11" x14ac:dyDescent="0.25">
      <c r="D28" s="46" t="s">
        <v>55</v>
      </c>
      <c r="E28" s="46"/>
      <c r="H28" s="120" t="s">
        <v>36</v>
      </c>
      <c r="I28" s="120"/>
    </row>
    <row r="29" spans="2:11" x14ac:dyDescent="0.25">
      <c r="D29" s="46" t="s">
        <v>34</v>
      </c>
      <c r="E29" s="46" t="s">
        <v>33</v>
      </c>
      <c r="H29" s="47" t="s">
        <v>34</v>
      </c>
      <c r="I29" s="47" t="s">
        <v>33</v>
      </c>
    </row>
    <row r="30" spans="2:11" x14ac:dyDescent="0.25">
      <c r="C30" t="s">
        <v>32</v>
      </c>
      <c r="D30" s="46">
        <v>100</v>
      </c>
      <c r="E30" s="46">
        <v>100</v>
      </c>
      <c r="G30" t="s">
        <v>32</v>
      </c>
      <c r="H30" s="44">
        <v>10000</v>
      </c>
      <c r="I30" s="44">
        <v>5000</v>
      </c>
    </row>
    <row r="31" spans="2:11" x14ac:dyDescent="0.25">
      <c r="C31" t="s">
        <v>31</v>
      </c>
      <c r="D31" s="46">
        <v>600</v>
      </c>
      <c r="E31" s="46">
        <v>600</v>
      </c>
      <c r="G31" t="s">
        <v>31</v>
      </c>
      <c r="H31" s="44">
        <v>10000</v>
      </c>
      <c r="I31" s="44">
        <v>10000</v>
      </c>
    </row>
    <row r="32" spans="2:11" x14ac:dyDescent="0.25">
      <c r="C32" t="s">
        <v>54</v>
      </c>
      <c r="H32" s="43">
        <f>D30*H30+D31*H31</f>
        <v>7000000</v>
      </c>
      <c r="I32" s="43">
        <f>E30*I30+E31*I31</f>
        <v>6500000</v>
      </c>
      <c r="J32" s="42">
        <f>+H32+I32</f>
        <v>13500000</v>
      </c>
    </row>
    <row r="33" spans="3:11" x14ac:dyDescent="0.25">
      <c r="C33" t="s">
        <v>53</v>
      </c>
      <c r="H33" s="43"/>
      <c r="I33" s="43"/>
      <c r="J33" s="42">
        <f>SUM(H30:I30)</f>
        <v>15000</v>
      </c>
    </row>
    <row r="34" spans="3:11" x14ac:dyDescent="0.25">
      <c r="C34" t="s">
        <v>52</v>
      </c>
      <c r="H34" s="43"/>
      <c r="I34" s="43"/>
      <c r="J34" s="42">
        <f>SUM(H31:I31)</f>
        <v>20000</v>
      </c>
    </row>
    <row r="35" spans="3:11" x14ac:dyDescent="0.25">
      <c r="C35" t="s">
        <v>51</v>
      </c>
      <c r="E35" s="48" t="s">
        <v>50</v>
      </c>
      <c r="H35" s="43"/>
      <c r="I35" s="43"/>
      <c r="J35" s="42">
        <f>J33+3*J34</f>
        <v>75000</v>
      </c>
    </row>
    <row r="36" spans="3:11" x14ac:dyDescent="0.25">
      <c r="C36" t="s">
        <v>49</v>
      </c>
      <c r="E36" s="48" t="s">
        <v>48</v>
      </c>
      <c r="H36" s="43"/>
      <c r="I36" s="43" t="s">
        <v>47</v>
      </c>
      <c r="J36" s="42">
        <f>J32/J35</f>
        <v>180</v>
      </c>
    </row>
    <row r="37" spans="3:11" x14ac:dyDescent="0.25">
      <c r="H37" s="43"/>
      <c r="I37" s="43"/>
      <c r="J37" s="42"/>
    </row>
    <row r="38" spans="3:11" x14ac:dyDescent="0.25">
      <c r="H38" s="43"/>
      <c r="I38" s="43"/>
      <c r="J38" s="42"/>
    </row>
    <row r="39" spans="3:11" x14ac:dyDescent="0.25">
      <c r="H39" s="43"/>
      <c r="I39" s="43"/>
    </row>
    <row r="40" spans="3:11" x14ac:dyDescent="0.25">
      <c r="D40" s="46" t="s">
        <v>46</v>
      </c>
      <c r="E40" s="46"/>
      <c r="H40" s="120" t="s">
        <v>36</v>
      </c>
      <c r="I40" s="120"/>
    </row>
    <row r="41" spans="3:11" x14ac:dyDescent="0.25">
      <c r="D41" s="46" t="s">
        <v>34</v>
      </c>
      <c r="E41" s="46" t="s">
        <v>33</v>
      </c>
      <c r="H41" s="47" t="s">
        <v>34</v>
      </c>
      <c r="I41" s="47" t="s">
        <v>33</v>
      </c>
    </row>
    <row r="42" spans="3:11" x14ac:dyDescent="0.25">
      <c r="D42" s="46">
        <v>180</v>
      </c>
      <c r="E42" s="45">
        <f>D42</f>
        <v>180</v>
      </c>
      <c r="H42" s="44">
        <v>10000</v>
      </c>
      <c r="I42" s="44">
        <v>5000</v>
      </c>
    </row>
    <row r="43" spans="3:11" x14ac:dyDescent="0.25">
      <c r="D43" s="46">
        <f>D42*3</f>
        <v>540</v>
      </c>
      <c r="E43" s="45">
        <f>E42*3</f>
        <v>540</v>
      </c>
      <c r="H43" s="44">
        <f>H31</f>
        <v>10000</v>
      </c>
      <c r="I43" s="44">
        <v>10000</v>
      </c>
    </row>
    <row r="44" spans="3:11" x14ac:dyDescent="0.25">
      <c r="H44" s="43">
        <f>D42*H42+D43*H43</f>
        <v>7200000</v>
      </c>
      <c r="I44" s="43">
        <f>E42*I42+E43*I43</f>
        <v>6300000</v>
      </c>
      <c r="J44" s="42">
        <f>+H44+I44</f>
        <v>13500000</v>
      </c>
    </row>
    <row r="45" spans="3:11" x14ac:dyDescent="0.25">
      <c r="H45" s="42"/>
      <c r="I45" s="42"/>
    </row>
    <row r="46" spans="3:11" x14ac:dyDescent="0.25">
      <c r="C46" t="s">
        <v>45</v>
      </c>
      <c r="H46" s="41">
        <f>H32-H44</f>
        <v>-200000</v>
      </c>
      <c r="I46" s="41">
        <f>I32-I44</f>
        <v>200000</v>
      </c>
    </row>
    <row r="47" spans="3:11" x14ac:dyDescent="0.25">
      <c r="K47" s="40" t="s">
        <v>44</v>
      </c>
    </row>
    <row r="48" spans="3:11" x14ac:dyDescent="0.25">
      <c r="K48" s="40" t="s">
        <v>43</v>
      </c>
    </row>
    <row r="49" spans="3:9" x14ac:dyDescent="0.25">
      <c r="C49" t="s">
        <v>42</v>
      </c>
      <c r="F49" t="s">
        <v>34</v>
      </c>
      <c r="G49" t="s">
        <v>33</v>
      </c>
    </row>
    <row r="50" spans="3:9" x14ac:dyDescent="0.25">
      <c r="D50" t="s">
        <v>41</v>
      </c>
      <c r="F50" s="39">
        <f>H46*12</f>
        <v>-2400000</v>
      </c>
      <c r="G50" s="39">
        <f>I46*12</f>
        <v>2400000</v>
      </c>
      <c r="I50" t="s">
        <v>40</v>
      </c>
    </row>
    <row r="51" spans="3:9" x14ac:dyDescent="0.25">
      <c r="D51" t="s">
        <v>39</v>
      </c>
      <c r="F51" s="38">
        <f>H46/(SUM(H30:H31))</f>
        <v>-10</v>
      </c>
      <c r="G51" s="38">
        <f>I46/(SUM(I30:I31))</f>
        <v>13.333333333333334</v>
      </c>
    </row>
  </sheetData>
  <mergeCells count="6">
    <mergeCell ref="H40:I40"/>
    <mergeCell ref="D6:E6"/>
    <mergeCell ref="H6:I6"/>
    <mergeCell ref="D14:E14"/>
    <mergeCell ref="H14:I14"/>
    <mergeCell ref="H28:I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1856-3639-4958-839B-0E2991476F43}">
  <dimension ref="A1:I206"/>
  <sheetViews>
    <sheetView zoomScale="75" zoomScaleNormal="75" workbookViewId="0"/>
  </sheetViews>
  <sheetFormatPr defaultColWidth="8.42578125" defaultRowHeight="18.75" x14ac:dyDescent="0.3"/>
  <cols>
    <col min="1" max="1" width="57" style="55" customWidth="1"/>
    <col min="2" max="4" width="23.85546875" style="55" customWidth="1"/>
    <col min="5" max="5" width="33.140625" style="55" customWidth="1"/>
    <col min="6" max="6" width="26.5703125" style="55" customWidth="1"/>
    <col min="7" max="9" width="8.42578125" style="55"/>
    <col min="10" max="16380" width="8.42578125" style="54"/>
    <col min="16381" max="16384" width="11.5703125" style="54" customWidth="1"/>
  </cols>
  <sheetData>
    <row r="1" spans="1:7" x14ac:dyDescent="0.3">
      <c r="A1" s="109" t="s">
        <v>151</v>
      </c>
      <c r="B1" s="93"/>
      <c r="C1" s="93"/>
      <c r="D1" s="93"/>
      <c r="E1" s="93"/>
      <c r="F1" s="93"/>
      <c r="G1" s="93"/>
    </row>
    <row r="2" spans="1:7" ht="18.75" customHeight="1" x14ac:dyDescent="0.3">
      <c r="A2" s="125" t="s">
        <v>150</v>
      </c>
      <c r="B2" s="125"/>
      <c r="C2" s="125"/>
      <c r="D2" s="125"/>
      <c r="E2" s="125"/>
      <c r="F2" s="125"/>
      <c r="G2" s="125"/>
    </row>
    <row r="3" spans="1:7" x14ac:dyDescent="0.3">
      <c r="A3" s="82"/>
      <c r="B3" s="93"/>
      <c r="C3" s="93"/>
      <c r="D3" s="93"/>
      <c r="E3" s="93"/>
      <c r="F3" s="93"/>
      <c r="G3" s="93"/>
    </row>
    <row r="4" spans="1:7" x14ac:dyDescent="0.3">
      <c r="A4" s="80" t="s">
        <v>117</v>
      </c>
      <c r="B4" s="81" t="s">
        <v>111</v>
      </c>
      <c r="C4" s="81" t="s">
        <v>110</v>
      </c>
      <c r="D4" s="81" t="s">
        <v>109</v>
      </c>
      <c r="E4" s="93"/>
      <c r="F4" s="93"/>
      <c r="G4" s="93"/>
    </row>
    <row r="5" spans="1:7" x14ac:dyDescent="0.3">
      <c r="A5" s="85" t="s">
        <v>93</v>
      </c>
      <c r="B5" s="89">
        <v>140000</v>
      </c>
      <c r="C5" s="89">
        <v>145000</v>
      </c>
      <c r="D5" s="89">
        <v>150000</v>
      </c>
      <c r="E5" s="93"/>
      <c r="F5" s="93"/>
      <c r="G5" s="93"/>
    </row>
    <row r="6" spans="1:7" x14ac:dyDescent="0.3">
      <c r="A6" s="85" t="s">
        <v>92</v>
      </c>
      <c r="B6" s="87">
        <v>19000</v>
      </c>
      <c r="C6" s="87">
        <v>21000</v>
      </c>
      <c r="D6" s="87">
        <v>18500</v>
      </c>
      <c r="E6" s="93"/>
      <c r="F6" s="93"/>
      <c r="G6" s="93"/>
    </row>
    <row r="7" spans="1:7" x14ac:dyDescent="0.3">
      <c r="A7" s="85" t="s">
        <v>91</v>
      </c>
      <c r="B7" s="87">
        <v>24000</v>
      </c>
      <c r="C7" s="87">
        <v>23000</v>
      </c>
      <c r="D7" s="87">
        <v>25000</v>
      </c>
      <c r="E7" s="93"/>
      <c r="F7" s="93"/>
      <c r="G7" s="93"/>
    </row>
    <row r="8" spans="1:7" x14ac:dyDescent="0.3">
      <c r="A8" s="85" t="s">
        <v>90</v>
      </c>
      <c r="B8" s="87">
        <v>17000</v>
      </c>
      <c r="C8" s="87">
        <v>17500</v>
      </c>
      <c r="D8" s="87">
        <v>15000</v>
      </c>
      <c r="E8" s="93"/>
      <c r="F8" s="93"/>
      <c r="G8" s="93"/>
    </row>
    <row r="9" spans="1:7" x14ac:dyDescent="0.3">
      <c r="A9" s="82"/>
      <c r="B9" s="108"/>
      <c r="C9" s="108"/>
      <c r="D9" s="108"/>
      <c r="E9" s="93"/>
      <c r="F9" s="93"/>
      <c r="G9" s="93"/>
    </row>
    <row r="10" spans="1:7" x14ac:dyDescent="0.3">
      <c r="A10" s="80" t="s">
        <v>116</v>
      </c>
      <c r="B10" s="81" t="s">
        <v>111</v>
      </c>
      <c r="C10" s="81" t="s">
        <v>110</v>
      </c>
      <c r="D10" s="81" t="s">
        <v>109</v>
      </c>
      <c r="E10" s="93"/>
      <c r="F10" s="93"/>
      <c r="G10" s="93"/>
    </row>
    <row r="11" spans="1:7" x14ac:dyDescent="0.3">
      <c r="A11" s="85" t="s">
        <v>93</v>
      </c>
      <c r="B11" s="84">
        <v>1.1499999999999999</v>
      </c>
      <c r="C11" s="84">
        <v>1.1000000000000001</v>
      </c>
      <c r="D11" s="84">
        <v>1.25</v>
      </c>
      <c r="E11" s="93"/>
      <c r="F11" s="93"/>
      <c r="G11" s="93"/>
    </row>
    <row r="12" spans="1:7" x14ac:dyDescent="0.3">
      <c r="A12" s="85" t="s">
        <v>92</v>
      </c>
      <c r="B12" s="84">
        <v>1.35</v>
      </c>
      <c r="C12" s="84">
        <v>1.3</v>
      </c>
      <c r="D12" s="84">
        <v>1.4</v>
      </c>
      <c r="E12" s="93"/>
      <c r="F12" s="93"/>
      <c r="G12" s="93"/>
    </row>
    <row r="13" spans="1:7" x14ac:dyDescent="0.3">
      <c r="A13" s="85" t="s">
        <v>91</v>
      </c>
      <c r="B13" s="84">
        <v>1.2</v>
      </c>
      <c r="C13" s="84">
        <v>1.05</v>
      </c>
      <c r="D13" s="84">
        <v>1.1499999999999999</v>
      </c>
      <c r="E13" s="93"/>
      <c r="F13" s="93"/>
      <c r="G13" s="93"/>
    </row>
    <row r="14" spans="1:7" x14ac:dyDescent="0.3">
      <c r="A14" s="85" t="s">
        <v>90</v>
      </c>
      <c r="B14" s="84">
        <v>1.25</v>
      </c>
      <c r="C14" s="84">
        <v>1.3</v>
      </c>
      <c r="D14" s="84">
        <v>1.35</v>
      </c>
      <c r="E14" s="93"/>
      <c r="F14" s="93"/>
      <c r="G14" s="93"/>
    </row>
    <row r="15" spans="1:7" x14ac:dyDescent="0.3">
      <c r="A15" s="82"/>
      <c r="B15" s="108"/>
      <c r="C15" s="108"/>
      <c r="D15" s="108"/>
      <c r="E15" s="93"/>
      <c r="F15" s="93"/>
      <c r="G15" s="93"/>
    </row>
    <row r="16" spans="1:7" x14ac:dyDescent="0.3">
      <c r="A16" s="80" t="s">
        <v>114</v>
      </c>
      <c r="B16" s="81" t="s">
        <v>111</v>
      </c>
      <c r="C16" s="81" t="s">
        <v>110</v>
      </c>
      <c r="D16" s="81" t="s">
        <v>109</v>
      </c>
      <c r="E16" s="93"/>
      <c r="F16" s="93"/>
      <c r="G16" s="93"/>
    </row>
    <row r="17" spans="1:7" x14ac:dyDescent="0.3">
      <c r="A17" s="85" t="s">
        <v>93</v>
      </c>
      <c r="B17" s="84">
        <v>1</v>
      </c>
      <c r="C17" s="84">
        <v>1</v>
      </c>
      <c r="D17" s="84">
        <v>1</v>
      </c>
      <c r="E17" s="93"/>
      <c r="F17" s="93"/>
      <c r="G17" s="93"/>
    </row>
    <row r="18" spans="1:7" x14ac:dyDescent="0.3">
      <c r="A18" s="85" t="s">
        <v>92</v>
      </c>
      <c r="B18" s="84">
        <v>1.05</v>
      </c>
      <c r="C18" s="84">
        <v>1.03</v>
      </c>
      <c r="D18" s="84">
        <v>1</v>
      </c>
      <c r="E18" s="93"/>
      <c r="F18" s="93"/>
      <c r="G18" s="93"/>
    </row>
    <row r="19" spans="1:7" x14ac:dyDescent="0.3">
      <c r="A19" s="85" t="s">
        <v>91</v>
      </c>
      <c r="B19" s="84">
        <v>0.98</v>
      </c>
      <c r="C19" s="84">
        <v>0.99</v>
      </c>
      <c r="D19" s="84">
        <v>1</v>
      </c>
      <c r="E19" s="93"/>
      <c r="F19" s="93"/>
      <c r="G19" s="93"/>
    </row>
    <row r="20" spans="1:7" x14ac:dyDescent="0.3">
      <c r="A20" s="85" t="s">
        <v>90</v>
      </c>
      <c r="B20" s="84">
        <v>1.02</v>
      </c>
      <c r="C20" s="84">
        <v>1.01</v>
      </c>
      <c r="D20" s="84">
        <v>1</v>
      </c>
      <c r="E20" s="93"/>
      <c r="F20" s="93"/>
      <c r="G20" s="93"/>
    </row>
    <row r="21" spans="1:7" x14ac:dyDescent="0.3">
      <c r="A21" s="82"/>
      <c r="B21" s="93"/>
      <c r="C21" s="93"/>
      <c r="D21" s="93"/>
      <c r="E21" s="93"/>
      <c r="F21" s="93"/>
      <c r="G21" s="93"/>
    </row>
    <row r="22" spans="1:7" x14ac:dyDescent="0.3">
      <c r="A22" s="82"/>
      <c r="B22" s="81" t="s">
        <v>111</v>
      </c>
      <c r="C22" s="81" t="s">
        <v>110</v>
      </c>
      <c r="D22" s="81" t="s">
        <v>109</v>
      </c>
      <c r="E22" s="93"/>
      <c r="F22" s="93"/>
      <c r="G22" s="93"/>
    </row>
    <row r="23" spans="1:7" x14ac:dyDescent="0.3">
      <c r="A23" s="80" t="s">
        <v>108</v>
      </c>
      <c r="B23" s="79">
        <v>0.1</v>
      </c>
      <c r="C23" s="79">
        <v>0.3</v>
      </c>
      <c r="D23" s="79">
        <v>0.6</v>
      </c>
      <c r="E23" s="93"/>
      <c r="F23" s="93"/>
      <c r="G23" s="93"/>
    </row>
    <row r="24" spans="1:7" x14ac:dyDescent="0.3">
      <c r="A24" s="82"/>
      <c r="B24" s="93"/>
      <c r="C24" s="93"/>
      <c r="D24" s="93"/>
      <c r="E24" s="93"/>
      <c r="F24" s="93"/>
      <c r="G24" s="93"/>
    </row>
    <row r="25" spans="1:7" ht="37.5" customHeight="1" x14ac:dyDescent="0.3">
      <c r="A25" s="126" t="s">
        <v>149</v>
      </c>
      <c r="B25" s="126"/>
      <c r="C25" s="93"/>
      <c r="D25" s="93"/>
      <c r="E25" s="93"/>
      <c r="F25" s="93"/>
      <c r="G25" s="93"/>
    </row>
    <row r="26" spans="1:7" x14ac:dyDescent="0.3">
      <c r="A26" s="85" t="s">
        <v>93</v>
      </c>
      <c r="B26" s="75">
        <v>0.05</v>
      </c>
      <c r="C26" s="93"/>
      <c r="D26" s="93"/>
      <c r="E26" s="93"/>
      <c r="F26" s="93"/>
      <c r="G26" s="93"/>
    </row>
    <row r="27" spans="1:7" x14ac:dyDescent="0.3">
      <c r="A27" s="85" t="s">
        <v>92</v>
      </c>
      <c r="B27" s="75">
        <v>0.05</v>
      </c>
      <c r="C27" s="93"/>
      <c r="D27" s="93"/>
      <c r="E27" s="93"/>
      <c r="F27" s="93"/>
      <c r="G27" s="93"/>
    </row>
    <row r="28" spans="1:7" x14ac:dyDescent="0.3">
      <c r="A28" s="85" t="s">
        <v>91</v>
      </c>
      <c r="B28" s="75">
        <v>0.1</v>
      </c>
      <c r="C28" s="93"/>
      <c r="D28" s="93"/>
      <c r="E28" s="93"/>
      <c r="F28" s="93"/>
      <c r="G28" s="93"/>
    </row>
    <row r="29" spans="1:7" x14ac:dyDescent="0.3">
      <c r="A29" s="85" t="s">
        <v>90</v>
      </c>
      <c r="B29" s="75">
        <v>0.8</v>
      </c>
      <c r="C29" s="93"/>
      <c r="D29" s="93"/>
      <c r="E29" s="93"/>
      <c r="F29" s="93"/>
      <c r="G29" s="93"/>
    </row>
    <row r="30" spans="1:7" x14ac:dyDescent="0.3">
      <c r="A30" s="82"/>
      <c r="B30" s="93"/>
      <c r="C30" s="93"/>
      <c r="D30" s="93"/>
      <c r="E30" s="93"/>
      <c r="F30" s="93"/>
      <c r="G30" s="93"/>
    </row>
    <row r="31" spans="1:7" x14ac:dyDescent="0.3">
      <c r="A31" s="80" t="s">
        <v>148</v>
      </c>
      <c r="B31" s="81" t="s">
        <v>93</v>
      </c>
      <c r="C31" s="81" t="s">
        <v>92</v>
      </c>
      <c r="D31" s="81" t="s">
        <v>147</v>
      </c>
      <c r="E31" s="81" t="s">
        <v>146</v>
      </c>
      <c r="F31" s="93"/>
      <c r="G31" s="93"/>
    </row>
    <row r="32" spans="1:7" x14ac:dyDescent="0.3">
      <c r="A32" s="85" t="s">
        <v>145</v>
      </c>
      <c r="B32" s="107">
        <v>1.2</v>
      </c>
      <c r="C32" s="107">
        <v>1.5</v>
      </c>
      <c r="D32" s="107">
        <v>1.1000000000000001</v>
      </c>
      <c r="E32" s="107">
        <v>1.2</v>
      </c>
      <c r="F32" s="93"/>
      <c r="G32" s="93"/>
    </row>
    <row r="33" spans="1:7" x14ac:dyDescent="0.3">
      <c r="A33" s="106" t="s">
        <v>144</v>
      </c>
      <c r="B33" s="105">
        <v>1000</v>
      </c>
      <c r="C33" s="105">
        <v>500</v>
      </c>
      <c r="D33" s="105">
        <v>300</v>
      </c>
      <c r="E33" s="105">
        <v>150</v>
      </c>
      <c r="F33" s="93"/>
      <c r="G33" s="93"/>
    </row>
    <row r="34" spans="1:7" x14ac:dyDescent="0.3">
      <c r="A34" s="93"/>
      <c r="B34" s="93"/>
      <c r="C34" s="93"/>
      <c r="D34" s="93"/>
      <c r="E34" s="93"/>
      <c r="F34" s="93"/>
      <c r="G34" s="93"/>
    </row>
    <row r="35" spans="1:7" x14ac:dyDescent="0.3">
      <c r="A35" s="96" t="s">
        <v>143</v>
      </c>
      <c r="B35" s="93"/>
      <c r="C35" s="82"/>
      <c r="D35" s="82"/>
      <c r="E35" s="103"/>
      <c r="F35" s="93"/>
      <c r="G35" s="93"/>
    </row>
    <row r="36" spans="1:7" x14ac:dyDescent="0.3">
      <c r="A36" s="104"/>
      <c r="B36" s="93"/>
      <c r="C36" s="82"/>
      <c r="D36" s="82"/>
      <c r="E36" s="103"/>
      <c r="F36" s="93"/>
      <c r="G36" s="93"/>
    </row>
    <row r="37" spans="1:7" x14ac:dyDescent="0.3">
      <c r="A37" s="95" t="s">
        <v>142</v>
      </c>
      <c r="B37" s="93"/>
      <c r="C37" s="82"/>
      <c r="D37" s="82"/>
      <c r="E37" s="94"/>
      <c r="F37" s="93"/>
      <c r="G37" s="93"/>
    </row>
    <row r="38" spans="1:7" x14ac:dyDescent="0.3">
      <c r="A38" s="95"/>
      <c r="B38" s="93"/>
      <c r="C38" s="82"/>
      <c r="D38" s="82"/>
      <c r="E38" s="94"/>
      <c r="F38" s="93"/>
      <c r="G38" s="93"/>
    </row>
    <row r="39" spans="1:7" x14ac:dyDescent="0.3">
      <c r="A39" s="95" t="s">
        <v>141</v>
      </c>
      <c r="B39" s="93"/>
      <c r="C39" s="82"/>
      <c r="D39" s="82"/>
      <c r="E39" s="94"/>
      <c r="F39" s="93"/>
      <c r="G39" s="93"/>
    </row>
    <row r="40" spans="1:7" x14ac:dyDescent="0.3">
      <c r="A40" s="95"/>
      <c r="B40" s="93"/>
      <c r="C40" s="82"/>
      <c r="D40" s="82"/>
      <c r="E40" s="94"/>
      <c r="F40" s="93"/>
      <c r="G40" s="93"/>
    </row>
    <row r="41" spans="1:7" x14ac:dyDescent="0.3">
      <c r="A41" s="93" t="s">
        <v>140</v>
      </c>
      <c r="B41" s="93"/>
      <c r="C41" s="82"/>
      <c r="D41" s="82"/>
      <c r="E41" s="94"/>
      <c r="F41" s="93"/>
      <c r="G41" s="93"/>
    </row>
    <row r="42" spans="1:7" x14ac:dyDescent="0.3">
      <c r="A42" s="95"/>
      <c r="B42" s="93"/>
      <c r="C42" s="82"/>
      <c r="D42" s="82"/>
      <c r="E42" s="94"/>
      <c r="F42" s="93"/>
      <c r="G42" s="93"/>
    </row>
    <row r="43" spans="1:7" x14ac:dyDescent="0.3">
      <c r="A43" s="102" t="s">
        <v>139</v>
      </c>
      <c r="B43" s="93"/>
      <c r="C43" s="82"/>
      <c r="D43" s="82"/>
      <c r="E43" s="94"/>
      <c r="F43" s="93"/>
      <c r="G43" s="93"/>
    </row>
    <row r="44" spans="1:7" x14ac:dyDescent="0.3">
      <c r="A44" s="102" t="s">
        <v>138</v>
      </c>
      <c r="B44" s="93"/>
      <c r="C44" s="82"/>
      <c r="D44" s="82"/>
      <c r="E44" s="94"/>
      <c r="F44" s="93"/>
      <c r="G44" s="93"/>
    </row>
    <row r="45" spans="1:7" x14ac:dyDescent="0.3">
      <c r="A45" s="95"/>
      <c r="B45" s="93"/>
      <c r="C45" s="82"/>
      <c r="D45" s="82"/>
      <c r="E45" s="94"/>
      <c r="F45" s="93"/>
      <c r="G45" s="93"/>
    </row>
    <row r="46" spans="1:7" ht="17.45" customHeight="1" x14ac:dyDescent="0.3">
      <c r="A46" s="101" t="s">
        <v>137</v>
      </c>
      <c r="B46" s="123" t="s">
        <v>136</v>
      </c>
      <c r="C46" s="123"/>
      <c r="D46" s="82"/>
      <c r="E46" s="94"/>
      <c r="F46" s="93"/>
      <c r="G46" s="93"/>
    </row>
    <row r="47" spans="1:7" x14ac:dyDescent="0.3">
      <c r="A47" s="101" t="s">
        <v>135</v>
      </c>
      <c r="B47" s="127">
        <v>650000000</v>
      </c>
      <c r="C47" s="127"/>
      <c r="D47" s="82"/>
      <c r="E47" s="94"/>
      <c r="F47" s="93"/>
      <c r="G47" s="93"/>
    </row>
    <row r="48" spans="1:7" x14ac:dyDescent="0.3">
      <c r="A48" s="101" t="s">
        <v>134</v>
      </c>
      <c r="B48" s="124">
        <v>0.4</v>
      </c>
      <c r="C48" s="124"/>
      <c r="D48" s="82"/>
      <c r="E48" s="94"/>
      <c r="F48" s="93"/>
      <c r="G48" s="93"/>
    </row>
    <row r="49" spans="1:7" ht="17.45" customHeight="1" x14ac:dyDescent="0.3">
      <c r="A49" s="101" t="s">
        <v>133</v>
      </c>
      <c r="B49" s="123" t="s">
        <v>132</v>
      </c>
      <c r="C49" s="123"/>
      <c r="D49" s="82"/>
      <c r="E49" s="94"/>
      <c r="F49" s="93"/>
      <c r="G49" s="93"/>
    </row>
    <row r="50" spans="1:7" x14ac:dyDescent="0.3">
      <c r="A50" s="101" t="s">
        <v>131</v>
      </c>
      <c r="B50" s="124">
        <v>0.1</v>
      </c>
      <c r="C50" s="124"/>
      <c r="D50" s="82"/>
      <c r="E50" s="94"/>
      <c r="F50" s="93"/>
      <c r="G50" s="93"/>
    </row>
    <row r="51" spans="1:7" x14ac:dyDescent="0.3">
      <c r="A51" s="95"/>
      <c r="B51" s="93"/>
      <c r="C51" s="82"/>
      <c r="D51" s="82"/>
      <c r="E51" s="94"/>
      <c r="F51" s="93"/>
      <c r="G51" s="93"/>
    </row>
    <row r="52" spans="1:7" x14ac:dyDescent="0.3">
      <c r="A52" s="93" t="s">
        <v>130</v>
      </c>
      <c r="B52" s="93"/>
      <c r="C52" s="82"/>
      <c r="D52" s="82"/>
      <c r="E52" s="94"/>
      <c r="F52" s="93"/>
      <c r="G52" s="93"/>
    </row>
    <row r="53" spans="1:7" x14ac:dyDescent="0.3">
      <c r="A53" s="95"/>
      <c r="B53" s="93"/>
      <c r="C53" s="82"/>
      <c r="D53" s="82"/>
      <c r="E53" s="94"/>
      <c r="F53" s="93"/>
      <c r="G53" s="93"/>
    </row>
    <row r="54" spans="1:7" x14ac:dyDescent="0.3">
      <c r="A54" s="100" t="s">
        <v>129</v>
      </c>
      <c r="B54" s="99" t="s">
        <v>128</v>
      </c>
      <c r="C54" s="99" t="s">
        <v>127</v>
      </c>
      <c r="D54" s="82"/>
      <c r="E54" s="94"/>
      <c r="F54" s="93"/>
      <c r="G54" s="93"/>
    </row>
    <row r="55" spans="1:7" x14ac:dyDescent="0.3">
      <c r="A55" s="98" t="s">
        <v>126</v>
      </c>
      <c r="B55" s="97">
        <v>0.03</v>
      </c>
      <c r="C55" s="97">
        <v>2.7E-2</v>
      </c>
      <c r="D55" s="82"/>
      <c r="E55" s="94"/>
      <c r="F55" s="93"/>
      <c r="G55" s="93"/>
    </row>
    <row r="56" spans="1:7" x14ac:dyDescent="0.3">
      <c r="A56" s="98" t="s">
        <v>125</v>
      </c>
      <c r="B56" s="97">
        <v>2.7E-2</v>
      </c>
      <c r="C56" s="97">
        <v>2.5000000000000001E-2</v>
      </c>
      <c r="D56" s="82"/>
      <c r="E56" s="94"/>
      <c r="F56" s="93"/>
      <c r="G56" s="93"/>
    </row>
    <row r="57" spans="1:7" x14ac:dyDescent="0.3">
      <c r="A57" s="98" t="s">
        <v>124</v>
      </c>
      <c r="B57" s="97">
        <v>2.5000000000000001E-2</v>
      </c>
      <c r="C57" s="97">
        <v>2.1999999999999999E-2</v>
      </c>
      <c r="D57" s="82"/>
      <c r="E57" s="94"/>
      <c r="F57" s="93"/>
      <c r="G57" s="93"/>
    </row>
    <row r="58" spans="1:7" x14ac:dyDescent="0.3">
      <c r="A58" s="98" t="s">
        <v>123</v>
      </c>
      <c r="B58" s="97">
        <v>2.1999999999999999E-2</v>
      </c>
      <c r="C58" s="97">
        <v>0.02</v>
      </c>
      <c r="D58" s="82"/>
      <c r="E58" s="94"/>
      <c r="F58" s="93"/>
      <c r="G58" s="93"/>
    </row>
    <row r="59" spans="1:7" x14ac:dyDescent="0.3">
      <c r="A59" s="98" t="s">
        <v>122</v>
      </c>
      <c r="B59" s="97">
        <v>0.02</v>
      </c>
      <c r="C59" s="97">
        <v>0.02</v>
      </c>
      <c r="D59" s="82"/>
      <c r="E59" s="94"/>
      <c r="F59" s="93"/>
      <c r="G59" s="93"/>
    </row>
    <row r="60" spans="1:7" x14ac:dyDescent="0.3">
      <c r="A60" s="95"/>
      <c r="B60" s="93"/>
      <c r="C60" s="82"/>
      <c r="D60" s="82"/>
      <c r="E60" s="94"/>
      <c r="F60" s="93"/>
      <c r="G60" s="93"/>
    </row>
    <row r="61" spans="1:7" x14ac:dyDescent="0.3">
      <c r="A61" s="96" t="s">
        <v>121</v>
      </c>
      <c r="B61" s="93"/>
      <c r="C61" s="82"/>
      <c r="D61" s="82"/>
      <c r="E61" s="94"/>
      <c r="F61" s="93"/>
      <c r="G61" s="93"/>
    </row>
    <row r="62" spans="1:7" x14ac:dyDescent="0.3">
      <c r="A62" s="95"/>
      <c r="B62" s="93"/>
      <c r="C62" s="82"/>
      <c r="D62" s="82"/>
      <c r="E62" s="94"/>
      <c r="F62" s="93"/>
      <c r="G62" s="93"/>
    </row>
    <row r="63" spans="1:7" x14ac:dyDescent="0.3">
      <c r="A63" s="95" t="s">
        <v>120</v>
      </c>
      <c r="B63" s="93"/>
      <c r="C63" s="82"/>
      <c r="D63" s="82"/>
      <c r="E63" s="94"/>
      <c r="F63" s="93"/>
      <c r="G63" s="93"/>
    </row>
    <row r="64" spans="1:7" x14ac:dyDescent="0.3">
      <c r="A64" s="55" t="s">
        <v>11</v>
      </c>
    </row>
    <row r="68" spans="1:9" x14ac:dyDescent="0.3">
      <c r="A68" s="55" t="s">
        <v>119</v>
      </c>
    </row>
    <row r="70" spans="1:9" x14ac:dyDescent="0.3">
      <c r="A70" s="63" t="s">
        <v>118</v>
      </c>
    </row>
    <row r="71" spans="1:9" x14ac:dyDescent="0.3">
      <c r="A71" s="61"/>
    </row>
    <row r="72" spans="1:9" x14ac:dyDescent="0.3">
      <c r="B72" s="92"/>
      <c r="C72" s="92"/>
      <c r="D72" s="92"/>
    </row>
    <row r="73" spans="1:9" x14ac:dyDescent="0.3">
      <c r="B73" s="91"/>
      <c r="C73" s="90"/>
      <c r="D73" s="90"/>
      <c r="I73" s="88"/>
    </row>
    <row r="74" spans="1:9" x14ac:dyDescent="0.3">
      <c r="A74" s="80" t="s">
        <v>117</v>
      </c>
      <c r="B74" s="81" t="s">
        <v>111</v>
      </c>
      <c r="C74" s="81" t="s">
        <v>110</v>
      </c>
      <c r="D74" s="81" t="s">
        <v>109</v>
      </c>
      <c r="I74" s="88"/>
    </row>
    <row r="75" spans="1:9" x14ac:dyDescent="0.3">
      <c r="A75" s="85" t="s">
        <v>93</v>
      </c>
      <c r="B75" s="89">
        <v>140000</v>
      </c>
      <c r="C75" s="89">
        <v>145000</v>
      </c>
      <c r="D75" s="89">
        <v>150000</v>
      </c>
      <c r="I75" s="88"/>
    </row>
    <row r="76" spans="1:9" x14ac:dyDescent="0.3">
      <c r="A76" s="85" t="s">
        <v>92</v>
      </c>
      <c r="B76" s="87">
        <v>19000</v>
      </c>
      <c r="C76" s="87">
        <v>21000</v>
      </c>
      <c r="D76" s="87">
        <v>18500</v>
      </c>
      <c r="I76" s="88"/>
    </row>
    <row r="77" spans="1:9" x14ac:dyDescent="0.3">
      <c r="A77" s="85" t="s">
        <v>91</v>
      </c>
      <c r="B77" s="87">
        <v>24000</v>
      </c>
      <c r="C77" s="87">
        <v>23000</v>
      </c>
      <c r="D77" s="87">
        <v>25000</v>
      </c>
    </row>
    <row r="78" spans="1:9" x14ac:dyDescent="0.3">
      <c r="A78" s="85" t="s">
        <v>90</v>
      </c>
      <c r="B78" s="87">
        <v>17000</v>
      </c>
      <c r="C78" s="87">
        <v>17500</v>
      </c>
      <c r="D78" s="87">
        <v>15000</v>
      </c>
    </row>
    <row r="80" spans="1:9" x14ac:dyDescent="0.3">
      <c r="A80" s="80" t="s">
        <v>116</v>
      </c>
      <c r="B80" s="81" t="s">
        <v>111</v>
      </c>
      <c r="C80" s="81" t="s">
        <v>110</v>
      </c>
      <c r="D80" s="81" t="s">
        <v>109</v>
      </c>
    </row>
    <row r="81" spans="1:4" x14ac:dyDescent="0.3">
      <c r="A81" s="85" t="s">
        <v>93</v>
      </c>
      <c r="B81" s="84">
        <v>1.1499999999999999</v>
      </c>
      <c r="C81" s="84">
        <v>1.1000000000000001</v>
      </c>
      <c r="D81" s="84">
        <v>1.25</v>
      </c>
    </row>
    <row r="82" spans="1:4" x14ac:dyDescent="0.3">
      <c r="A82" s="85" t="s">
        <v>92</v>
      </c>
      <c r="B82" s="84">
        <v>1.35</v>
      </c>
      <c r="C82" s="84">
        <v>1.3</v>
      </c>
      <c r="D82" s="84">
        <v>1.4</v>
      </c>
    </row>
    <row r="83" spans="1:4" x14ac:dyDescent="0.3">
      <c r="A83" s="85" t="s">
        <v>91</v>
      </c>
      <c r="B83" s="84">
        <v>1.2</v>
      </c>
      <c r="C83" s="84">
        <v>1.05</v>
      </c>
      <c r="D83" s="84">
        <v>1.1499999999999999</v>
      </c>
    </row>
    <row r="84" spans="1:4" x14ac:dyDescent="0.3">
      <c r="A84" s="85" t="s">
        <v>90</v>
      </c>
      <c r="B84" s="84">
        <v>1.25</v>
      </c>
      <c r="C84" s="84">
        <v>1.3</v>
      </c>
      <c r="D84" s="84">
        <v>1.35</v>
      </c>
    </row>
    <row r="86" spans="1:4" x14ac:dyDescent="0.3">
      <c r="A86" s="83" t="s">
        <v>115</v>
      </c>
      <c r="B86" s="73" t="s">
        <v>111</v>
      </c>
      <c r="C86" s="73" t="s">
        <v>110</v>
      </c>
      <c r="D86" s="73" t="s">
        <v>109</v>
      </c>
    </row>
    <row r="87" spans="1:4" x14ac:dyDescent="0.3">
      <c r="A87" s="76" t="s">
        <v>93</v>
      </c>
      <c r="B87" s="86">
        <f t="shared" ref="B87:D90" si="0">$D81/B81</f>
        <v>1.0869565217391306</v>
      </c>
      <c r="C87" s="86">
        <f t="shared" si="0"/>
        <v>1.1363636363636362</v>
      </c>
      <c r="D87" s="86">
        <f t="shared" si="0"/>
        <v>1</v>
      </c>
    </row>
    <row r="88" spans="1:4" x14ac:dyDescent="0.3">
      <c r="A88" s="76" t="s">
        <v>92</v>
      </c>
      <c r="B88" s="86">
        <f t="shared" si="0"/>
        <v>1.037037037037037</v>
      </c>
      <c r="C88" s="86">
        <f t="shared" si="0"/>
        <v>1.0769230769230769</v>
      </c>
      <c r="D88" s="86">
        <f t="shared" si="0"/>
        <v>1</v>
      </c>
    </row>
    <row r="89" spans="1:4" x14ac:dyDescent="0.3">
      <c r="A89" s="76" t="s">
        <v>91</v>
      </c>
      <c r="B89" s="86">
        <f t="shared" si="0"/>
        <v>0.95833333333333326</v>
      </c>
      <c r="C89" s="86">
        <f t="shared" si="0"/>
        <v>1.0952380952380951</v>
      </c>
      <c r="D89" s="86">
        <f t="shared" si="0"/>
        <v>1</v>
      </c>
    </row>
    <row r="90" spans="1:4" x14ac:dyDescent="0.3">
      <c r="A90" s="76" t="s">
        <v>90</v>
      </c>
      <c r="B90" s="86">
        <f t="shared" si="0"/>
        <v>1.08</v>
      </c>
      <c r="C90" s="86">
        <f t="shared" si="0"/>
        <v>1.0384615384615385</v>
      </c>
      <c r="D90" s="86">
        <f t="shared" si="0"/>
        <v>1</v>
      </c>
    </row>
    <row r="92" spans="1:4" x14ac:dyDescent="0.3">
      <c r="A92" s="80" t="s">
        <v>114</v>
      </c>
      <c r="B92" s="81" t="s">
        <v>111</v>
      </c>
      <c r="C92" s="81" t="s">
        <v>110</v>
      </c>
      <c r="D92" s="81" t="s">
        <v>109</v>
      </c>
    </row>
    <row r="93" spans="1:4" x14ac:dyDescent="0.3">
      <c r="A93" s="85" t="s">
        <v>93</v>
      </c>
      <c r="B93" s="84">
        <v>1</v>
      </c>
      <c r="C93" s="84">
        <v>1</v>
      </c>
      <c r="D93" s="84">
        <v>1</v>
      </c>
    </row>
    <row r="94" spans="1:4" x14ac:dyDescent="0.3">
      <c r="A94" s="85" t="s">
        <v>92</v>
      </c>
      <c r="B94" s="84">
        <v>1.05</v>
      </c>
      <c r="C94" s="84">
        <v>1.03</v>
      </c>
      <c r="D94" s="84">
        <v>1</v>
      </c>
    </row>
    <row r="95" spans="1:4" x14ac:dyDescent="0.3">
      <c r="A95" s="85" t="s">
        <v>91</v>
      </c>
      <c r="B95" s="84">
        <v>0.98</v>
      </c>
      <c r="C95" s="84">
        <v>0.99</v>
      </c>
      <c r="D95" s="84">
        <v>1</v>
      </c>
    </row>
    <row r="96" spans="1:4" x14ac:dyDescent="0.3">
      <c r="A96" s="85" t="s">
        <v>90</v>
      </c>
      <c r="B96" s="84">
        <v>1.02</v>
      </c>
      <c r="C96" s="84">
        <v>1.01</v>
      </c>
      <c r="D96" s="84">
        <v>1</v>
      </c>
    </row>
    <row r="98" spans="1:5" x14ac:dyDescent="0.3">
      <c r="A98" s="83" t="s">
        <v>113</v>
      </c>
      <c r="B98" s="73" t="s">
        <v>111</v>
      </c>
      <c r="C98" s="73" t="s">
        <v>110</v>
      </c>
      <c r="D98" s="73" t="s">
        <v>109</v>
      </c>
    </row>
    <row r="99" spans="1:5" x14ac:dyDescent="0.3">
      <c r="A99" s="76" t="s">
        <v>93</v>
      </c>
      <c r="B99" s="74">
        <f>B75*B87*PRODUCT(B93:$D93)</f>
        <v>152173.91304347827</v>
      </c>
      <c r="C99" s="74">
        <f>C75*C87*PRODUCT(C93:$D93)</f>
        <v>164772.72727272726</v>
      </c>
      <c r="D99" s="74">
        <f>D75*D87*PRODUCT(D93:$D93)</f>
        <v>150000</v>
      </c>
    </row>
    <row r="100" spans="1:5" x14ac:dyDescent="0.3">
      <c r="A100" s="76" t="s">
        <v>92</v>
      </c>
      <c r="B100" s="74">
        <f>B76*B88*PRODUCT(B94:$D94)</f>
        <v>21309.555555555558</v>
      </c>
      <c r="C100" s="74">
        <f>C76*C88*PRODUCT(C94:$D94)</f>
        <v>23293.846153846152</v>
      </c>
      <c r="D100" s="74">
        <f>D76*D88*PRODUCT(D94:$D94)</f>
        <v>18500</v>
      </c>
    </row>
    <row r="101" spans="1:5" x14ac:dyDescent="0.3">
      <c r="A101" s="76" t="s">
        <v>91</v>
      </c>
      <c r="B101" s="74">
        <f>B77*B89*PRODUCT(B95:$D95)</f>
        <v>22314.6</v>
      </c>
      <c r="C101" s="74">
        <f>C77*C89*PRODUCT(C95:$D95)</f>
        <v>24938.571428571424</v>
      </c>
      <c r="D101" s="74">
        <f>D77*D89*PRODUCT(D95:$D95)</f>
        <v>25000</v>
      </c>
    </row>
    <row r="102" spans="1:5" x14ac:dyDescent="0.3">
      <c r="A102" s="76" t="s">
        <v>90</v>
      </c>
      <c r="B102" s="74">
        <f>B78*B90*PRODUCT(B96:$D96)</f>
        <v>18914.472000000002</v>
      </c>
      <c r="C102" s="74">
        <f>C78*C90*PRODUCT(C96:$D96)</f>
        <v>18354.807692307695</v>
      </c>
      <c r="D102" s="74">
        <f>D78*D90*PRODUCT(D96:$D96)</f>
        <v>15000</v>
      </c>
    </row>
    <row r="103" spans="1:5" ht="19.5" x14ac:dyDescent="0.35">
      <c r="A103" s="60" t="s">
        <v>112</v>
      </c>
      <c r="B103" s="59"/>
    </row>
    <row r="105" spans="1:5" x14ac:dyDescent="0.3">
      <c r="A105" s="82"/>
      <c r="B105" s="81" t="s">
        <v>111</v>
      </c>
      <c r="C105" s="81" t="s">
        <v>110</v>
      </c>
      <c r="D105" s="81" t="s">
        <v>109</v>
      </c>
    </row>
    <row r="106" spans="1:5" x14ac:dyDescent="0.3">
      <c r="A106" s="80" t="s">
        <v>108</v>
      </c>
      <c r="B106" s="79">
        <v>0.1</v>
      </c>
      <c r="C106" s="79">
        <v>0.3</v>
      </c>
      <c r="D106" s="79">
        <v>0.6</v>
      </c>
    </row>
    <row r="108" spans="1:5" x14ac:dyDescent="0.3">
      <c r="A108" s="78" t="s">
        <v>107</v>
      </c>
      <c r="D108" s="73" t="s">
        <v>106</v>
      </c>
      <c r="E108" s="73" t="s">
        <v>105</v>
      </c>
    </row>
    <row r="109" spans="1:5" x14ac:dyDescent="0.3">
      <c r="A109" s="76" t="s">
        <v>93</v>
      </c>
      <c r="D109" s="77">
        <v>0.05</v>
      </c>
      <c r="E109" s="74">
        <f>SUMPRODUCT($B$106:$D$106,B99:D99)</f>
        <v>154649.20948616602</v>
      </c>
    </row>
    <row r="110" spans="1:5" x14ac:dyDescent="0.3">
      <c r="A110" s="76" t="s">
        <v>92</v>
      </c>
      <c r="D110" s="75">
        <v>0.05</v>
      </c>
      <c r="E110" s="74">
        <f>SUMPRODUCT($B$106:$D$106,B100:D100)</f>
        <v>20219.1094017094</v>
      </c>
    </row>
    <row r="111" spans="1:5" x14ac:dyDescent="0.3">
      <c r="A111" s="76" t="s">
        <v>91</v>
      </c>
      <c r="D111" s="75">
        <v>0.1</v>
      </c>
      <c r="E111" s="74">
        <f>SUMPRODUCT($B$106:$D$106,B101:D101)</f>
        <v>24713.031428571427</v>
      </c>
    </row>
    <row r="112" spans="1:5" x14ac:dyDescent="0.3">
      <c r="A112" s="76" t="s">
        <v>90</v>
      </c>
      <c r="D112" s="75">
        <v>0.8</v>
      </c>
      <c r="E112" s="74">
        <f>SUMPRODUCT($B$106:$D$106,B102:D102)</f>
        <v>16397.889507692307</v>
      </c>
    </row>
    <row r="113" spans="1:6" x14ac:dyDescent="0.3">
      <c r="D113" s="54"/>
      <c r="F113" s="57"/>
    </row>
    <row r="114" spans="1:6" x14ac:dyDescent="0.3">
      <c r="A114" s="63" t="s">
        <v>103</v>
      </c>
      <c r="D114" s="72"/>
      <c r="E114" s="58">
        <f>SUMPRODUCT(E109:E112,D109:D112)</f>
        <v>24333.030693404762</v>
      </c>
      <c r="F114" s="54"/>
    </row>
    <row r="115" spans="1:6" x14ac:dyDescent="0.3">
      <c r="A115" s="61"/>
      <c r="F115" s="57"/>
    </row>
    <row r="116" spans="1:6" x14ac:dyDescent="0.3">
      <c r="A116" s="61"/>
    </row>
    <row r="117" spans="1:6" x14ac:dyDescent="0.3">
      <c r="A117" s="63" t="s">
        <v>104</v>
      </c>
    </row>
    <row r="118" spans="1:6" x14ac:dyDescent="0.3">
      <c r="A118" s="61"/>
    </row>
    <row r="119" spans="1:6" x14ac:dyDescent="0.3">
      <c r="A119" s="61"/>
    </row>
    <row r="120" spans="1:6" x14ac:dyDescent="0.3">
      <c r="A120" s="63" t="s">
        <v>103</v>
      </c>
      <c r="E120" s="73" t="s">
        <v>102</v>
      </c>
      <c r="F120" s="73" t="s">
        <v>101</v>
      </c>
    </row>
    <row r="121" spans="1:6" x14ac:dyDescent="0.3">
      <c r="A121" s="55" t="s">
        <v>93</v>
      </c>
      <c r="E121" s="72">
        <f>E109</f>
        <v>154649.20948616602</v>
      </c>
    </row>
    <row r="122" spans="1:6" x14ac:dyDescent="0.3">
      <c r="A122" s="55" t="s">
        <v>92</v>
      </c>
      <c r="E122" s="57">
        <f>E110</f>
        <v>20219.1094017094</v>
      </c>
    </row>
    <row r="123" spans="1:6" x14ac:dyDescent="0.3">
      <c r="A123" s="55" t="s">
        <v>91</v>
      </c>
      <c r="E123" s="57">
        <f>E111</f>
        <v>24713.031428571427</v>
      </c>
    </row>
    <row r="124" spans="1:6" x14ac:dyDescent="0.3">
      <c r="A124" s="55" t="s">
        <v>90</v>
      </c>
      <c r="E124" s="57">
        <f>E112</f>
        <v>16397.889507692307</v>
      </c>
    </row>
    <row r="125" spans="1:6" x14ac:dyDescent="0.3">
      <c r="A125" s="63" t="s">
        <v>100</v>
      </c>
      <c r="E125" s="71">
        <f>E114</f>
        <v>24333.030693404762</v>
      </c>
    </row>
    <row r="127" spans="1:6" x14ac:dyDescent="0.3">
      <c r="A127" s="63" t="s">
        <v>99</v>
      </c>
    </row>
    <row r="128" spans="1:6" x14ac:dyDescent="0.3">
      <c r="A128" s="55" t="s">
        <v>93</v>
      </c>
      <c r="E128" s="70">
        <f>D81</f>
        <v>1.25</v>
      </c>
      <c r="F128" s="70">
        <v>1.2</v>
      </c>
    </row>
    <row r="129" spans="1:6" x14ac:dyDescent="0.3">
      <c r="A129" s="55" t="s">
        <v>92</v>
      </c>
      <c r="E129" s="70">
        <f>D82</f>
        <v>1.4</v>
      </c>
      <c r="F129" s="70">
        <v>1.5</v>
      </c>
    </row>
    <row r="130" spans="1:6" x14ac:dyDescent="0.3">
      <c r="A130" s="55" t="s">
        <v>91</v>
      </c>
      <c r="E130" s="70">
        <f>D83</f>
        <v>1.1499999999999999</v>
      </c>
      <c r="F130" s="70">
        <v>1.1000000000000001</v>
      </c>
    </row>
    <row r="131" spans="1:6" x14ac:dyDescent="0.3">
      <c r="A131" s="55" t="s">
        <v>90</v>
      </c>
      <c r="E131" s="70">
        <f>D84</f>
        <v>1.35</v>
      </c>
      <c r="F131" s="70">
        <v>1.2</v>
      </c>
    </row>
    <row r="133" spans="1:6" x14ac:dyDescent="0.3">
      <c r="A133" s="63" t="s">
        <v>98</v>
      </c>
    </row>
    <row r="134" spans="1:6" x14ac:dyDescent="0.3">
      <c r="A134" s="55" t="s">
        <v>93</v>
      </c>
      <c r="F134" s="69">
        <f>F128/E128</f>
        <v>0.96</v>
      </c>
    </row>
    <row r="135" spans="1:6" x14ac:dyDescent="0.3">
      <c r="A135" s="55" t="s">
        <v>92</v>
      </c>
      <c r="F135" s="69">
        <f>F129/E129</f>
        <v>1.0714285714285714</v>
      </c>
    </row>
    <row r="136" spans="1:6" x14ac:dyDescent="0.3">
      <c r="A136" s="55" t="s">
        <v>91</v>
      </c>
      <c r="F136" s="69">
        <f>F130/E130</f>
        <v>0.95652173913043492</v>
      </c>
    </row>
    <row r="137" spans="1:6" x14ac:dyDescent="0.3">
      <c r="A137" s="55" t="s">
        <v>90</v>
      </c>
      <c r="F137" s="69">
        <f>F131/E131</f>
        <v>0.88888888888888884</v>
      </c>
    </row>
    <row r="139" spans="1:6" x14ac:dyDescent="0.3">
      <c r="A139" s="63" t="s">
        <v>97</v>
      </c>
    </row>
    <row r="140" spans="1:6" x14ac:dyDescent="0.3">
      <c r="A140" s="55" t="s">
        <v>93</v>
      </c>
      <c r="F140" s="66">
        <f>E121*F134</f>
        <v>148463.24110671936</v>
      </c>
    </row>
    <row r="141" spans="1:6" x14ac:dyDescent="0.3">
      <c r="A141" s="55" t="s">
        <v>92</v>
      </c>
      <c r="F141" s="65">
        <f>E122*F135</f>
        <v>21663.331501831501</v>
      </c>
    </row>
    <row r="142" spans="1:6" x14ac:dyDescent="0.3">
      <c r="A142" s="55" t="s">
        <v>91</v>
      </c>
      <c r="F142" s="65">
        <f>E123*F136</f>
        <v>23638.551801242236</v>
      </c>
    </row>
    <row r="143" spans="1:6" x14ac:dyDescent="0.3">
      <c r="A143" s="55" t="s">
        <v>90</v>
      </c>
      <c r="F143" s="65">
        <f>E124*F137</f>
        <v>14575.901784615384</v>
      </c>
    </row>
    <row r="145" spans="1:6" x14ac:dyDescent="0.3">
      <c r="A145" s="63" t="s">
        <v>96</v>
      </c>
    </row>
    <row r="146" spans="1:6" x14ac:dyDescent="0.3">
      <c r="A146" s="55" t="s">
        <v>93</v>
      </c>
      <c r="F146" s="68">
        <v>1000</v>
      </c>
    </row>
    <row r="147" spans="1:6" x14ac:dyDescent="0.3">
      <c r="A147" s="55" t="s">
        <v>92</v>
      </c>
      <c r="F147" s="67">
        <v>500</v>
      </c>
    </row>
    <row r="148" spans="1:6" x14ac:dyDescent="0.3">
      <c r="A148" s="55" t="s">
        <v>91</v>
      </c>
      <c r="F148" s="67">
        <v>300</v>
      </c>
    </row>
    <row r="149" spans="1:6" x14ac:dyDescent="0.3">
      <c r="A149" s="55" t="s">
        <v>90</v>
      </c>
      <c r="F149" s="67">
        <v>150</v>
      </c>
    </row>
    <row r="151" spans="1:6" x14ac:dyDescent="0.3">
      <c r="A151" s="63" t="s">
        <v>95</v>
      </c>
    </row>
    <row r="152" spans="1:6" x14ac:dyDescent="0.3">
      <c r="A152" s="55" t="s">
        <v>93</v>
      </c>
      <c r="F152" s="66">
        <f>F140+F146</f>
        <v>149463.24110671936</v>
      </c>
    </row>
    <row r="153" spans="1:6" x14ac:dyDescent="0.3">
      <c r="A153" s="55" t="s">
        <v>92</v>
      </c>
      <c r="F153" s="65">
        <f>F141+F147</f>
        <v>22163.331501831501</v>
      </c>
    </row>
    <row r="154" spans="1:6" x14ac:dyDescent="0.3">
      <c r="A154" s="55" t="s">
        <v>91</v>
      </c>
      <c r="F154" s="65">
        <f>F142+F148</f>
        <v>23938.551801242236</v>
      </c>
    </row>
    <row r="155" spans="1:6" x14ac:dyDescent="0.3">
      <c r="A155" s="55" t="s">
        <v>90</v>
      </c>
      <c r="F155" s="65">
        <f>F143+F149</f>
        <v>14725.901784615384</v>
      </c>
    </row>
    <row r="157" spans="1:6" x14ac:dyDescent="0.3">
      <c r="A157" s="63" t="s">
        <v>94</v>
      </c>
    </row>
    <row r="158" spans="1:6" x14ac:dyDescent="0.3">
      <c r="A158" s="55" t="s">
        <v>93</v>
      </c>
      <c r="F158" s="64">
        <v>0.05</v>
      </c>
    </row>
    <row r="159" spans="1:6" x14ac:dyDescent="0.3">
      <c r="A159" s="55" t="s">
        <v>92</v>
      </c>
      <c r="F159" s="64">
        <v>0.05</v>
      </c>
    </row>
    <row r="160" spans="1:6" x14ac:dyDescent="0.3">
      <c r="A160" s="55" t="s">
        <v>91</v>
      </c>
      <c r="F160" s="64">
        <v>0.1</v>
      </c>
    </row>
    <row r="161" spans="1:6" x14ac:dyDescent="0.3">
      <c r="A161" s="55" t="s">
        <v>90</v>
      </c>
      <c r="F161" s="64">
        <v>0.8</v>
      </c>
    </row>
    <row r="163" spans="1:6" x14ac:dyDescent="0.3">
      <c r="A163" s="63" t="s">
        <v>89</v>
      </c>
      <c r="F163" s="58">
        <f>SUMPRODUCT(F152:F155,F158:F161)</f>
        <v>22755.905238244075</v>
      </c>
    </row>
    <row r="169" spans="1:6" x14ac:dyDescent="0.3">
      <c r="A169" s="55" t="s">
        <v>88</v>
      </c>
    </row>
    <row r="170" spans="1:6" x14ac:dyDescent="0.3">
      <c r="A170" s="61"/>
    </row>
    <row r="171" spans="1:6" x14ac:dyDescent="0.3">
      <c r="A171" s="61"/>
    </row>
    <row r="172" spans="1:6" x14ac:dyDescent="0.3">
      <c r="A172" s="56" t="s">
        <v>87</v>
      </c>
    </row>
    <row r="173" spans="1:6" x14ac:dyDescent="0.3">
      <c r="A173" s="55" t="s">
        <v>86</v>
      </c>
    </row>
    <row r="174" spans="1:6" x14ac:dyDescent="0.3">
      <c r="A174" s="55" t="s">
        <v>85</v>
      </c>
    </row>
    <row r="176" spans="1:6" x14ac:dyDescent="0.3">
      <c r="A176" s="55" t="s">
        <v>84</v>
      </c>
      <c r="B176" s="62">
        <f>(C57-B57)*(30000-20000)/(50000-20000)+B57</f>
        <v>2.4E-2</v>
      </c>
    </row>
    <row r="178" spans="1:2" x14ac:dyDescent="0.3">
      <c r="A178" s="56" t="s">
        <v>83</v>
      </c>
    </row>
    <row r="179" spans="1:2" x14ac:dyDescent="0.3">
      <c r="A179" s="55" t="s">
        <v>82</v>
      </c>
    </row>
    <row r="181" spans="1:2" x14ac:dyDescent="0.3">
      <c r="A181" s="55" t="s">
        <v>81</v>
      </c>
      <c r="B181" s="57">
        <f>30000*F163</f>
        <v>682677157.1473223</v>
      </c>
    </row>
    <row r="182" spans="1:2" x14ac:dyDescent="0.3">
      <c r="A182" s="55" t="s">
        <v>80</v>
      </c>
      <c r="B182" s="57">
        <f>B47</f>
        <v>650000000</v>
      </c>
    </row>
    <row r="183" spans="1:2" x14ac:dyDescent="0.3">
      <c r="A183" s="55" t="s">
        <v>79</v>
      </c>
      <c r="B183" s="57">
        <f>B181-B182</f>
        <v>32677157.147322297</v>
      </c>
    </row>
    <row r="184" spans="1:2" x14ac:dyDescent="0.3">
      <c r="B184" s="57"/>
    </row>
    <row r="185" spans="1:2" x14ac:dyDescent="0.3">
      <c r="A185" s="56" t="s">
        <v>78</v>
      </c>
    </row>
    <row r="186" spans="1:2" x14ac:dyDescent="0.3">
      <c r="A186" s="55" t="s">
        <v>77</v>
      </c>
    </row>
    <row r="187" spans="1:2" x14ac:dyDescent="0.3">
      <c r="A187" s="55" t="s">
        <v>76</v>
      </c>
      <c r="B187" s="57">
        <f>B181*B176</f>
        <v>16384251.771535736</v>
      </c>
    </row>
    <row r="188" spans="1:2" x14ac:dyDescent="0.3">
      <c r="A188" s="54"/>
    </row>
    <row r="189" spans="1:2" x14ac:dyDescent="0.3">
      <c r="A189" s="55" t="s">
        <v>75</v>
      </c>
    </row>
    <row r="190" spans="1:2" x14ac:dyDescent="0.3">
      <c r="A190" s="61"/>
    </row>
    <row r="191" spans="1:2" x14ac:dyDescent="0.3">
      <c r="A191" s="56" t="s">
        <v>74</v>
      </c>
    </row>
    <row r="192" spans="1:2" x14ac:dyDescent="0.3">
      <c r="A192" s="55" t="s">
        <v>73</v>
      </c>
    </row>
    <row r="193" spans="1:2" x14ac:dyDescent="0.3">
      <c r="A193" s="55" t="s">
        <v>72</v>
      </c>
      <c r="B193" s="59">
        <f>0.4*0.55</f>
        <v>0.22000000000000003</v>
      </c>
    </row>
    <row r="194" spans="1:2" ht="19.5" x14ac:dyDescent="0.35">
      <c r="A194" s="60" t="s">
        <v>71</v>
      </c>
      <c r="B194" s="59"/>
    </row>
    <row r="195" spans="1:2" x14ac:dyDescent="0.3">
      <c r="A195" s="54"/>
    </row>
    <row r="196" spans="1:2" x14ac:dyDescent="0.3">
      <c r="A196" s="56" t="s">
        <v>70</v>
      </c>
    </row>
    <row r="197" spans="1:2" x14ac:dyDescent="0.3">
      <c r="A197" s="55" t="s">
        <v>69</v>
      </c>
    </row>
    <row r="198" spans="1:2" x14ac:dyDescent="0.3">
      <c r="A198" s="55" t="s">
        <v>68</v>
      </c>
      <c r="B198" s="58">
        <f>B183*B193</f>
        <v>7188974.5724109067</v>
      </c>
    </row>
    <row r="199" spans="1:2" x14ac:dyDescent="0.3">
      <c r="A199" s="54"/>
    </row>
    <row r="200" spans="1:2" x14ac:dyDescent="0.3">
      <c r="A200" s="56" t="s">
        <v>67</v>
      </c>
    </row>
    <row r="201" spans="1:2" x14ac:dyDescent="0.3">
      <c r="A201" s="55" t="s">
        <v>66</v>
      </c>
    </row>
    <row r="202" spans="1:2" x14ac:dyDescent="0.3">
      <c r="A202" s="55" t="s">
        <v>65</v>
      </c>
      <c r="B202" s="57">
        <f>B181*B50</f>
        <v>68267715.71473223</v>
      </c>
    </row>
    <row r="203" spans="1:2" x14ac:dyDescent="0.3">
      <c r="A203" s="54"/>
    </row>
    <row r="204" spans="1:2" x14ac:dyDescent="0.3">
      <c r="A204" s="56" t="s">
        <v>64</v>
      </c>
    </row>
    <row r="205" spans="1:2" x14ac:dyDescent="0.3">
      <c r="A205" s="55" t="s">
        <v>63</v>
      </c>
    </row>
    <row r="206" spans="1:2" x14ac:dyDescent="0.3">
      <c r="A206" s="55" t="s">
        <v>62</v>
      </c>
    </row>
  </sheetData>
  <mergeCells count="7">
    <mergeCell ref="B49:C49"/>
    <mergeCell ref="B50:C50"/>
    <mergeCell ref="A2:G2"/>
    <mergeCell ref="A25:B25"/>
    <mergeCell ref="B46:C46"/>
    <mergeCell ref="B47:C47"/>
    <mergeCell ref="B48:C48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35CA-3048-497A-9178-A40A6BAFCB39}">
  <dimension ref="A1:H14"/>
  <sheetViews>
    <sheetView tabSelected="1" workbookViewId="0">
      <selection activeCell="A2" sqref="A2"/>
    </sheetView>
  </sheetViews>
  <sheetFormatPr defaultRowHeight="15" x14ac:dyDescent="0.25"/>
  <cols>
    <col min="1" max="1" width="32.85546875" customWidth="1"/>
    <col min="2" max="2" width="42.5703125" bestFit="1" customWidth="1"/>
    <col min="3" max="3" width="30" bestFit="1" customWidth="1"/>
    <col min="4" max="4" width="24.28515625" bestFit="1" customWidth="1"/>
    <col min="5" max="5" width="30" bestFit="1" customWidth="1"/>
    <col min="6" max="6" width="24.28515625" bestFit="1" customWidth="1"/>
    <col min="7" max="7" width="30" bestFit="1" customWidth="1"/>
  </cols>
  <sheetData>
    <row r="1" spans="1:8" ht="18.75" x14ac:dyDescent="0.3">
      <c r="A1" s="1" t="s">
        <v>160</v>
      </c>
      <c r="B1" s="4"/>
      <c r="C1" s="4"/>
      <c r="D1" s="4"/>
      <c r="E1" s="4"/>
      <c r="F1" s="4"/>
      <c r="G1" s="4"/>
      <c r="H1" s="4"/>
    </row>
    <row r="2" spans="1:8" ht="18.75" x14ac:dyDescent="0.3">
      <c r="A2" s="12" t="s">
        <v>159</v>
      </c>
      <c r="B2" s="4"/>
      <c r="C2" s="4"/>
      <c r="D2" s="4"/>
      <c r="E2" s="4"/>
      <c r="F2" s="4"/>
      <c r="G2" s="4"/>
      <c r="H2" s="4"/>
    </row>
    <row r="3" spans="1:8" ht="18.75" x14ac:dyDescent="0.3">
      <c r="A3" s="3"/>
      <c r="B3" s="4"/>
      <c r="C3" s="4"/>
      <c r="D3" s="4"/>
      <c r="E3" s="4"/>
      <c r="F3" s="4"/>
      <c r="G3" s="4"/>
      <c r="H3" s="4"/>
    </row>
    <row r="4" spans="1:8" ht="18.75" x14ac:dyDescent="0.3">
      <c r="A4" s="6" t="s">
        <v>158</v>
      </c>
      <c r="B4" s="4"/>
      <c r="C4" s="4"/>
      <c r="D4" s="4"/>
      <c r="E4" s="7"/>
      <c r="F4" s="4"/>
      <c r="G4" s="4"/>
      <c r="H4" s="4"/>
    </row>
    <row r="5" spans="1:8" ht="18.75" x14ac:dyDescent="0.3">
      <c r="A5" s="6" t="s">
        <v>157</v>
      </c>
      <c r="B5" s="4"/>
      <c r="C5" s="4"/>
      <c r="D5" s="4"/>
      <c r="E5" s="7"/>
      <c r="F5" s="4"/>
      <c r="G5" s="4"/>
      <c r="H5" s="4"/>
    </row>
    <row r="6" spans="1:8" ht="18.75" x14ac:dyDescent="0.3">
      <c r="A6" s="6" t="s">
        <v>156</v>
      </c>
      <c r="B6" s="110"/>
      <c r="C6" s="110"/>
      <c r="D6" s="110"/>
      <c r="E6" s="110"/>
      <c r="F6" s="112"/>
      <c r="G6" s="112"/>
      <c r="H6" s="4"/>
    </row>
    <row r="7" spans="1:8" ht="18.75" x14ac:dyDescent="0.3">
      <c r="A7" s="6" t="s">
        <v>155</v>
      </c>
      <c r="B7" s="110"/>
      <c r="C7" s="110"/>
      <c r="D7" s="110"/>
      <c r="E7" s="110"/>
      <c r="F7" s="112"/>
      <c r="G7" s="112"/>
      <c r="H7" s="4"/>
    </row>
    <row r="8" spans="1:8" ht="18.75" x14ac:dyDescent="0.3">
      <c r="A8" s="12"/>
      <c r="B8" s="110"/>
      <c r="C8" s="110"/>
      <c r="D8" s="110"/>
      <c r="E8" s="110"/>
      <c r="F8" s="112"/>
      <c r="G8" s="112"/>
      <c r="H8" s="4"/>
    </row>
    <row r="9" spans="1:8" ht="18.75" x14ac:dyDescent="0.3">
      <c r="A9" s="14" t="s">
        <v>154</v>
      </c>
      <c r="B9" s="110"/>
      <c r="C9" s="110"/>
      <c r="D9" s="110"/>
      <c r="E9" s="110"/>
      <c r="F9" s="112"/>
      <c r="G9" s="112"/>
      <c r="H9" s="4"/>
    </row>
    <row r="10" spans="1:8" ht="18.75" x14ac:dyDescent="0.3">
      <c r="A10" s="14"/>
      <c r="B10" s="7"/>
      <c r="C10" s="7"/>
      <c r="D10" s="7"/>
      <c r="E10" s="34"/>
      <c r="F10" s="12"/>
      <c r="G10" s="12"/>
      <c r="H10" s="4"/>
    </row>
    <row r="11" spans="1:8" ht="18.75" x14ac:dyDescent="0.3">
      <c r="A11" s="15" t="s">
        <v>153</v>
      </c>
      <c r="B11" s="111"/>
      <c r="C11" s="111"/>
      <c r="D11" s="111"/>
      <c r="E11" s="111"/>
      <c r="F11" s="12"/>
      <c r="G11" s="12"/>
      <c r="H11" s="4"/>
    </row>
    <row r="12" spans="1:8" ht="18.75" x14ac:dyDescent="0.3">
      <c r="A12" s="3"/>
      <c r="B12" s="128"/>
      <c r="C12" s="128"/>
      <c r="D12" s="128"/>
      <c r="E12" s="128"/>
      <c r="F12" s="12"/>
      <c r="G12" s="12"/>
      <c r="H12" s="4"/>
    </row>
    <row r="13" spans="1:8" ht="18.75" x14ac:dyDescent="0.3">
      <c r="A13" s="15" t="s">
        <v>152</v>
      </c>
      <c r="B13" s="110"/>
      <c r="C13" s="110"/>
      <c r="D13" s="110"/>
      <c r="E13" s="110"/>
      <c r="F13" s="12"/>
      <c r="G13" s="12"/>
      <c r="H13" s="4"/>
    </row>
    <row r="14" spans="1:8" ht="15.75" x14ac:dyDescent="0.25">
      <c r="A14" s="17" t="s">
        <v>11</v>
      </c>
    </row>
  </sheetData>
  <mergeCells count="2">
    <mergeCell ref="B12:C12"/>
    <mergeCell ref="D12:E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AC26-2FF2-41CC-A876-615BCE4B5B3B}">
  <dimension ref="A1:B15"/>
  <sheetViews>
    <sheetView workbookViewId="0">
      <selection activeCell="A2" sqref="A2"/>
    </sheetView>
  </sheetViews>
  <sheetFormatPr defaultColWidth="9.140625" defaultRowHeight="18.75" x14ac:dyDescent="0.3"/>
  <cols>
    <col min="1" max="16384" width="9.140625" style="19"/>
  </cols>
  <sheetData>
    <row r="1" spans="1:2" x14ac:dyDescent="0.3">
      <c r="A1" s="113" t="s">
        <v>167</v>
      </c>
    </row>
    <row r="5" spans="1:2" x14ac:dyDescent="0.3">
      <c r="B5" s="114">
        <f>(30+60+30+90)/240</f>
        <v>0.875</v>
      </c>
    </row>
    <row r="8" spans="1:2" x14ac:dyDescent="0.3">
      <c r="B8" s="114">
        <f>(30+60+30+90)/365</f>
        <v>0.57534246575342463</v>
      </c>
    </row>
    <row r="9" spans="1:2" x14ac:dyDescent="0.3">
      <c r="A9" s="113" t="s">
        <v>166</v>
      </c>
    </row>
    <row r="10" spans="1:2" x14ac:dyDescent="0.3">
      <c r="A10" s="19" t="s">
        <v>165</v>
      </c>
    </row>
    <row r="11" spans="1:2" x14ac:dyDescent="0.3">
      <c r="A11" s="19" t="s">
        <v>164</v>
      </c>
    </row>
    <row r="12" spans="1:2" x14ac:dyDescent="0.3">
      <c r="A12" s="19">
        <f>365*0.8</f>
        <v>292</v>
      </c>
      <c r="B12" s="19" t="s">
        <v>162</v>
      </c>
    </row>
    <row r="13" spans="1:2" x14ac:dyDescent="0.3">
      <c r="A13" s="19" t="s">
        <v>163</v>
      </c>
    </row>
    <row r="14" spans="1:2" x14ac:dyDescent="0.3">
      <c r="A14" s="19">
        <f>A12-(30+60+30+90)</f>
        <v>82</v>
      </c>
      <c r="B14" s="19" t="s">
        <v>162</v>
      </c>
    </row>
    <row r="15" spans="1:2" x14ac:dyDescent="0.3">
      <c r="A15" s="19" t="s">
        <v>161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Q3</vt:lpstr>
      <vt:lpstr>Q3 Solution</vt:lpstr>
      <vt:lpstr>Q5</vt:lpstr>
      <vt:lpstr>Q5 Solution</vt:lpstr>
      <vt:lpstr>Q7 Solution</vt:lpstr>
      <vt:lpstr>Q8</vt:lpstr>
      <vt:lpstr>Q8 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Rohrer</dc:creator>
  <cp:lastModifiedBy>Aleshia Zionce</cp:lastModifiedBy>
  <dcterms:created xsi:type="dcterms:W3CDTF">2025-01-25T04:02:43Z</dcterms:created>
  <dcterms:modified xsi:type="dcterms:W3CDTF">2025-01-27T18:42:39Z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b6c078-73cb-4371-8a5b-e9fc18accbf8_Enabled">
    <vt:lpwstr>true</vt:lpwstr>
  </property>
  <property fmtid="{D5CDD505-2E9C-101B-9397-08002B2CF9AE}" pid="3" name="MSIP_Label_e2b6c078-73cb-4371-8a5b-e9fc18accbf8_SetDate">
    <vt:lpwstr>2025-01-25T04:10:17Z</vt:lpwstr>
  </property>
  <property fmtid="{D5CDD505-2E9C-101B-9397-08002B2CF9AE}" pid="4" name="MSIP_Label_e2b6c078-73cb-4371-8a5b-e9fc18accbf8_Method">
    <vt:lpwstr>Standard</vt:lpwstr>
  </property>
  <property fmtid="{D5CDD505-2E9C-101B-9397-08002B2CF9AE}" pid="5" name="MSIP_Label_e2b6c078-73cb-4371-8a5b-e9fc18accbf8_Name">
    <vt:lpwstr>INTERNAL</vt:lpwstr>
  </property>
  <property fmtid="{D5CDD505-2E9C-101B-9397-08002B2CF9AE}" pid="6" name="MSIP_Label_e2b6c078-73cb-4371-8a5b-e9fc18accbf8_SiteId">
    <vt:lpwstr>56c62bbe-8598-4b85-9e51-1ca753fa50f2</vt:lpwstr>
  </property>
  <property fmtid="{D5CDD505-2E9C-101B-9397-08002B2CF9AE}" pid="7" name="MSIP_Label_e2b6c078-73cb-4371-8a5b-e9fc18accbf8_ActionId">
    <vt:lpwstr>8d928cdc-8314-4526-a56c-72aebc3db9c4</vt:lpwstr>
  </property>
  <property fmtid="{D5CDD505-2E9C-101B-9397-08002B2CF9AE}" pid="8" name="MSIP_Label_e2b6c078-73cb-4371-8a5b-e9fc18accbf8_ContentBits">
    <vt:lpwstr>0</vt:lpwstr>
  </property>
</Properties>
</file>