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Q:\Aleshia\Fall 2024 Solutions\"/>
    </mc:Choice>
  </mc:AlternateContent>
  <xr:revisionPtr revIDLastSave="0" documentId="8_{9BF7E490-857C-4576-BE31-7FA1D1FD5A9F}" xr6:coauthVersionLast="47" xr6:coauthVersionMax="47" xr10:uidLastSave="{00000000-0000-0000-0000-000000000000}"/>
  <bookViews>
    <workbookView xWindow="1170" yWindow="1170" windowWidth="20460" windowHeight="10440" activeTab="1" xr2:uid="{4DE0A405-97BE-4042-B481-4604990612A5}"/>
  </bookViews>
  <sheets>
    <sheet name="Notes" sheetId="7" r:id="rId1"/>
    <sheet name="Q01" sheetId="58" r:id="rId2"/>
    <sheet name="Q02" sheetId="59" r:id="rId3"/>
    <sheet name="Q03" sheetId="60" r:id="rId4"/>
    <sheet name="Q04" sheetId="61" r:id="rId5"/>
    <sheet name="Q05" sheetId="65" r:id="rId6"/>
    <sheet name="Q06" sheetId="57" r:id="rId7"/>
    <sheet name="Q07" sheetId="56" r:id="rId8"/>
    <sheet name="Q08" sheetId="62" r:id="rId9"/>
    <sheet name="Q09" sheetId="63" r:id="rId10"/>
    <sheet name="Q10" sheetId="64" r:id="rId11"/>
  </sheets>
  <definedNames>
    <definedName name="_Hlk157262880" localSheetId="8">'Q08'!#REF!</definedName>
    <definedName name="_Hlk46570471" localSheetId="8">'Q08'!#REF!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1" i="65" l="1"/>
  <c r="S21" i="65"/>
  <c r="P21" i="65"/>
  <c r="T20" i="65"/>
  <c r="S20" i="65"/>
  <c r="P20" i="65"/>
  <c r="T19" i="65"/>
  <c r="S19" i="65"/>
  <c r="U19" i="65" s="1"/>
  <c r="V19" i="65" s="1"/>
  <c r="P19" i="65"/>
  <c r="T18" i="65"/>
  <c r="S18" i="65"/>
  <c r="P18" i="65"/>
  <c r="S14" i="65"/>
  <c r="R14" i="65"/>
  <c r="O14" i="65"/>
  <c r="S13" i="65"/>
  <c r="T13" i="65" s="1"/>
  <c r="U13" i="65" s="1"/>
  <c r="R13" i="65"/>
  <c r="O13" i="65"/>
  <c r="S12" i="65"/>
  <c r="R12" i="65"/>
  <c r="O12" i="65"/>
  <c r="T12" i="65" s="1"/>
  <c r="S11" i="65"/>
  <c r="R11" i="65"/>
  <c r="O11" i="65"/>
  <c r="T11" i="65" s="1"/>
  <c r="T10" i="65"/>
  <c r="U10" i="65" s="1"/>
  <c r="S10" i="65"/>
  <c r="R10" i="65"/>
  <c r="O10" i="65"/>
  <c r="U11" i="65" l="1"/>
  <c r="U20" i="65"/>
  <c r="V20" i="65" s="1"/>
  <c r="U12" i="65"/>
  <c r="T14" i="65"/>
  <c r="U14" i="65" s="1"/>
  <c r="U18" i="65"/>
  <c r="V18" i="65" s="1"/>
  <c r="U21" i="65"/>
  <c r="V21" i="65" s="1"/>
  <c r="O71" i="64" l="1"/>
  <c r="O68" i="64"/>
  <c r="O56" i="64"/>
  <c r="O57" i="64" s="1"/>
  <c r="O53" i="64"/>
  <c r="O54" i="64" s="1"/>
  <c r="O52" i="64"/>
  <c r="P27" i="64"/>
  <c r="O67" i="64" s="1"/>
  <c r="P23" i="64"/>
  <c r="O59" i="64" l="1"/>
  <c r="O69" i="64"/>
  <c r="O72" i="64"/>
  <c r="O74" i="64" s="1"/>
  <c r="X359" i="63" l="1"/>
  <c r="V359" i="63"/>
  <c r="Y359" i="63" s="1"/>
  <c r="X358" i="63"/>
  <c r="V358" i="63"/>
  <c r="Y358" i="63" s="1"/>
  <c r="X357" i="63"/>
  <c r="V357" i="63"/>
  <c r="X356" i="63"/>
  <c r="V356" i="63"/>
  <c r="Y356" i="63" s="1"/>
  <c r="X355" i="63"/>
  <c r="V355" i="63"/>
  <c r="X354" i="63"/>
  <c r="V354" i="63"/>
  <c r="Y354" i="63" s="1"/>
  <c r="X353" i="63"/>
  <c r="V353" i="63"/>
  <c r="Y353" i="63" s="1"/>
  <c r="X352" i="63"/>
  <c r="V352" i="63"/>
  <c r="Y352" i="63" s="1"/>
  <c r="X351" i="63"/>
  <c r="V351" i="63"/>
  <c r="Y351" i="63" s="1"/>
  <c r="X350" i="63"/>
  <c r="V350" i="63"/>
  <c r="X349" i="63"/>
  <c r="V349" i="63"/>
  <c r="Y349" i="63" s="1"/>
  <c r="X348" i="63"/>
  <c r="V348" i="63"/>
  <c r="Y348" i="63" s="1"/>
  <c r="X347" i="63"/>
  <c r="V347" i="63"/>
  <c r="Y347" i="63" s="1"/>
  <c r="X346" i="63"/>
  <c r="V346" i="63"/>
  <c r="X345" i="63"/>
  <c r="V345" i="63"/>
  <c r="Y345" i="63" s="1"/>
  <c r="X344" i="63"/>
  <c r="V344" i="63"/>
  <c r="Y344" i="63" s="1"/>
  <c r="X343" i="63"/>
  <c r="V343" i="63"/>
  <c r="Y343" i="63" s="1"/>
  <c r="X342" i="63"/>
  <c r="V342" i="63"/>
  <c r="Y342" i="63" s="1"/>
  <c r="X341" i="63"/>
  <c r="V341" i="63"/>
  <c r="X340" i="63"/>
  <c r="V340" i="63"/>
  <c r="Y340" i="63" s="1"/>
  <c r="X339" i="63"/>
  <c r="V339" i="63"/>
  <c r="X338" i="63"/>
  <c r="V338" i="63"/>
  <c r="Y338" i="63" s="1"/>
  <c r="X337" i="63"/>
  <c r="V337" i="63"/>
  <c r="Y337" i="63" s="1"/>
  <c r="X336" i="63"/>
  <c r="V336" i="63"/>
  <c r="Y336" i="63" s="1"/>
  <c r="X335" i="63"/>
  <c r="V335" i="63"/>
  <c r="Y335" i="63" s="1"/>
  <c r="X334" i="63"/>
  <c r="V334" i="63"/>
  <c r="X333" i="63"/>
  <c r="V333" i="63"/>
  <c r="X332" i="63"/>
  <c r="V332" i="63"/>
  <c r="Y332" i="63" s="1"/>
  <c r="X331" i="63"/>
  <c r="V331" i="63"/>
  <c r="Y331" i="63" s="1"/>
  <c r="X330" i="63"/>
  <c r="V330" i="63"/>
  <c r="Y330" i="63" s="1"/>
  <c r="X329" i="63"/>
  <c r="V329" i="63"/>
  <c r="Y329" i="63" s="1"/>
  <c r="X328" i="63"/>
  <c r="V328" i="63"/>
  <c r="Y328" i="63" s="1"/>
  <c r="X327" i="63"/>
  <c r="V327" i="63"/>
  <c r="X326" i="63"/>
  <c r="V326" i="63"/>
  <c r="Y326" i="63" s="1"/>
  <c r="X325" i="63"/>
  <c r="V325" i="63"/>
  <c r="Y325" i="63" s="1"/>
  <c r="X324" i="63"/>
  <c r="V324" i="63"/>
  <c r="Y324" i="63" s="1"/>
  <c r="X323" i="63"/>
  <c r="V323" i="63"/>
  <c r="Y323" i="63" s="1"/>
  <c r="X322" i="63"/>
  <c r="V322" i="63"/>
  <c r="Y322" i="63" s="1"/>
  <c r="X321" i="63"/>
  <c r="V321" i="63"/>
  <c r="Y321" i="63" s="1"/>
  <c r="X320" i="63"/>
  <c r="V320" i="63"/>
  <c r="Y320" i="63" s="1"/>
  <c r="X319" i="63"/>
  <c r="V319" i="63"/>
  <c r="X318" i="63"/>
  <c r="V318" i="63"/>
  <c r="Y318" i="63" s="1"/>
  <c r="X317" i="63"/>
  <c r="V317" i="63"/>
  <c r="Y317" i="63" s="1"/>
  <c r="X316" i="63"/>
  <c r="V316" i="63"/>
  <c r="Y316" i="63" s="1"/>
  <c r="X315" i="63"/>
  <c r="V315" i="63"/>
  <c r="Y315" i="63" s="1"/>
  <c r="X314" i="63"/>
  <c r="V314" i="63"/>
  <c r="Y314" i="63" s="1"/>
  <c r="X313" i="63"/>
  <c r="V313" i="63"/>
  <c r="X312" i="63"/>
  <c r="V312" i="63"/>
  <c r="X311" i="63"/>
  <c r="V311" i="63"/>
  <c r="Y311" i="63" s="1"/>
  <c r="X310" i="63"/>
  <c r="V310" i="63"/>
  <c r="Y310" i="63" s="1"/>
  <c r="Z286" i="63"/>
  <c r="W286" i="63"/>
  <c r="Z285" i="63"/>
  <c r="W285" i="63"/>
  <c r="Z284" i="63"/>
  <c r="W284" i="63"/>
  <c r="Z283" i="63"/>
  <c r="W283" i="63"/>
  <c r="X278" i="63"/>
  <c r="X279" i="63" s="1"/>
  <c r="AA286" i="63" s="1"/>
  <c r="W278" i="63"/>
  <c r="V278" i="63"/>
  <c r="U278" i="63"/>
  <c r="X277" i="63"/>
  <c r="W277" i="63"/>
  <c r="V277" i="63"/>
  <c r="U277" i="63"/>
  <c r="Y350" i="63" l="1"/>
  <c r="U279" i="63"/>
  <c r="AA283" i="63" s="1"/>
  <c r="Y334" i="63"/>
  <c r="Y341" i="63"/>
  <c r="W279" i="63"/>
  <c r="AA285" i="63" s="1"/>
  <c r="Y357" i="63"/>
  <c r="V279" i="63"/>
  <c r="AA284" i="63" s="1"/>
  <c r="AC284" i="63" s="1"/>
  <c r="AF284" i="63" s="1"/>
  <c r="Y313" i="63"/>
  <c r="Y327" i="63"/>
  <c r="AC285" i="63"/>
  <c r="AF285" i="63" s="1"/>
  <c r="Y333" i="63"/>
  <c r="AC283" i="63"/>
  <c r="AF283" i="63" s="1"/>
  <c r="Y355" i="63"/>
  <c r="Y312" i="63"/>
  <c r="Y319" i="63"/>
  <c r="Y339" i="63"/>
  <c r="Y346" i="63"/>
  <c r="AB286" i="63"/>
  <c r="AE286" i="63" s="1"/>
  <c r="AC286" i="63"/>
  <c r="AF286" i="63" s="1"/>
  <c r="AB285" i="63"/>
  <c r="AE285" i="63" s="1"/>
  <c r="AB283" i="63"/>
  <c r="AE283" i="63" s="1"/>
  <c r="AB284" i="63" l="1"/>
  <c r="AE284" i="63" s="1"/>
  <c r="T85" i="62"/>
  <c r="S85" i="62"/>
  <c r="V85" i="62" s="1"/>
  <c r="R85" i="62"/>
  <c r="U85" i="62" s="1"/>
  <c r="Q85" i="62"/>
  <c r="P85" i="62"/>
  <c r="O85" i="62"/>
  <c r="N85" i="62"/>
  <c r="S84" i="62"/>
  <c r="R84" i="62"/>
  <c r="Q84" i="62"/>
  <c r="P84" i="62"/>
  <c r="V84" i="62" s="1"/>
  <c r="O84" i="62"/>
  <c r="U84" i="62" s="1"/>
  <c r="N84" i="62"/>
  <c r="T84" i="62" s="1"/>
  <c r="V83" i="62"/>
  <c r="S83" i="62"/>
  <c r="R83" i="62"/>
  <c r="Q83" i="62"/>
  <c r="P83" i="62"/>
  <c r="O83" i="62"/>
  <c r="U83" i="62" s="1"/>
  <c r="N83" i="62"/>
  <c r="T83" i="62" s="1"/>
  <c r="S82" i="62"/>
  <c r="V82" i="62" s="1"/>
  <c r="R82" i="62"/>
  <c r="U82" i="62" s="1"/>
  <c r="Q82" i="62"/>
  <c r="T82" i="62" s="1"/>
  <c r="P82" i="62"/>
  <c r="O82" i="62"/>
  <c r="N82" i="62"/>
  <c r="S81" i="62"/>
  <c r="S86" i="62" s="1"/>
  <c r="R81" i="62"/>
  <c r="R86" i="62" s="1"/>
  <c r="Q81" i="62"/>
  <c r="Q86" i="62" s="1"/>
  <c r="P81" i="62"/>
  <c r="V81" i="62" s="1"/>
  <c r="O81" i="62"/>
  <c r="U81" i="62" s="1"/>
  <c r="N81" i="62"/>
  <c r="T81" i="62" s="1"/>
  <c r="S80" i="62"/>
  <c r="R80" i="62"/>
  <c r="Q80" i="62"/>
  <c r="P80" i="62"/>
  <c r="O80" i="62"/>
  <c r="N80" i="62"/>
  <c r="V79" i="62"/>
  <c r="U79" i="62"/>
  <c r="S79" i="62"/>
  <c r="R79" i="62"/>
  <c r="Q79" i="62"/>
  <c r="P79" i="62"/>
  <c r="O79" i="62"/>
  <c r="N79" i="62"/>
  <c r="S73" i="62"/>
  <c r="R73" i="62"/>
  <c r="U73" i="62" s="1"/>
  <c r="Q73" i="62"/>
  <c r="T73" i="62" s="1"/>
  <c r="P73" i="62"/>
  <c r="V73" i="62" s="1"/>
  <c r="O73" i="62"/>
  <c r="N73" i="62"/>
  <c r="S72" i="62"/>
  <c r="R72" i="62"/>
  <c r="Q72" i="62"/>
  <c r="P72" i="62"/>
  <c r="V72" i="62" s="1"/>
  <c r="O72" i="62"/>
  <c r="U72" i="62" s="1"/>
  <c r="N72" i="62"/>
  <c r="T72" i="62" s="1"/>
  <c r="V71" i="62"/>
  <c r="U71" i="62"/>
  <c r="T71" i="62"/>
  <c r="S71" i="62"/>
  <c r="R71" i="62"/>
  <c r="Q71" i="62"/>
  <c r="P71" i="62"/>
  <c r="O71" i="62"/>
  <c r="N71" i="62"/>
  <c r="S70" i="62"/>
  <c r="R70" i="62"/>
  <c r="Q70" i="62"/>
  <c r="T70" i="62" s="1"/>
  <c r="P70" i="62"/>
  <c r="V70" i="62" s="1"/>
  <c r="O70" i="62"/>
  <c r="U70" i="62" s="1"/>
  <c r="N70" i="62"/>
  <c r="S69" i="62"/>
  <c r="S74" i="62" s="1"/>
  <c r="R69" i="62"/>
  <c r="R74" i="62" s="1"/>
  <c r="Q69" i="62"/>
  <c r="Q74" i="62" s="1"/>
  <c r="P69" i="62"/>
  <c r="V69" i="62" s="1"/>
  <c r="O69" i="62"/>
  <c r="U69" i="62" s="1"/>
  <c r="U74" i="62" s="1"/>
  <c r="N69" i="62"/>
  <c r="T69" i="62" s="1"/>
  <c r="S68" i="62"/>
  <c r="R68" i="62"/>
  <c r="Q68" i="62"/>
  <c r="V67" i="62"/>
  <c r="U67" i="62"/>
  <c r="S67" i="62"/>
  <c r="R67" i="62"/>
  <c r="Q67" i="62"/>
  <c r="N47" i="62"/>
  <c r="P47" i="62" s="1"/>
  <c r="N46" i="62"/>
  <c r="P46" i="62" s="1"/>
  <c r="N45" i="62"/>
  <c r="P45" i="62" s="1"/>
  <c r="N38" i="62"/>
  <c r="N37" i="62"/>
  <c r="N33" i="62"/>
  <c r="N39" i="62" s="1"/>
  <c r="N32" i="62"/>
  <c r="N31" i="62"/>
  <c r="T86" i="62" l="1"/>
  <c r="T74" i="62"/>
  <c r="U86" i="62"/>
  <c r="V86" i="62"/>
  <c r="V74" i="62"/>
  <c r="N86" i="62"/>
  <c r="O86" i="62"/>
  <c r="N74" i="62"/>
  <c r="P86" i="62"/>
  <c r="O74" i="62"/>
  <c r="P74" i="62"/>
  <c r="Q62" i="61"/>
  <c r="Q61" i="61"/>
  <c r="P59" i="61"/>
  <c r="O59" i="61"/>
  <c r="N59" i="61"/>
  <c r="P47" i="61"/>
  <c r="Q47" i="61" s="1"/>
  <c r="O47" i="61"/>
  <c r="N47" i="61"/>
  <c r="O39" i="61"/>
  <c r="N40" i="61" s="1"/>
  <c r="Q26" i="61"/>
  <c r="P27" i="61" s="1"/>
  <c r="P50" i="61" s="1"/>
  <c r="N14" i="61"/>
  <c r="N15" i="61" s="1"/>
  <c r="O48" i="61" l="1"/>
  <c r="O49" i="61" s="1"/>
  <c r="P48" i="61"/>
  <c r="P49" i="61" s="1"/>
  <c r="N48" i="61"/>
  <c r="N49" i="61" s="1"/>
  <c r="P51" i="61"/>
  <c r="N51" i="61"/>
  <c r="O51" i="61"/>
  <c r="N27" i="61"/>
  <c r="N50" i="61" s="1"/>
  <c r="O27" i="61"/>
  <c r="O50" i="61" s="1"/>
  <c r="Q49" i="61" l="1"/>
  <c r="N52" i="61"/>
  <c r="P52" i="61"/>
  <c r="P60" i="61" s="1"/>
  <c r="O52" i="61"/>
  <c r="O60" i="61" s="1"/>
  <c r="Q52" i="61" l="1"/>
  <c r="N60" i="61"/>
  <c r="Q60" i="61" s="1"/>
  <c r="Q63" i="61" s="1"/>
  <c r="Y60" i="60" l="1"/>
  <c r="N60" i="60"/>
  <c r="Z53" i="60"/>
  <c r="O53" i="60"/>
  <c r="Z52" i="60"/>
  <c r="O52" i="60"/>
  <c r="AB46" i="60"/>
  <c r="AA46" i="60"/>
  <c r="AC46" i="60" s="1"/>
  <c r="Z46" i="60"/>
  <c r="AD46" i="60" s="1"/>
  <c r="R46" i="60"/>
  <c r="Q46" i="60"/>
  <c r="S46" i="60" s="1"/>
  <c r="T46" i="60" s="1"/>
  <c r="P46" i="60"/>
  <c r="AB45" i="60"/>
  <c r="AA45" i="60"/>
  <c r="AC45" i="60" s="1"/>
  <c r="Z45" i="60"/>
  <c r="R45" i="60"/>
  <c r="Q45" i="60"/>
  <c r="S45" i="60" s="1"/>
  <c r="P45" i="60"/>
  <c r="T45" i="60" s="1"/>
  <c r="AB44" i="60"/>
  <c r="AC44" i="60" s="1"/>
  <c r="AD44" i="60" s="1"/>
  <c r="AA44" i="60"/>
  <c r="Z44" i="60"/>
  <c r="R44" i="60"/>
  <c r="Q44" i="60"/>
  <c r="S44" i="60" s="1"/>
  <c r="P44" i="60"/>
  <c r="T44" i="60" s="1"/>
  <c r="AB43" i="60"/>
  <c r="AA43" i="60"/>
  <c r="AC43" i="60" s="1"/>
  <c r="Z43" i="60"/>
  <c r="AD43" i="60" s="1"/>
  <c r="S43" i="60"/>
  <c r="T43" i="60" s="1"/>
  <c r="R43" i="60"/>
  <c r="Q43" i="60"/>
  <c r="P43" i="60"/>
  <c r="AB42" i="60"/>
  <c r="AA42" i="60"/>
  <c r="AC42" i="60" s="1"/>
  <c r="Z42" i="60"/>
  <c r="AD42" i="60" s="1"/>
  <c r="R42" i="60"/>
  <c r="Q42" i="60"/>
  <c r="S42" i="60" s="1"/>
  <c r="P42" i="60"/>
  <c r="T42" i="60" s="1"/>
  <c r="AB41" i="60"/>
  <c r="AA41" i="60"/>
  <c r="AC41" i="60" s="1"/>
  <c r="AD41" i="60" s="1"/>
  <c r="Z41" i="60"/>
  <c r="R41" i="60"/>
  <c r="Q41" i="60"/>
  <c r="S41" i="60" s="1"/>
  <c r="P41" i="60"/>
  <c r="AA40" i="60"/>
  <c r="Z40" i="60"/>
  <c r="Q40" i="60"/>
  <c r="P40" i="60"/>
  <c r="AA39" i="60"/>
  <c r="Z39" i="60"/>
  <c r="AB39" i="60" s="1"/>
  <c r="Q39" i="60"/>
  <c r="R39" i="60" s="1"/>
  <c r="P39" i="60"/>
  <c r="AA38" i="60"/>
  <c r="Z38" i="60"/>
  <c r="Q38" i="60"/>
  <c r="P38" i="60"/>
  <c r="AA37" i="60"/>
  <c r="AC37" i="60" s="1"/>
  <c r="AD37" i="60" s="1"/>
  <c r="Z37" i="60"/>
  <c r="P37" i="60"/>
  <c r="Z36" i="60"/>
  <c r="P36" i="60"/>
  <c r="Z35" i="60"/>
  <c r="AA35" i="60" s="1"/>
  <c r="AC35" i="60" s="1"/>
  <c r="AD35" i="60" s="1"/>
  <c r="P35" i="60"/>
  <c r="Z34" i="60"/>
  <c r="AA34" i="60" s="1"/>
  <c r="AC34" i="60" s="1"/>
  <c r="Q34" i="60"/>
  <c r="S34" i="60" s="1"/>
  <c r="T34" i="60" s="1"/>
  <c r="P34" i="60"/>
  <c r="Z33" i="60"/>
  <c r="P33" i="60"/>
  <c r="Z32" i="60"/>
  <c r="P32" i="60"/>
  <c r="Q32" i="60" s="1"/>
  <c r="S32" i="60" s="1"/>
  <c r="T32" i="60" s="1"/>
  <c r="Z31" i="60"/>
  <c r="P31" i="60"/>
  <c r="Q31" i="60" s="1"/>
  <c r="S31" i="60" s="1"/>
  <c r="AA30" i="60"/>
  <c r="AC30" i="60" s="1"/>
  <c r="AD30" i="60" s="1"/>
  <c r="Z30" i="60"/>
  <c r="P30" i="60"/>
  <c r="R22" i="60"/>
  <c r="Q22" i="60"/>
  <c r="R21" i="60"/>
  <c r="Q21" i="60"/>
  <c r="R19" i="60"/>
  <c r="Q19" i="60"/>
  <c r="R18" i="60"/>
  <c r="Q18" i="60"/>
  <c r="R17" i="60"/>
  <c r="Q17" i="60"/>
  <c r="R15" i="60"/>
  <c r="Q15" i="60"/>
  <c r="R14" i="60"/>
  <c r="Q14" i="60"/>
  <c r="R13" i="60"/>
  <c r="Q13" i="60"/>
  <c r="R12" i="60"/>
  <c r="Q12" i="60"/>
  <c r="R10" i="60"/>
  <c r="Q10" i="60"/>
  <c r="Q23" i="60" s="1"/>
  <c r="R9" i="60"/>
  <c r="R23" i="60" s="1"/>
  <c r="Q9" i="60"/>
  <c r="R8" i="60"/>
  <c r="Q8" i="60"/>
  <c r="N52" i="60" l="1"/>
  <c r="Y52" i="60"/>
  <c r="AD36" i="60"/>
  <c r="AD31" i="60"/>
  <c r="AC38" i="60"/>
  <c r="AD38" i="60" s="1"/>
  <c r="T35" i="60"/>
  <c r="AC39" i="60"/>
  <c r="AD39" i="60" s="1"/>
  <c r="T41" i="60"/>
  <c r="AD45" i="60"/>
  <c r="Q36" i="60"/>
  <c r="S36" i="60" s="1"/>
  <c r="T36" i="60" s="1"/>
  <c r="AB40" i="60"/>
  <c r="AC40" i="60" s="1"/>
  <c r="AD40" i="60" s="1"/>
  <c r="T31" i="60"/>
  <c r="S39" i="60"/>
  <c r="T39" i="60" s="1"/>
  <c r="R38" i="60"/>
  <c r="S38" i="60" s="1"/>
  <c r="T38" i="60" s="1"/>
  <c r="AD34" i="60"/>
  <c r="AA36" i="60"/>
  <c r="AC36" i="60" s="1"/>
  <c r="AA31" i="60"/>
  <c r="AC31" i="60" s="1"/>
  <c r="Q35" i="60"/>
  <c r="S35" i="60" s="1"/>
  <c r="AA32" i="60"/>
  <c r="AC32" i="60" s="1"/>
  <c r="AD32" i="60" s="1"/>
  <c r="Q33" i="60"/>
  <c r="S33" i="60" s="1"/>
  <c r="T33" i="60" s="1"/>
  <c r="Q30" i="60"/>
  <c r="S30" i="60" s="1"/>
  <c r="T30" i="60" s="1"/>
  <c r="AA33" i="60"/>
  <c r="AC33" i="60" s="1"/>
  <c r="AD33" i="60" s="1"/>
  <c r="Q37" i="60"/>
  <c r="S37" i="60" s="1"/>
  <c r="T37" i="60" s="1"/>
  <c r="AB38" i="60"/>
  <c r="R40" i="60"/>
  <c r="S40" i="60" s="1"/>
  <c r="T40" i="60" s="1"/>
  <c r="T47" i="60" l="1"/>
  <c r="AD47" i="60"/>
  <c r="Y53" i="60" s="1"/>
  <c r="Y54" i="60" s="1"/>
  <c r="Y59" i="60" s="1"/>
  <c r="Y62" i="60" s="1"/>
  <c r="U47" i="60" l="1"/>
  <c r="N53" i="60"/>
  <c r="N54" i="60" s="1"/>
  <c r="N59" i="60" s="1"/>
  <c r="N62" i="60" s="1"/>
  <c r="P20" i="59" l="1"/>
  <c r="P23" i="59" s="1"/>
  <c r="P24" i="59" s="1"/>
  <c r="P25" i="59" s="1"/>
  <c r="Q19" i="59"/>
  <c r="P19" i="59"/>
  <c r="O19" i="59"/>
  <c r="Q18" i="59"/>
  <c r="P18" i="59"/>
  <c r="O18" i="59"/>
  <c r="Q17" i="59"/>
  <c r="P17" i="59"/>
  <c r="O17" i="59"/>
  <c r="Q16" i="59"/>
  <c r="P16" i="59"/>
  <c r="O16" i="59"/>
  <c r="Q15" i="59"/>
  <c r="P15" i="59"/>
  <c r="O15" i="59"/>
  <c r="O20" i="59" s="1"/>
  <c r="P11" i="59"/>
  <c r="O11" i="59"/>
  <c r="P10" i="59"/>
  <c r="O10" i="59"/>
  <c r="P9" i="59"/>
  <c r="O9" i="59"/>
  <c r="P8" i="59"/>
  <c r="O8" i="59"/>
  <c r="P7" i="59"/>
  <c r="P47" i="59" s="1"/>
  <c r="O7" i="59"/>
  <c r="O23" i="59" l="1"/>
  <c r="O24" i="59" s="1"/>
  <c r="P48" i="59"/>
  <c r="P49" i="59" s="1"/>
  <c r="O25" i="59" l="1"/>
  <c r="Q25" i="59" s="1"/>
  <c r="P46" i="59" s="1"/>
  <c r="P50" i="59" s="1"/>
  <c r="Q24" i="59"/>
  <c r="O22" i="58"/>
  <c r="O26" i="58" s="1"/>
  <c r="O21" i="58"/>
  <c r="O25" i="58" s="1"/>
  <c r="O27" i="58" s="1"/>
  <c r="O9" i="58"/>
  <c r="O13" i="58" s="1"/>
  <c r="P13" i="58" s="1"/>
  <c r="P17" i="58" s="1"/>
  <c r="O8" i="58"/>
  <c r="C46" i="58" s="1"/>
  <c r="C51" i="58" l="1"/>
  <c r="P21" i="58"/>
  <c r="P22" i="58"/>
  <c r="P26" i="58" s="1"/>
  <c r="O12" i="58"/>
  <c r="P12" i="58" s="1"/>
  <c r="P16" i="58" s="1"/>
  <c r="C50" i="58"/>
  <c r="C47" i="58" l="1"/>
  <c r="P25" i="58"/>
  <c r="P27" i="58" s="1"/>
  <c r="B54" i="58" s="1"/>
</calcChain>
</file>

<file path=xl/sharedStrings.xml><?xml version="1.0" encoding="utf-8"?>
<sst xmlns="http://schemas.openxmlformats.org/spreadsheetml/2006/main" count="954" uniqueCount="479">
  <si>
    <t>ANSWER:</t>
  </si>
  <si>
    <t>Question 1</t>
  </si>
  <si>
    <t>END OF QUESTION</t>
  </si>
  <si>
    <t>Guidance to GH FSA Exam candidates regarding usage of Excel:</t>
  </si>
  <si>
    <t>You may resize rows and/or columns.</t>
  </si>
  <si>
    <t>You may insert rows and/or columns on the pre-populated tabs.</t>
  </si>
  <si>
    <t>You may revise formatting and link to values on the same or differrent tabs in the workbook.</t>
  </si>
  <si>
    <t>Credit is neither given nor lost based on formatting decisions.</t>
  </si>
  <si>
    <t>However, graders need to be able to evaluate your logic, reasoning, and work.</t>
  </si>
  <si>
    <t>When in doubt, please err towards using more intermediate steps/cells.</t>
  </si>
  <si>
    <t>In the event you have a problem fully responding where indicated, please include a note/cross-reference on where graders may find your work/response.</t>
  </si>
  <si>
    <t>If you would prefer to respond in a text box (instead of directly in Excel cells), you can copy/paste the following text box:</t>
  </si>
  <si>
    <t>Question 2</t>
  </si>
  <si>
    <t>Question 3</t>
  </si>
  <si>
    <t>(7 points)</t>
  </si>
  <si>
    <t>Question 4</t>
  </si>
  <si>
    <t>Question 5</t>
  </si>
  <si>
    <t>Question 6</t>
  </si>
  <si>
    <t>Question 7</t>
  </si>
  <si>
    <t>Question 8</t>
  </si>
  <si>
    <t>(9 points)</t>
  </si>
  <si>
    <t>Question 9</t>
  </si>
  <si>
    <t>The response for part (a) is to be provided in the Word document.</t>
  </si>
  <si>
    <t>Show your work.</t>
  </si>
  <si>
    <t>(6 points)</t>
  </si>
  <si>
    <t>The response for part (e) is to be provided in the Word document.</t>
  </si>
  <si>
    <t>Factor</t>
  </si>
  <si>
    <t>Deductible</t>
  </si>
  <si>
    <t>Brand</t>
  </si>
  <si>
    <t>Generic</t>
  </si>
  <si>
    <t>Total</t>
  </si>
  <si>
    <t>Commissions</t>
  </si>
  <si>
    <t>Premium Taxes</t>
  </si>
  <si>
    <t>Number of Employees</t>
  </si>
  <si>
    <t>5-9</t>
  </si>
  <si>
    <t>10-19</t>
  </si>
  <si>
    <t>20-49</t>
  </si>
  <si>
    <t>50-74</t>
  </si>
  <si>
    <t>75-100</t>
  </si>
  <si>
    <t>Employer Subsidy</t>
  </si>
  <si>
    <t>Employee Participation</t>
  </si>
  <si>
    <t>0-49.9%</t>
  </si>
  <si>
    <t>50-100%</t>
  </si>
  <si>
    <t>Premiums</t>
  </si>
  <si>
    <t>Incurred Claims</t>
  </si>
  <si>
    <t>Premiums and Claims by Group Size</t>
  </si>
  <si>
    <t>Employees</t>
  </si>
  <si>
    <t>Age/Gender</t>
  </si>
  <si>
    <t>(c)</t>
  </si>
  <si>
    <t>(c)       (3 points)</t>
  </si>
  <si>
    <t>Child</t>
  </si>
  <si>
    <t>Annual Trend</t>
  </si>
  <si>
    <t>The response for parts (a) and (b) is to be provided in the Word document.</t>
  </si>
  <si>
    <t>You are a pharmacy pricing actuary for XYZ carrier that uses a PBM.</t>
  </si>
  <si>
    <t>Tier</t>
  </si>
  <si>
    <t>Member Copay</t>
  </si>
  <si>
    <t>Component</t>
  </si>
  <si>
    <t>Utilization</t>
  </si>
  <si>
    <t>AWP Unit Cost</t>
  </si>
  <si>
    <t>Scripts</t>
  </si>
  <si>
    <t>XYZ Paid Claims</t>
  </si>
  <si>
    <t>PBM Contract Terms</t>
  </si>
  <si>
    <t>Discounts (% off AWP)</t>
  </si>
  <si>
    <t>Dispensing Fees (per script)</t>
  </si>
  <si>
    <t>Calculate:</t>
  </si>
  <si>
    <t>The response for part (d) is to be provided in the Word document.</t>
  </si>
  <si>
    <t>(10 points)</t>
  </si>
  <si>
    <t>Experience Period Claims Cost PEPY</t>
  </si>
  <si>
    <t>Relative Benefit Value</t>
  </si>
  <si>
    <t>Provider Discount Savings</t>
  </si>
  <si>
    <t>Utilization Savings</t>
  </si>
  <si>
    <t>Trend</t>
  </si>
  <si>
    <t>Risk Category</t>
  </si>
  <si>
    <t>Relative Health Status (Morbidity)</t>
  </si>
  <si>
    <t>Composite</t>
  </si>
  <si>
    <t>After reviewing the analysis, the CFO of Company ABC makes the following statement: The new plan with the narrow network is so much cheaper per person than our existing plan.</t>
  </si>
  <si>
    <t xml:space="preserve"> Let's eliminate the existing plan. We'll save millions!"</t>
  </si>
  <si>
    <t>The responses for parts (d) and (e) is to be provided in the Word document.</t>
  </si>
  <si>
    <t>You are pricing a Preferred Provider Organization (PPO) product.  You are given:</t>
  </si>
  <si>
    <t>In Network Projected Claims Experience</t>
  </si>
  <si>
    <t>Annual Utilization per 1,000</t>
  </si>
  <si>
    <t>Average Charges</t>
  </si>
  <si>
    <t>Copay</t>
  </si>
  <si>
    <t>Hospital Inpatient</t>
  </si>
  <si>
    <t>Medical</t>
  </si>
  <si>
    <t>Surgical</t>
  </si>
  <si>
    <t>Behavioral</t>
  </si>
  <si>
    <t>Hospital Outpatient</t>
  </si>
  <si>
    <t>Emergency Room</t>
  </si>
  <si>
    <t>Surgery</t>
  </si>
  <si>
    <t>Lab</t>
  </si>
  <si>
    <t>Radiology</t>
  </si>
  <si>
    <t>Physician</t>
  </si>
  <si>
    <t>Primary Care</t>
  </si>
  <si>
    <t>Specialist</t>
  </si>
  <si>
    <t>Professional Services</t>
  </si>
  <si>
    <t>Pharmacy</t>
  </si>
  <si>
    <t>Generics</t>
  </si>
  <si>
    <t>Out of Network Plan Design</t>
  </si>
  <si>
    <t>Member Coinsurance</t>
  </si>
  <si>
    <t>Out of Pocket Max</t>
  </si>
  <si>
    <t>Projected Claim Distribution</t>
  </si>
  <si>
    <t>In Network</t>
  </si>
  <si>
    <t>Out of Network</t>
  </si>
  <si>
    <t>Non Benefit Components</t>
  </si>
  <si>
    <t>Taxes and Fees</t>
  </si>
  <si>
    <t>Administrative Costs</t>
  </si>
  <si>
    <t>Profit</t>
  </si>
  <si>
    <t>Out of Network Projected Claim Experience</t>
  </si>
  <si>
    <t>Range of Claims</t>
  </si>
  <si>
    <t>Annual Frequency</t>
  </si>
  <si>
    <t>Average Annual Cost</t>
  </si>
  <si>
    <t>$0 - $100</t>
  </si>
  <si>
    <t>$100 - $200</t>
  </si>
  <si>
    <t>$200 - $300</t>
  </si>
  <si>
    <t>$300 - $400</t>
  </si>
  <si>
    <t>$400 - $600</t>
  </si>
  <si>
    <t>$600 - $800</t>
  </si>
  <si>
    <t>$800 - $1,000</t>
  </si>
  <si>
    <t>$1,000 - $3,000</t>
  </si>
  <si>
    <t>$3,000 - $5,000</t>
  </si>
  <si>
    <t>$5,000 - $8,000</t>
  </si>
  <si>
    <t>$8,000 - $11,000</t>
  </si>
  <si>
    <t>$11,000 - $20,000</t>
  </si>
  <si>
    <t>$20,000 - $50,000</t>
  </si>
  <si>
    <t>$50,000 - $100,000</t>
  </si>
  <si>
    <t>$100,000 - $500,000</t>
  </si>
  <si>
    <t>$500,000+</t>
  </si>
  <si>
    <t>(d)</t>
  </si>
  <si>
    <t>·       In network coverage is copay only</t>
  </si>
  <si>
    <t>·       Out of network coverage is deductible and coinsurance.</t>
  </si>
  <si>
    <t>·       Experience has been trended to the pricing year</t>
  </si>
  <si>
    <r>
      <t xml:space="preserve">(i)             </t>
    </r>
    <r>
      <rPr>
        <sz val="12"/>
        <color rgb="FF000000"/>
        <rFont val="Times New Roman"/>
        <family val="1"/>
      </rPr>
      <t xml:space="preserve">The expected PEPY cost for each benefit plan option. </t>
    </r>
  </si>
  <si>
    <r>
      <t xml:space="preserve">(ii)            </t>
    </r>
    <r>
      <rPr>
        <sz val="12"/>
        <color rgb="FF000000"/>
        <rFont val="Times New Roman"/>
        <family val="1"/>
      </rPr>
      <t xml:space="preserve">The total expected claims cost for Company ABC. </t>
    </r>
  </si>
  <si>
    <t xml:space="preserve">You are an actuary for an insurer that offers group dental plans.  Company ABC currently does not offer dental coverage and wants to implement a dental plan for 20X5.  </t>
  </si>
  <si>
    <t>Company Experience Period:</t>
  </si>
  <si>
    <t>Annual Trend Rate:</t>
  </si>
  <si>
    <t>Average Annual Allowed Claims</t>
  </si>
  <si>
    <t>Class</t>
  </si>
  <si>
    <t>I. Diagnostic/ Preventive</t>
  </si>
  <si>
    <t>II. Basic</t>
  </si>
  <si>
    <t>III. Major</t>
  </si>
  <si>
    <t>Regional Adjustment Factors</t>
  </si>
  <si>
    <t>Region</t>
  </si>
  <si>
    <t>Region A</t>
  </si>
  <si>
    <t>Region B</t>
  </si>
  <si>
    <t>Region C</t>
  </si>
  <si>
    <t>Region D</t>
  </si>
  <si>
    <t>Region E</t>
  </si>
  <si>
    <t>Region F</t>
  </si>
  <si>
    <t>Age/Gender Adjustment Factors by Class</t>
  </si>
  <si>
    <t>Male &lt;40</t>
  </si>
  <si>
    <t>Male 40+</t>
  </si>
  <si>
    <t>Female &lt;40</t>
  </si>
  <si>
    <t>Female 40+</t>
  </si>
  <si>
    <t>Annual Claim Cost Reduction of Class II and Class III Deductible</t>
  </si>
  <si>
    <t>Annual Claim Cost Reduction of Annual Maximum Limit</t>
  </si>
  <si>
    <t>Annual Maximum Limit</t>
  </si>
  <si>
    <t>&gt;$4,000</t>
  </si>
  <si>
    <t>Company ABC Age/Gender</t>
  </si>
  <si>
    <t># of members</t>
  </si>
  <si>
    <t>Femail 40+</t>
  </si>
  <si>
    <t>Company ABC Regional Distribution</t>
  </si>
  <si>
    <t>Proposed Company ABC Voluntary Plan Design</t>
  </si>
  <si>
    <t>Member annual deductible</t>
  </si>
  <si>
    <t>Payer Coinsurance</t>
  </si>
  <si>
    <t>Payer Annual Maximum</t>
  </si>
  <si>
    <t xml:space="preserve">(i)              The brand ingredient cost per script for 20X1 and 20X2. </t>
  </si>
  <si>
    <t>(ii)              The generic ingredient cost per script for 20X1 and 20X2.</t>
  </si>
  <si>
    <t xml:space="preserve">(iii)            XYZ’s expected paid claims for 20X2. </t>
  </si>
  <si>
    <t>Premium and Expenses (000s)</t>
  </si>
  <si>
    <t>Admin Costs</t>
  </si>
  <si>
    <t>Adjudication Costs</t>
  </si>
  <si>
    <t>Current Rating Factors</t>
  </si>
  <si>
    <t>Premium (000s)</t>
  </si>
  <si>
    <t>Claims (000s)</t>
  </si>
  <si>
    <t>Premiums and Claims by Employee Participation</t>
  </si>
  <si>
    <t>(c)       (3 points)  Calculate revised group size and employee participation factors for 20X3.  Show your work.</t>
  </si>
  <si>
    <t>The responses for this question are to be provided in the Word document.</t>
  </si>
  <si>
    <t>(4 points)</t>
  </si>
  <si>
    <t xml:space="preserve">XYZ’s existing block of LTC policies uses an expense reimbursement benefit design. </t>
  </si>
  <si>
    <t>Maximum Days Available</t>
  </si>
  <si>
    <t>Actual Days Utilized</t>
  </si>
  <si>
    <t>Calendar Year</t>
  </si>
  <si>
    <t>Open Claims</t>
  </si>
  <si>
    <t>Assisted Living</t>
  </si>
  <si>
    <t>Home Health</t>
  </si>
  <si>
    <t>Skilled Nursing</t>
  </si>
  <si>
    <t>Maximum Total Dollars Available</t>
  </si>
  <si>
    <t>Actual Total Dollars Utilized</t>
  </si>
  <si>
    <r>
      <t>(i)</t>
    </r>
    <r>
      <rPr>
        <sz val="7"/>
        <color theme="1"/>
        <rFont val="Times New Roman"/>
        <family val="1"/>
      </rPr>
      <t xml:space="preserve">              </t>
    </r>
    <r>
      <rPr>
        <sz val="12"/>
        <color theme="1"/>
        <rFont val="Times New Roman"/>
        <family val="1"/>
      </rPr>
      <t>Calculate the experience-based aggregate days utilization and dollars utilization rates by site of care. Show your work.</t>
    </r>
  </si>
  <si>
    <r>
      <t>(ii)</t>
    </r>
    <r>
      <rPr>
        <sz val="7"/>
        <color theme="1"/>
        <rFont val="Times New Roman"/>
        <family val="1"/>
      </rPr>
      <t xml:space="preserve">            </t>
    </r>
    <r>
      <rPr>
        <sz val="12"/>
        <color theme="1"/>
        <rFont val="Times New Roman"/>
        <family val="1"/>
      </rPr>
      <t>Recommend days utilization and dollars utilization assumptions by site of care to be used for projecting XYZ’s existing LTC block. Justify your response.</t>
    </r>
  </si>
  <si>
    <t>XYZ is considering alternate benefit types as part of a new LTC product. You are given:</t>
  </si>
  <si>
    <r>
      <t>·</t>
    </r>
    <r>
      <rPr>
        <sz val="7"/>
        <color theme="1"/>
        <rFont val="Times New Roman"/>
        <family val="1"/>
      </rPr>
      <t xml:space="preserve">       </t>
    </r>
    <r>
      <rPr>
        <sz val="12"/>
        <color theme="1"/>
        <rFont val="Times New Roman"/>
        <family val="1"/>
      </rPr>
      <t>No change in policyholder behavior</t>
    </r>
  </si>
  <si>
    <r>
      <t>·</t>
    </r>
    <r>
      <rPr>
        <sz val="7"/>
        <color theme="1"/>
        <rFont val="Times New Roman"/>
        <family val="1"/>
      </rPr>
      <t xml:space="preserve">       </t>
    </r>
    <r>
      <rPr>
        <sz val="12"/>
        <color theme="1"/>
        <rFont val="Times New Roman"/>
        <family val="1"/>
      </rPr>
      <t>No exhaustion of benefits</t>
    </r>
  </si>
  <si>
    <r>
      <t>(i)</t>
    </r>
    <r>
      <rPr>
        <sz val="7"/>
        <color theme="1"/>
        <rFont val="Times New Roman"/>
        <family val="1"/>
      </rPr>
      <t xml:space="preserve">              </t>
    </r>
    <r>
      <rPr>
        <sz val="12"/>
        <color theme="1"/>
        <rFont val="Times New Roman"/>
        <family val="1"/>
      </rPr>
      <t>Indemnity benefit payment</t>
    </r>
  </si>
  <si>
    <r>
      <t>(ii)</t>
    </r>
    <r>
      <rPr>
        <sz val="7"/>
        <color theme="1"/>
        <rFont val="Times New Roman"/>
        <family val="1"/>
      </rPr>
      <t xml:space="preserve">            </t>
    </r>
    <r>
      <rPr>
        <sz val="12"/>
        <color theme="1"/>
        <rFont val="Times New Roman"/>
        <family val="1"/>
      </rPr>
      <t>Cash disability benefit payment</t>
    </r>
  </si>
  <si>
    <t xml:space="preserve">You are the retirement health benefit plan actuary for Company DEF. </t>
  </si>
  <si>
    <t>DEF is offering retiree health benefits based on the following strategic objectives:</t>
  </si>
  <si>
    <t xml:space="preserve">DEF's benefit manager provided the following information on the valuation date </t>
  </si>
  <si>
    <t>1/1/2024:</t>
  </si>
  <si>
    <t>The benefit manager is considering one of the two plans with the following employee contributions:</t>
  </si>
  <si>
    <t>Pre-65 Employees</t>
  </si>
  <si>
    <t>Post-65 Employees</t>
  </si>
  <si>
    <t>Plan1</t>
  </si>
  <si>
    <t>Plan2</t>
  </si>
  <si>
    <t>20% Medical Claims</t>
  </si>
  <si>
    <t>(b)</t>
  </si>
  <si>
    <t>(i)</t>
  </si>
  <si>
    <t>Show your work.  Justify your responses.</t>
  </si>
  <si>
    <t>Question 10</t>
  </si>
  <si>
    <t>Plan A</t>
  </si>
  <si>
    <t>Plan B</t>
  </si>
  <si>
    <t>Plan C</t>
  </si>
  <si>
    <t>Premium (PMPM)</t>
  </si>
  <si>
    <t>Healthy Member Count</t>
  </si>
  <si>
    <t>Unhealthy Member Count</t>
  </si>
  <si>
    <t>Healthy Member Loss Ratio</t>
  </si>
  <si>
    <t>Unhealthy Member Loss Ratio</t>
  </si>
  <si>
    <r>
      <t>(a) (</t>
    </r>
    <r>
      <rPr>
        <i/>
        <sz val="12"/>
        <color rgb="FF000000"/>
        <rFont val="Times New Roman"/>
        <family val="1"/>
      </rPr>
      <t>1 point</t>
    </r>
    <r>
      <rPr>
        <sz val="12"/>
        <color rgb="FF000000"/>
        <rFont val="Times New Roman"/>
        <family val="1"/>
      </rPr>
      <t>)  Calculate:</t>
    </r>
  </si>
  <si>
    <t>Healthy Member Transitions</t>
  </si>
  <si>
    <t>No unhealthy members transition.</t>
  </si>
  <si>
    <t>The responses for parts (a) and (b) are to be provided in the Word document.</t>
  </si>
  <si>
    <t>20X1</t>
  </si>
  <si>
    <t>20X2</t>
  </si>
  <si>
    <t>20X1 Claim Experience</t>
  </si>
  <si>
    <t>20X1 and 20X2 Copay</t>
  </si>
  <si>
    <t>(ii)</t>
  </si>
  <si>
    <t>(iii)</t>
  </si>
  <si>
    <t>There are no additional administrative fees or taxes.</t>
  </si>
  <si>
    <t>You are given the following information:</t>
  </si>
  <si>
    <r>
      <t>(c)</t>
    </r>
    <r>
      <rPr>
        <sz val="7"/>
        <color theme="1"/>
        <rFont val="Times New Roman"/>
        <family val="1"/>
      </rPr>
      <t xml:space="preserve">             </t>
    </r>
    <r>
      <rPr>
        <sz val="12"/>
        <color theme="1"/>
        <rFont val="Times New Roman"/>
        <family val="1"/>
      </rPr>
      <t>(2 points)  Calculate the savings from the CFO’s proposal. Show your work.</t>
    </r>
  </si>
  <si>
    <r>
      <t xml:space="preserve">(b)             </t>
    </r>
    <r>
      <rPr>
        <sz val="12"/>
        <color rgb="FF000000"/>
        <rFont val="Times New Roman"/>
        <family val="1"/>
      </rPr>
      <t>(1 point)</t>
    </r>
    <r>
      <rPr>
        <sz val="12"/>
        <color theme="1"/>
        <rFont val="Times New Roman"/>
        <family val="1"/>
      </rPr>
      <t xml:space="preserve">  Calculate the following using the information given:</t>
    </r>
  </si>
  <si>
    <t>Existing Plan (Broad Network)</t>
  </si>
  <si>
    <t>New Plan (Narrow Network)</t>
  </si>
  <si>
    <t>The responses for parts (a), (b) and (c) are to be provided in the Word document.</t>
  </si>
  <si>
    <t>·       Assume copays do not accumulate to the out of pocket max</t>
  </si>
  <si>
    <t>(4 points)  Calculate the gross premium PMPM. Show your work.</t>
  </si>
  <si>
    <t>You are given insurer experience and rating factors:</t>
  </si>
  <si>
    <t>January 20X0 - December 20X2, fully credible and complete</t>
  </si>
  <si>
    <t>Reduction</t>
  </si>
  <si>
    <t>PMPM</t>
  </si>
  <si>
    <t>You are given the following 20X1 experience to develop rating factors for 20X3 pricing.</t>
  </si>
  <si>
    <t>Credibility weight given to prior rating factors:</t>
  </si>
  <si>
    <r>
      <t>(b)</t>
    </r>
    <r>
      <rPr>
        <sz val="7"/>
        <color theme="1"/>
        <rFont val="Times New Roman"/>
        <family val="1"/>
      </rPr>
      <t xml:space="preserve">             </t>
    </r>
    <r>
      <rPr>
        <sz val="12"/>
        <color theme="1"/>
        <rFont val="Times New Roman"/>
        <family val="1"/>
      </rPr>
      <t>(3 points)</t>
    </r>
  </si>
  <si>
    <t>You are given utilization data for the existing block of policies:</t>
  </si>
  <si>
    <r>
      <t>(c)</t>
    </r>
    <r>
      <rPr>
        <sz val="7"/>
        <color theme="1"/>
        <rFont val="Times New Roman"/>
        <family val="1"/>
      </rPr>
      <t xml:space="preserve">             </t>
    </r>
    <r>
      <rPr>
        <sz val="12"/>
        <color theme="1"/>
        <rFont val="Times New Roman"/>
        <family val="1"/>
      </rPr>
      <t>(3 points)  Calculate the difference in aggregate historical paid claims for each site of care between the existing expense reimbursement benefit design and:</t>
    </r>
  </si>
  <si>
    <t>20X3</t>
  </si>
  <si>
    <t>20X4</t>
  </si>
  <si>
    <t>20X5</t>
  </si>
  <si>
    <t>An actuarial student provided you with the benefit tool based on two scenarios, Trend Scenario #1 and Trend Scenario #2, per each plan on the valuation date 1/1/2024.  Assume the following:</t>
  </si>
  <si>
    <t>(i)	      Recommend Plan 1 or Plan 2 based on DEF’s objectives under:</t>
  </si>
  <si>
    <t>(ii)     Evaluate the risk of using Trend Scenario #2.</t>
  </si>
  <si>
    <t>(5 points)</t>
  </si>
  <si>
    <t>ABC has offered the following major medical plans in 20X1 with splits of healthy and unhealthy members shown below:</t>
  </si>
  <si>
    <t xml:space="preserve">(i) 20X1 total premium PMPM </t>
  </si>
  <si>
    <t xml:space="preserve">(ii) 20X1 total claim cost PMPM </t>
  </si>
  <si>
    <t>20X1 to 20X2 Rate Increase</t>
  </si>
  <si>
    <t>In 20X2, Company ABC will be instituting the following rate increases by plan:</t>
  </si>
  <si>
    <t>(2 points)  Calculate the buydown effect on premium for 20X2 as a PMPM due to member transition.  Show your work.</t>
  </si>
  <si>
    <t>The claim costs for all members who transition plans follow the loss ratio of their new plan in 20X2.</t>
  </si>
  <si>
    <t>(2 points)  Calculate the buydown effect on claims for 20X2 as a PMPM due to member transition. Show your work.</t>
  </si>
  <si>
    <t>(1 point)  Explain the difference in the changes calculated in (b) and (c).</t>
  </si>
  <si>
    <t>Age</t>
  </si>
  <si>
    <t>Years of Service</t>
  </si>
  <si>
    <t>Eligible     (0=No, 1 = Yes)</t>
  </si>
  <si>
    <t>Retiree Decrements (Mid-Year)</t>
  </si>
  <si>
    <t>Discount Factor</t>
  </si>
  <si>
    <t>Aging Factor</t>
  </si>
  <si>
    <t>Trend Factor</t>
  </si>
  <si>
    <t>Claim cost before adjustment</t>
  </si>
  <si>
    <t>Claim cost after TREND and AGING</t>
  </si>
  <si>
    <t>Claim cost after Decrements/Participation</t>
  </si>
  <si>
    <t>Present Value Medical Claims</t>
  </si>
  <si>
    <t>Contribution before adjustments</t>
  </si>
  <si>
    <t>Contribution after TREND</t>
  </si>
  <si>
    <t>Contributions after Decrements/Participation</t>
  </si>
  <si>
    <t>Present Value Contributions</t>
  </si>
  <si>
    <r>
      <t>·</t>
    </r>
    <r>
      <rPr>
        <sz val="12"/>
        <color theme="1"/>
        <rFont val="Times New Roman"/>
        <family val="1"/>
      </rPr>
      <t>       Motivate the workforce by offering the richest retiree benefit that DEF can afford</t>
    </r>
  </si>
  <si>
    <r>
      <t>·</t>
    </r>
    <r>
      <rPr>
        <sz val="12"/>
        <color theme="1"/>
        <rFont val="Times New Roman"/>
        <family val="1"/>
      </rPr>
      <t>       DEF's annual budget for retiree benefit expenses is $3,000,000</t>
    </r>
  </si>
  <si>
    <r>
      <t>·</t>
    </r>
    <r>
      <rPr>
        <sz val="12"/>
        <color theme="1"/>
        <rFont val="Times New Roman"/>
        <family val="1"/>
      </rPr>
      <t>       DEF's debt covenant limits the liability to $150,000,000 and DEF wants to ensure that their APBO is within 10% of its maximum liability</t>
    </r>
  </si>
  <si>
    <r>
      <t>·</t>
    </r>
    <r>
      <rPr>
        <sz val="12"/>
        <color theme="1"/>
        <rFont val="Times New Roman"/>
        <family val="1"/>
      </rPr>
      <t>       DEF has 1,000 employees</t>
    </r>
  </si>
  <si>
    <r>
      <t>·</t>
    </r>
    <r>
      <rPr>
        <sz val="12"/>
        <color theme="1"/>
        <rFont val="Times New Roman"/>
        <family val="1"/>
      </rPr>
      <t>       All employees are age 40</t>
    </r>
  </si>
  <si>
    <r>
      <t>·</t>
    </r>
    <r>
      <rPr>
        <sz val="12"/>
        <color theme="1"/>
        <rFont val="Times New Roman"/>
        <family val="1"/>
      </rPr>
      <t>       All employees are hired on 12/31/2018</t>
    </r>
  </si>
  <si>
    <r>
      <t>·</t>
    </r>
    <r>
      <rPr>
        <sz val="12"/>
        <color theme="1"/>
        <rFont val="Times New Roman"/>
        <family val="1"/>
      </rPr>
      <t>       All employees start taking retiree health benefits as soon as they are eligible</t>
    </r>
  </si>
  <si>
    <r>
      <t>·</t>
    </r>
    <r>
      <rPr>
        <sz val="12"/>
        <color theme="1"/>
        <rFont val="Times New Roman"/>
        <family val="1"/>
      </rPr>
      <t>       Spouses are not eligible to receive the benefit</t>
    </r>
  </si>
  <si>
    <r>
      <t>·</t>
    </r>
    <r>
      <rPr>
        <sz val="12"/>
        <color theme="1"/>
        <rFont val="Times New Roman"/>
        <family val="1"/>
      </rPr>
      <t>       Claim cost above age 90 are ignored due to materiality</t>
    </r>
  </si>
  <si>
    <r>
      <t>·</t>
    </r>
    <r>
      <rPr>
        <sz val="12"/>
        <color theme="1"/>
        <rFont val="Times New Roman"/>
        <family val="1"/>
      </rPr>
      <t>       Mid-year retiree decrements appropriately account for retire, withdraw, and death rate</t>
    </r>
  </si>
  <si>
    <r>
      <t>·</t>
    </r>
    <r>
      <rPr>
        <sz val="12"/>
        <color theme="1"/>
        <rFont val="Times New Roman"/>
        <family val="1"/>
      </rPr>
      <t>       Discount factor is based on 5% discount rate</t>
    </r>
  </si>
  <si>
    <r>
      <t>·</t>
    </r>
    <r>
      <rPr>
        <sz val="12"/>
        <color theme="1"/>
        <rFont val="Times New Roman"/>
        <family val="1"/>
      </rPr>
      <t xml:space="preserve">       Claim costs are $15,000 before age 65 and $2,100 after age 65 </t>
    </r>
  </si>
  <si>
    <r>
      <t>·</t>
    </r>
    <r>
      <rPr>
        <sz val="12"/>
        <color theme="1"/>
        <rFont val="Times New Roman"/>
        <family val="1"/>
      </rPr>
      <t>       Employee participation is 100%</t>
    </r>
  </si>
  <si>
    <r>
      <t>·</t>
    </r>
    <r>
      <rPr>
        <sz val="12"/>
        <color rgb="FF000000"/>
        <rFont val="Times New Roman"/>
        <family val="1"/>
      </rPr>
      <t xml:space="preserve">       Trend Scenario #1 </t>
    </r>
  </si>
  <si>
    <r>
      <t>·</t>
    </r>
    <r>
      <rPr>
        <sz val="12"/>
        <color rgb="FF000000"/>
        <rFont val="Times New Roman"/>
        <family val="1"/>
      </rPr>
      <t>       Trend Scenario #2</t>
    </r>
  </si>
  <si>
    <t>Trend Scenario #1, Plan 1</t>
  </si>
  <si>
    <t>Trend Scenario #1, Plan 2</t>
  </si>
  <si>
    <t>Trend Scenario #2, Plan 1</t>
  </si>
  <si>
    <t>Trend Scenario #2, Plan 2</t>
  </si>
  <si>
    <t>Company ABC Demographics and Voluntary Plan Design:</t>
  </si>
  <si>
    <r>
      <t>(a)</t>
    </r>
    <r>
      <rPr>
        <sz val="7"/>
        <color theme="1"/>
        <rFont val="Times New Roman"/>
        <family val="1"/>
      </rPr>
      <t xml:space="preserve">             </t>
    </r>
    <r>
      <rPr>
        <sz val="12"/>
        <color theme="1"/>
        <rFont val="Times New Roman"/>
        <family val="1"/>
      </rPr>
      <t>(3 points)  Calculate the annual claim cost PMPY for Company ABC for 20X5. Show your work.</t>
    </r>
  </si>
  <si>
    <t>Due to these rate increases, the healthy members in each plan transition to new plans in 20X2 shown in the following grid:</t>
  </si>
  <si>
    <t>(a), (b), and (d)</t>
  </si>
  <si>
    <t>The model solution for these parts are in the .pdf document.</t>
  </si>
  <si>
    <t>(a), (d), and (e)</t>
  </si>
  <si>
    <t>(a),  (b), (c), and (e)</t>
  </si>
  <si>
    <t>(b) and (c)</t>
  </si>
  <si>
    <t>(a)</t>
  </si>
  <si>
    <t>(a), (b), (d)</t>
  </si>
  <si>
    <t>The model solution for this question is in the .pdf document.</t>
  </si>
  <si>
    <t>(a) and (d)</t>
  </si>
  <si>
    <t>Year 1</t>
  </si>
  <si>
    <t>Year 2</t>
  </si>
  <si>
    <t>Ingredient cost per script before discount change</t>
  </si>
  <si>
    <t>i</t>
  </si>
  <si>
    <t>ii</t>
  </si>
  <si>
    <t>AWP per script</t>
  </si>
  <si>
    <t>Ingredient cost per script after discount change</t>
  </si>
  <si>
    <t>XYZ Paid</t>
  </si>
  <si>
    <t>iii</t>
  </si>
  <si>
    <t>Brand 20X1</t>
  </si>
  <si>
    <t>Brand 20X2</t>
  </si>
  <si>
    <t>Generic 20X1</t>
  </si>
  <si>
    <t>Generic 20X2</t>
  </si>
  <si>
    <t>Broad</t>
  </si>
  <si>
    <t>Narrow</t>
  </si>
  <si>
    <t>Risk Score Adjustment</t>
  </si>
  <si>
    <t>(i) Claims Cost PEPY</t>
  </si>
  <si>
    <t>(ii)  Total Cost</t>
  </si>
  <si>
    <t>Current Plan Cost from part (b)</t>
  </si>
  <si>
    <t xml:space="preserve">Claims Cost PEPY </t>
  </si>
  <si>
    <t>(excludes risk adjustment since the total population will be on one plan)</t>
  </si>
  <si>
    <t>Enrollment</t>
  </si>
  <si>
    <t>Total Cost</t>
  </si>
  <si>
    <t>Total Savings/(Cost)</t>
  </si>
  <si>
    <t>Gross Cost</t>
  </si>
  <si>
    <t>Net Cost</t>
  </si>
  <si>
    <t xml:space="preserve">Alternative Solution (due to the average cost of 11,500 is beyond the range of claims from the CPD, we gave full credit for the following solution as well. </t>
  </si>
  <si>
    <t>Member Cost Share</t>
  </si>
  <si>
    <t>Annual Cost</t>
  </si>
  <si>
    <t>Coinsurance</t>
  </si>
  <si>
    <t>Net Cost
PMPM</t>
  </si>
  <si>
    <t>Mix</t>
  </si>
  <si>
    <t>In Network PMPM</t>
  </si>
  <si>
    <t>Out of Network PMPM</t>
  </si>
  <si>
    <t>Gross Premium PMPM</t>
  </si>
  <si>
    <t>Claim Cost</t>
  </si>
  <si>
    <t>Non-Benefit Components</t>
  </si>
  <si>
    <t>1. Compute Trend Factors</t>
  </si>
  <si>
    <t>Mid-point of Experience Period</t>
  </si>
  <si>
    <t>7/1/20X1</t>
  </si>
  <si>
    <t>3 year experience period; midpoint is 1.5 years after start</t>
  </si>
  <si>
    <t>Mid-point of Rating Period</t>
  </si>
  <si>
    <t>7/1/20X5</t>
  </si>
  <si>
    <t>1 year rating period</t>
  </si>
  <si>
    <t># of years to trend</t>
  </si>
  <si>
    <t>Assumed Annual Trend Rate</t>
  </si>
  <si>
    <t>2. Compute Composite Age/Sex Factor by Class</t>
  </si>
  <si>
    <t>Composite Factor</t>
  </si>
  <si>
    <t>3. Compute Composite Regional Adjustment Factor</t>
  </si>
  <si>
    <t>4. Compute Adjusted Allowed Claims</t>
  </si>
  <si>
    <t>Experience Average Annual Allowed Claims per member</t>
  </si>
  <si>
    <t>Trended Average Annual Allowed Claims per member</t>
  </si>
  <si>
    <t>Age Gender Factors</t>
  </si>
  <si>
    <t>Area/Region Factors</t>
  </si>
  <si>
    <t>Adjusted Annual Gross Claim Costs per member</t>
  </si>
  <si>
    <t>Note: The rating manual/factors provided are for allowed claims.</t>
  </si>
  <si>
    <t>5. Compute Average Claims per Member net of member cost sharing</t>
  </si>
  <si>
    <t>Coinsurance Adjusted Claim Costs per member</t>
  </si>
  <si>
    <t>Deductible Claim Cost Reduction</t>
  </si>
  <si>
    <t>Annual Maximum Claim Cost Reduction</t>
  </si>
  <si>
    <t>Annual Net Claims Cost per member for Company ABC</t>
  </si>
  <si>
    <t>Note: The rating manual and value of cost sharing are assumed to be for 20X5.</t>
  </si>
  <si>
    <t>Value of deductible and annual maximum are averages across the projected enrolled population.  These need to be applied</t>
  </si>
  <si>
    <t>to allowed costs after application of allowed cost adjustments.  The deductible value in particular is for the plan overall</t>
  </si>
  <si>
    <t>and should not be applied to costs for any particular service type.</t>
  </si>
  <si>
    <t>Days utilization = Actual days utilized/maximum days utilized</t>
  </si>
  <si>
    <t>Assisted living</t>
  </si>
  <si>
    <t>Home health</t>
  </si>
  <si>
    <t>Skilled nursing</t>
  </si>
  <si>
    <t>Total utilization = Actual total dollars utilized/Maximum total dollars available</t>
  </si>
  <si>
    <t>Dollars utilization = Total utilization/days utilization</t>
  </si>
  <si>
    <t xml:space="preserve">I would recommend the following assumptions for projecting XYZ's existing LTC block. </t>
  </si>
  <si>
    <t>These consider the utilization from the past 3 years instead of the past 5 years which should help consider some of the most recent trends in utilization</t>
  </si>
  <si>
    <t xml:space="preserve">In addition, 20X3 to 20X5 had more additional claims which should  lead to higher credibility of the values. </t>
  </si>
  <si>
    <t>Days utilization</t>
  </si>
  <si>
    <t>Dollars utilization</t>
  </si>
  <si>
    <t>c (i)</t>
  </si>
  <si>
    <t xml:space="preserve">Indemnity pays full maximum daily limit for all days services are received.  </t>
  </si>
  <si>
    <t>Days Utilization (from part b(i) above)</t>
  </si>
  <si>
    <t>Indemnity benefits = Maximum dollars available * days utilization</t>
  </si>
  <si>
    <t>Indemnity Paid Claims</t>
  </si>
  <si>
    <t>Difference</t>
  </si>
  <si>
    <t>c (ii)</t>
  </si>
  <si>
    <t>Cash / disability pays the full maximum daily limit for all days where the policyholder is claim eligible, regardless of whether services are received.</t>
  </si>
  <si>
    <r>
      <t>Commentary on Question</t>
    </r>
    <r>
      <rPr>
        <sz val="12"/>
        <color theme="1"/>
        <rFont val="Times New Roman"/>
        <family val="1"/>
      </rPr>
      <t>:</t>
    </r>
  </si>
  <si>
    <t>Solution:</t>
  </si>
  <si>
    <t>DEF is offering retiree health benefit based on the following strategic objectives:</t>
  </si>
  <si>
    <t>- Motivate the workforce by offering the richest retiree benefit that DEF can afford</t>
  </si>
  <si>
    <t>- DEF's annual budget for retiree benefit expenses is $3,000,000</t>
  </si>
  <si>
    <t>- DEF's debt covenant limits the liability to $150,000,000 and DEF wants to ensure that their APBO is within 10% of its maximum liability</t>
  </si>
  <si>
    <t>DEF's benefit manager provided the following information on the valuation date 1/1/2024:</t>
  </si>
  <si>
    <r>
      <t>·</t>
    </r>
    <r>
      <rPr>
        <sz val="7"/>
        <color theme="1"/>
        <rFont val="Times New Roman"/>
        <family val="1"/>
      </rPr>
      <t xml:space="preserve">         </t>
    </r>
    <r>
      <rPr>
        <sz val="11"/>
        <color theme="1"/>
        <rFont val="Times New Roman"/>
        <family val="1"/>
      </rPr>
      <t>DEF has 1,000 employees</t>
    </r>
  </si>
  <si>
    <r>
      <t>·</t>
    </r>
    <r>
      <rPr>
        <sz val="7"/>
        <color theme="1"/>
        <rFont val="Times New Roman"/>
        <family val="1"/>
      </rPr>
      <t xml:space="preserve">         </t>
    </r>
    <r>
      <rPr>
        <sz val="11"/>
        <color theme="1"/>
        <rFont val="Times New Roman"/>
        <family val="1"/>
      </rPr>
      <t>All employees are age 40</t>
    </r>
  </si>
  <si>
    <r>
      <t>·</t>
    </r>
    <r>
      <rPr>
        <sz val="7"/>
        <color theme="1"/>
        <rFont val="Times New Roman"/>
        <family val="1"/>
      </rPr>
      <t xml:space="preserve">         </t>
    </r>
    <r>
      <rPr>
        <sz val="11"/>
        <color theme="1"/>
        <rFont val="Times New Roman"/>
        <family val="1"/>
      </rPr>
      <t>All employees are hired on 12/31/2018</t>
    </r>
  </si>
  <si>
    <r>
      <t>·</t>
    </r>
    <r>
      <rPr>
        <sz val="7"/>
        <color theme="1"/>
        <rFont val="Times New Roman"/>
        <family val="1"/>
      </rPr>
      <t xml:space="preserve">         </t>
    </r>
    <r>
      <rPr>
        <sz val="11"/>
        <color theme="1"/>
        <rFont val="Times New Roman"/>
        <family val="1"/>
      </rPr>
      <t>All employees start taking retiree health benefit as soon as they are eligible</t>
    </r>
  </si>
  <si>
    <r>
      <t>·</t>
    </r>
    <r>
      <rPr>
        <sz val="7"/>
        <color theme="1"/>
        <rFont val="Times New Roman"/>
        <family val="1"/>
      </rPr>
      <t xml:space="preserve">         </t>
    </r>
    <r>
      <rPr>
        <sz val="11"/>
        <color theme="1"/>
        <rFont val="Times New Roman"/>
        <family val="1"/>
      </rPr>
      <t>Spouses are not eligible to receive the benefit</t>
    </r>
  </si>
  <si>
    <t>On the valuation date 1/1/2024, an actuarial student provided you with the benefit tool based on two scenarios, Trend #1 and Trend #2, per each plan. Assume the following:</t>
  </si>
  <si>
    <r>
      <t>·</t>
    </r>
    <r>
      <rPr>
        <sz val="7"/>
        <color theme="1"/>
        <rFont val="Times New Roman"/>
        <family val="1"/>
      </rPr>
      <t xml:space="preserve">         </t>
    </r>
    <r>
      <rPr>
        <sz val="11"/>
        <color theme="1"/>
        <rFont val="Times New Roman"/>
        <family val="1"/>
      </rPr>
      <t>Claim cost above age 90 are ignored due to materiality</t>
    </r>
  </si>
  <si>
    <r>
      <t>·</t>
    </r>
    <r>
      <rPr>
        <sz val="7"/>
        <color theme="1"/>
        <rFont val="Times New Roman"/>
        <family val="1"/>
      </rPr>
      <t xml:space="preserve">         </t>
    </r>
    <r>
      <rPr>
        <sz val="11"/>
        <color theme="1"/>
        <rFont val="Times New Roman"/>
        <family val="1"/>
      </rPr>
      <t>Mid-year retiree decrements appropriately account for retire, withdraw, and death rate</t>
    </r>
  </si>
  <si>
    <r>
      <t>·</t>
    </r>
    <r>
      <rPr>
        <sz val="7"/>
        <color theme="1"/>
        <rFont val="Times New Roman"/>
        <family val="1"/>
      </rPr>
      <t xml:space="preserve">         </t>
    </r>
    <r>
      <rPr>
        <sz val="11"/>
        <color theme="1"/>
        <rFont val="Times New Roman"/>
        <family val="1"/>
      </rPr>
      <t>Discount factor is based on 5% discount rate</t>
    </r>
  </si>
  <si>
    <r>
      <t>·</t>
    </r>
    <r>
      <rPr>
        <sz val="7"/>
        <color theme="1"/>
        <rFont val="Times New Roman"/>
        <family val="1"/>
      </rPr>
      <t xml:space="preserve">         </t>
    </r>
    <r>
      <rPr>
        <sz val="11"/>
        <color theme="1"/>
        <rFont val="Times New Roman"/>
        <family val="1"/>
      </rPr>
      <t xml:space="preserve">Claim costs are $15,000 before age 65 and $2,100 after age 65 </t>
    </r>
  </si>
  <si>
    <r>
      <t>·</t>
    </r>
    <r>
      <rPr>
        <sz val="7"/>
        <color theme="1"/>
        <rFont val="Times New Roman"/>
        <family val="1"/>
      </rPr>
      <t xml:space="preserve">         </t>
    </r>
    <r>
      <rPr>
        <sz val="11"/>
        <color theme="1"/>
        <rFont val="Times New Roman"/>
        <family val="1"/>
      </rPr>
      <t>Employee participation is 100%</t>
    </r>
  </si>
  <si>
    <t>Scenario 1, Plan 1</t>
  </si>
  <si>
    <t>Scenario 1, Plan 2</t>
  </si>
  <si>
    <t>Scenario 2, Plan 1</t>
  </si>
  <si>
    <t>Scenario 2, Plan 2</t>
  </si>
  <si>
    <t xml:space="preserve">(b) (5 points) </t>
  </si>
  <si>
    <t>(i) Recommend a plan based on DEF’s objectives under</t>
  </si>
  <si>
    <t xml:space="preserve">•	Scenario Trend #1 </t>
  </si>
  <si>
    <t>•	Scenario Trend #2</t>
  </si>
  <si>
    <t>Justify your answer.</t>
  </si>
  <si>
    <t xml:space="preserve">Few candidates received full credit to this question. </t>
  </si>
  <si>
    <t>b(i): While the Excel file handled the majority of the calculation, the question tested candidates’ basic understanding of EPBO, APBO, and service cost. Few candidates identified the difference between balance sheet requirement (APBO is liability) vs. income statement requirement (service cost is expense). Partial credits are awarded if the recommendation is logical and reasonable.</t>
  </si>
  <si>
    <t>b(ii): Stronger candidates identified the trend differences and indicated the misestimation risk may result in unfavorable financial impact as well as poor plan selection.</t>
  </si>
  <si>
    <t>Based on the benefit tool, calculate per employee EPBO = Sum(PV of Medical Claims) - Sum(PV of Contributions)</t>
  </si>
  <si>
    <t>Scenario 1</t>
  </si>
  <si>
    <t>Scenario 2</t>
  </si>
  <si>
    <t>Plan 1</t>
  </si>
  <si>
    <t>Plan 2</t>
  </si>
  <si>
    <t>PV of Medical Claims</t>
  </si>
  <si>
    <t>PV of Contributions</t>
  </si>
  <si>
    <t xml:space="preserve">EPBO </t>
  </si>
  <si>
    <t>Date of Valuation</t>
  </si>
  <si>
    <t>Scenario</t>
  </si>
  <si>
    <t>Plan</t>
  </si>
  <si>
    <t>Service to Date (Years)</t>
  </si>
  <si>
    <t>Date of Hire</t>
  </si>
  <si>
    <t>Date of First Eligibility</t>
  </si>
  <si>
    <t>Attribution Period</t>
  </si>
  <si>
    <t>EPBO</t>
  </si>
  <si>
    <t>APBO</t>
  </si>
  <si>
    <t>Service Cost</t>
  </si>
  <si>
    <t>Count</t>
  </si>
  <si>
    <t>Total APBO</t>
  </si>
  <si>
    <t>Total Service Cost</t>
  </si>
  <si>
    <t xml:space="preserve">Maximum total service cost = </t>
  </si>
  <si>
    <t xml:space="preserve">Maximum total APBO = </t>
  </si>
  <si>
    <t>$150,000,000 * 10% = $15,000,000</t>
  </si>
  <si>
    <t>For Scenario 1</t>
  </si>
  <si>
    <t>I recommend Plan 2 because Plan 1 exceeds the maximum APBO and service cost that DEF specifies.</t>
  </si>
  <si>
    <t>Also, fixed percentage under Plan 2 results in less claims volatility for DEF due to the avoidance of leveraging impact.</t>
  </si>
  <si>
    <t>For Scenario 2</t>
  </si>
  <si>
    <t>I recommend Plan 1 because both plans are within the maximum APBO and service cost, while Plan 1 offers richer benefits.</t>
  </si>
  <si>
    <t>In addition, fixed contribution dollars under Plan 1 provide a sense of financial security for the employee.</t>
  </si>
  <si>
    <t>(ii) Evaluate the risk under Scenario Trend #2.</t>
  </si>
  <si>
    <t>The only different assumption between the two scenarios is the trend rate. Calculated as:</t>
  </si>
  <si>
    <t>Variance</t>
  </si>
  <si>
    <t xml:space="preserve">Scenario 2 uses trends that are 2% lower than Scenario 1. Using aggressive trend may create $6 to $8 million of unanticipated retiree health costs based on APBO if the more conservative assumptions are proven to be correct. </t>
  </si>
  <si>
    <t>The financial impact is material. Also, the choice between plans may be inadequate as a result.</t>
  </si>
  <si>
    <t>(Credits are awarded to evaluations other than stated above if the evaluations are logical and reasonable.)</t>
  </si>
  <si>
    <t>Answer:</t>
  </si>
  <si>
    <t>Year 1 Premium</t>
  </si>
  <si>
    <t>Year 2 Premium (Without Transitions)</t>
  </si>
  <si>
    <t>Expected Change</t>
  </si>
  <si>
    <t>Year 2 Premium (With Transitions)</t>
  </si>
  <si>
    <t>Actual Change</t>
  </si>
  <si>
    <t>Buydown effect</t>
  </si>
  <si>
    <t>Year 1 Claims</t>
  </si>
  <si>
    <t>Year 2 Claims (Without Transitions)</t>
  </si>
  <si>
    <t>Year 2 Claims (With Transitions)</t>
  </si>
  <si>
    <t xml:space="preserve">The difference in the buydown effect for premium compared to claims is due to premium leakage. </t>
  </si>
  <si>
    <t>Since only the lower cost members are transitioning to lower cost plans, the claims are not decreasing as much as the revenue.</t>
  </si>
  <si>
    <t>Credibility weight of 75% is given to current rating factors.</t>
  </si>
  <si>
    <t>Calculate revised group size and employee participation factors for 20X3.</t>
  </si>
  <si>
    <t>Claims</t>
  </si>
  <si>
    <t>Experience Loss Ratio</t>
  </si>
  <si>
    <t>Overall Loss Ratio</t>
  </si>
  <si>
    <t>20X3 Factor</t>
  </si>
  <si>
    <t>The responses for parts (b) and (c) are to be provided in the Word document.</t>
  </si>
  <si>
    <t>The model solution for part (a) is in the .pdf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</si>
</sst>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_(&quot;$&quot;* #,##0_);_(&quot;$&quot;* \(#,##0\);_(&quot;$&quot;* &quot;-&quot;??_);_(@_)"/>
    <numFmt numFmtId="168" formatCode="#,##0.0000"/>
    <numFmt numFmtId="169" formatCode="#,##0.0"/>
    <numFmt numFmtId="170" formatCode="0.0"/>
    <numFmt numFmtId="171" formatCode="0.0000"/>
    <numFmt numFmtId="172" formatCode="#,##0.0000_);\(#,##0.0000\)"/>
    <numFmt numFmtId="173" formatCode="0.0%"/>
    <numFmt numFmtId="174" formatCode="0.000"/>
  </numFmts>
  <fonts count="30"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i/>
      <sz val="12"/>
      <name val="Times New Roman"/>
      <family val="1"/>
    </font>
    <font>
      <sz val="10"/>
      <color rgb="FF000000"/>
      <name val="Arial"/>
      <family val="2"/>
    </font>
    <font>
      <sz val="11"/>
      <color theme="1"/>
      <name val="Calibri"/>
      <family val="2"/>
      <scheme val="minor"/>
    </font>
    <font>
      <sz val="7"/>
      <color theme="1"/>
      <name val="Times New Roman"/>
      <family val="1"/>
    </font>
    <font>
      <b/>
      <sz val="11"/>
      <color theme="1"/>
      <name val="Times New Roman"/>
      <family val="1"/>
    </font>
    <font>
      <sz val="11"/>
      <color theme="1"/>
      <name val="Times New Roman"/>
      <family val="1"/>
    </font>
    <font>
      <sz val="12"/>
      <color rgb="FFFF0000"/>
      <name val="Times New Roman"/>
      <family val="1"/>
    </font>
    <font>
      <sz val="12"/>
      <color rgb="FF000000"/>
      <name val="Times New Roman"/>
      <family val="1"/>
    </font>
    <font>
      <i/>
      <sz val="12"/>
      <color rgb="FF000000"/>
      <name val="Times New Roman"/>
      <family val="1"/>
    </font>
    <font>
      <sz val="12"/>
      <color theme="1"/>
      <name val="Symbol"/>
      <family val="1"/>
      <charset val="2"/>
    </font>
    <font>
      <sz val="12"/>
      <color theme="1"/>
      <name val="Calibri"/>
      <family val="2"/>
      <scheme val="minor"/>
    </font>
    <font>
      <b/>
      <sz val="12"/>
      <color rgb="FF000000"/>
      <name val="Times New Roman"/>
      <family val="1"/>
    </font>
    <font>
      <sz val="12"/>
      <color rgb="FF000000"/>
      <name val="Symbol"/>
      <family val="1"/>
      <charset val="2"/>
    </font>
    <font>
      <b/>
      <sz val="12"/>
      <name val="Times New Roman"/>
      <family val="1"/>
    </font>
    <font>
      <b/>
      <sz val="11"/>
      <color theme="1"/>
      <name val="Calibri"/>
      <family val="2"/>
      <scheme val="minor"/>
    </font>
    <font>
      <u/>
      <sz val="12"/>
      <color theme="1"/>
      <name val="Times New Roman"/>
      <family val="1"/>
    </font>
    <font>
      <sz val="11"/>
      <color rgb="FFFF0000"/>
      <name val="Times New Roman"/>
      <family val="1"/>
    </font>
    <font>
      <i/>
      <sz val="12"/>
      <color theme="1"/>
      <name val="Times New Roman"/>
      <family val="1"/>
    </font>
    <font>
      <b/>
      <sz val="11"/>
      <name val="Times New Roman"/>
      <family val="1"/>
    </font>
    <font>
      <sz val="11"/>
      <name val="Times New Roman"/>
      <family val="1"/>
    </font>
    <font>
      <sz val="11"/>
      <color theme="4" tint="-0.249977111117893"/>
      <name val="Times New Roman"/>
      <family val="1"/>
    </font>
    <font>
      <sz val="11"/>
      <color rgb="FF000000"/>
      <name val="Times New Roman"/>
      <family val="1"/>
    </font>
    <font>
      <b/>
      <sz val="8"/>
      <name val="Times New Roman"/>
      <family val="1"/>
    </font>
    <font>
      <b/>
      <u/>
      <sz val="11"/>
      <name val="Times New Roman"/>
      <family val="1"/>
    </font>
    <font>
      <u/>
      <sz val="11"/>
      <name val="Times New Roman"/>
      <family val="1"/>
    </font>
    <font>
      <b/>
      <i/>
      <sz val="1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top/>
      <bottom style="medium">
        <color rgb="FF80808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auto="1"/>
      </left>
      <right style="medium">
        <color auto="1"/>
      </right>
      <top/>
      <bottom/>
      <diagonal/>
    </border>
    <border>
      <left/>
      <right style="medium">
        <color indexed="64"/>
      </right>
      <top/>
      <bottom/>
      <diagonal/>
    </border>
    <border>
      <left/>
      <right/>
      <top style="thin">
        <color indexed="64"/>
      </top>
      <bottom/>
      <diagonal/>
    </border>
  </borders>
  <cellStyleXfs count="6">
    <xf numFmtId="0" fontId="0" fillId="0" borderId="0"/>
    <xf numFmtId="0" fontId="5"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cellStyleXfs>
  <cellXfs count="376">
    <xf numFmtId="0" fontId="0" fillId="0" borderId="0" xfId="0"/>
    <xf numFmtId="0" fontId="1" fillId="2" borderId="0" xfId="0" applyFont="1" applyFill="1"/>
    <xf numFmtId="0" fontId="1" fillId="0" borderId="0" xfId="0" applyFont="1"/>
    <xf numFmtId="0" fontId="2" fillId="2" borderId="0" xfId="0" applyFont="1" applyFill="1" applyAlignment="1">
      <alignment horizontal="left" indent="3"/>
    </xf>
    <xf numFmtId="0" fontId="4" fillId="2" borderId="0" xfId="0" applyFont="1" applyFill="1"/>
    <xf numFmtId="0" fontId="3" fillId="2" borderId="0" xfId="0" applyFont="1" applyFill="1"/>
    <xf numFmtId="0" fontId="2" fillId="2" borderId="0" xfId="0" applyFont="1" applyFill="1"/>
    <xf numFmtId="0" fontId="1" fillId="2" borderId="0" xfId="0" applyFont="1" applyFill="1" applyAlignment="1">
      <alignment vertical="center"/>
    </xf>
    <xf numFmtId="0" fontId="1" fillId="2" borderId="0" xfId="0" applyFont="1" applyFill="1" applyAlignment="1">
      <alignment horizontal="left" indent="2"/>
    </xf>
    <xf numFmtId="0" fontId="3" fillId="2" borderId="0" xfId="0" applyFont="1" applyFill="1" applyAlignment="1">
      <alignment vertical="center"/>
    </xf>
    <xf numFmtId="0" fontId="1" fillId="2" borderId="1" xfId="0" applyFont="1" applyFill="1" applyBorder="1"/>
    <xf numFmtId="0" fontId="1" fillId="2" borderId="1" xfId="0" applyFont="1" applyFill="1" applyBorder="1" applyAlignment="1">
      <alignment horizontal="center"/>
    </xf>
    <xf numFmtId="0" fontId="9" fillId="2" borderId="0" xfId="0" applyFont="1" applyFill="1"/>
    <xf numFmtId="0" fontId="1" fillId="2" borderId="3" xfId="0" applyFont="1" applyFill="1" applyBorder="1"/>
    <xf numFmtId="0" fontId="10" fillId="2" borderId="0" xfId="0" applyFont="1" applyFill="1"/>
    <xf numFmtId="9" fontId="1" fillId="2" borderId="0" xfId="3" applyFont="1" applyFill="1" applyBorder="1" applyAlignment="1">
      <alignment horizontal="center"/>
    </xf>
    <xf numFmtId="0" fontId="1" fillId="2" borderId="0" xfId="0" applyFont="1" applyFill="1" applyAlignment="1">
      <alignment horizontal="left"/>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4" xfId="0" applyFont="1" applyFill="1" applyBorder="1" applyAlignment="1">
      <alignment horizontal="center"/>
    </xf>
    <xf numFmtId="0" fontId="1" fillId="0" borderId="0" xfId="0" applyFont="1" applyAlignment="1">
      <alignment vertical="center"/>
    </xf>
    <xf numFmtId="0" fontId="0" fillId="2" borderId="0" xfId="0" applyFill="1"/>
    <xf numFmtId="0" fontId="1" fillId="2" borderId="0" xfId="0" applyFont="1" applyFill="1" applyAlignment="1">
      <alignment horizontal="left" vertical="center" indent="10"/>
    </xf>
    <xf numFmtId="0" fontId="0" fillId="2" borderId="0" xfId="0" applyFill="1" applyAlignment="1">
      <alignment vertical="center" wrapText="1"/>
    </xf>
    <xf numFmtId="0" fontId="9" fillId="0" borderId="0" xfId="0" applyFont="1"/>
    <xf numFmtId="0" fontId="1" fillId="2" borderId="0" xfId="0" applyFont="1" applyFill="1" applyAlignment="1">
      <alignment horizontal="left" vertical="center" indent="5"/>
    </xf>
    <xf numFmtId="0" fontId="13" fillId="2" borderId="0" xfId="0" applyFont="1" applyFill="1" applyAlignment="1">
      <alignment horizontal="left" vertical="center" indent="7"/>
    </xf>
    <xf numFmtId="0" fontId="8" fillId="2" borderId="0" xfId="0" applyFont="1" applyFill="1" applyAlignment="1">
      <alignment horizontal="left" indent="3"/>
    </xf>
    <xf numFmtId="0" fontId="14" fillId="2" borderId="0" xfId="0" applyFont="1" applyFill="1" applyAlignment="1">
      <alignment vertical="center" wrapText="1"/>
    </xf>
    <xf numFmtId="0" fontId="1" fillId="2" borderId="2" xfId="0" applyFont="1" applyFill="1" applyBorder="1"/>
    <xf numFmtId="2" fontId="1" fillId="2" borderId="8" xfId="0" applyNumberFormat="1" applyFont="1" applyFill="1" applyBorder="1" applyAlignment="1">
      <alignment horizontal="center"/>
    </xf>
    <xf numFmtId="2" fontId="1" fillId="2" borderId="13" xfId="0" applyNumberFormat="1" applyFont="1" applyFill="1" applyBorder="1" applyAlignment="1">
      <alignment horizontal="center"/>
    </xf>
    <xf numFmtId="0" fontId="1" fillId="2" borderId="7" xfId="0" applyFont="1" applyFill="1" applyBorder="1"/>
    <xf numFmtId="2" fontId="1" fillId="2" borderId="9" xfId="0" applyNumberFormat="1" applyFont="1" applyFill="1" applyBorder="1" applyAlignment="1">
      <alignment horizontal="center"/>
    </xf>
    <xf numFmtId="2" fontId="1" fillId="2" borderId="10" xfId="0" applyNumberFormat="1" applyFont="1" applyFill="1" applyBorder="1" applyAlignment="1">
      <alignment horizontal="center"/>
    </xf>
    <xf numFmtId="2" fontId="1" fillId="2" borderId="11" xfId="0" applyNumberFormat="1" applyFont="1" applyFill="1" applyBorder="1" applyAlignment="1">
      <alignment horizontal="center"/>
    </xf>
    <xf numFmtId="2" fontId="1" fillId="2" borderId="12" xfId="0" applyNumberFormat="1" applyFont="1" applyFill="1" applyBorder="1" applyAlignment="1">
      <alignment horizontal="center"/>
    </xf>
    <xf numFmtId="2" fontId="1" fillId="2" borderId="0" xfId="0" applyNumberFormat="1" applyFont="1" applyFill="1" applyAlignment="1">
      <alignment horizontal="center"/>
    </xf>
    <xf numFmtId="0" fontId="1" fillId="2" borderId="9" xfId="0" applyFont="1" applyFill="1" applyBorder="1" applyAlignment="1">
      <alignment horizontal="center"/>
    </xf>
    <xf numFmtId="3" fontId="1" fillId="2" borderId="0" xfId="0" applyNumberFormat="1" applyFont="1" applyFill="1" applyAlignment="1">
      <alignment horizontal="center"/>
    </xf>
    <xf numFmtId="9" fontId="1" fillId="2" borderId="10" xfId="0" applyNumberFormat="1" applyFont="1" applyFill="1" applyBorder="1" applyAlignment="1">
      <alignment horizontal="center"/>
    </xf>
    <xf numFmtId="0" fontId="2" fillId="2" borderId="11" xfId="0" applyFont="1" applyFill="1" applyBorder="1" applyAlignment="1">
      <alignment horizontal="center"/>
    </xf>
    <xf numFmtId="3" fontId="2" fillId="2" borderId="14" xfId="0" applyNumberFormat="1" applyFont="1" applyFill="1" applyBorder="1" applyAlignment="1">
      <alignment horizontal="center"/>
    </xf>
    <xf numFmtId="9" fontId="2" fillId="2" borderId="12" xfId="3" applyFont="1" applyFill="1" applyBorder="1" applyAlignment="1">
      <alignment horizontal="center"/>
    </xf>
    <xf numFmtId="0" fontId="1" fillId="2" borderId="0" xfId="0" applyFont="1" applyFill="1" applyAlignment="1">
      <alignment horizontal="left" vertical="center" indent="7"/>
    </xf>
    <xf numFmtId="0" fontId="15" fillId="2" borderId="18" xfId="0" applyFont="1" applyFill="1" applyBorder="1" applyAlignment="1">
      <alignment vertical="center"/>
    </xf>
    <xf numFmtId="0" fontId="11" fillId="2" borderId="19" xfId="0" applyFont="1" applyFill="1" applyBorder="1" applyAlignment="1">
      <alignment horizontal="center" vertical="center"/>
    </xf>
    <xf numFmtId="6" fontId="11" fillId="2" borderId="19" xfId="0" applyNumberFormat="1" applyFont="1" applyFill="1" applyBorder="1" applyAlignment="1">
      <alignment horizontal="center" vertical="center"/>
    </xf>
    <xf numFmtId="3" fontId="11" fillId="2" borderId="19" xfId="0" applyNumberFormat="1" applyFont="1" applyFill="1" applyBorder="1" applyAlignment="1">
      <alignment horizontal="center" vertical="center"/>
    </xf>
    <xf numFmtId="0" fontId="11" fillId="2" borderId="18" xfId="0" applyFont="1" applyFill="1" applyBorder="1" applyAlignment="1">
      <alignment vertical="center"/>
    </xf>
    <xf numFmtId="9" fontId="11" fillId="2" borderId="19" xfId="0" applyNumberFormat="1" applyFont="1" applyFill="1" applyBorder="1" applyAlignment="1">
      <alignment horizontal="center" vertical="center"/>
    </xf>
    <xf numFmtId="10" fontId="11" fillId="2" borderId="19" xfId="0" applyNumberFormat="1" applyFont="1" applyFill="1" applyBorder="1" applyAlignment="1">
      <alignment horizontal="center" vertical="center"/>
    </xf>
    <xf numFmtId="9" fontId="1" fillId="2" borderId="1" xfId="0" applyNumberFormat="1" applyFont="1" applyFill="1" applyBorder="1" applyAlignment="1">
      <alignment horizontal="center"/>
    </xf>
    <xf numFmtId="9" fontId="1" fillId="2" borderId="0" xfId="0" applyNumberFormat="1" applyFont="1" applyFill="1" applyAlignment="1">
      <alignment horizontal="left" vertical="center" wrapText="1" indent="1"/>
    </xf>
    <xf numFmtId="165" fontId="1" fillId="2" borderId="0" xfId="0" applyNumberFormat="1" applyFont="1" applyFill="1" applyAlignment="1">
      <alignment horizontal="center" vertical="center"/>
    </xf>
    <xf numFmtId="9" fontId="2" fillId="2" borderId="5" xfId="0" applyNumberFormat="1" applyFont="1" applyFill="1" applyBorder="1" applyAlignment="1">
      <alignment horizontal="centerContinuous" vertical="center" wrapText="1"/>
    </xf>
    <xf numFmtId="165" fontId="2" fillId="2" borderId="6" xfId="0" applyNumberFormat="1" applyFont="1" applyFill="1" applyBorder="1" applyAlignment="1">
      <alignment horizontal="centerContinuous" vertical="center"/>
    </xf>
    <xf numFmtId="9" fontId="1" fillId="2" borderId="1" xfId="0" applyNumberFormat="1" applyFont="1" applyFill="1" applyBorder="1" applyAlignment="1">
      <alignment horizontal="left" vertical="center" wrapText="1" indent="1"/>
    </xf>
    <xf numFmtId="165"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left" indent="1"/>
    </xf>
    <xf numFmtId="39" fontId="1" fillId="2" borderId="1" xfId="2" applyNumberFormat="1" applyFont="1" applyFill="1" applyBorder="1" applyAlignment="1">
      <alignment horizontal="center"/>
    </xf>
    <xf numFmtId="165" fontId="1" fillId="2" borderId="0" xfId="0" applyNumberFormat="1" applyFont="1" applyFill="1"/>
    <xf numFmtId="165" fontId="1" fillId="2" borderId="0" xfId="0" applyNumberFormat="1" applyFont="1" applyFill="1" applyAlignment="1">
      <alignment horizontal="center"/>
    </xf>
    <xf numFmtId="9" fontId="2" fillId="2" borderId="5" xfId="0" applyNumberFormat="1" applyFont="1" applyFill="1" applyBorder="1" applyAlignment="1">
      <alignment horizontal="centerContinuous"/>
    </xf>
    <xf numFmtId="0" fontId="1" fillId="2" borderId="4" xfId="0" applyFont="1" applyFill="1" applyBorder="1" applyAlignment="1">
      <alignment horizontal="centerContinuous"/>
    </xf>
    <xf numFmtId="0" fontId="1" fillId="2" borderId="6" xfId="0" applyFont="1" applyFill="1" applyBorder="1" applyAlignment="1">
      <alignment horizontal="centerContinuous"/>
    </xf>
    <xf numFmtId="0" fontId="1" fillId="2" borderId="0" xfId="0" applyFont="1" applyFill="1" applyAlignment="1">
      <alignment horizontal="left" indent="1"/>
    </xf>
    <xf numFmtId="165" fontId="2" fillId="2" borderId="6" xfId="0" applyNumberFormat="1" applyFont="1" applyFill="1" applyBorder="1" applyAlignment="1">
      <alignment horizontal="centerContinuous"/>
    </xf>
    <xf numFmtId="0" fontId="2" fillId="2" borderId="1" xfId="0" applyFont="1" applyFill="1" applyBorder="1" applyAlignment="1">
      <alignment horizontal="center"/>
    </xf>
    <xf numFmtId="164" fontId="1" fillId="2" borderId="1" xfId="0" applyNumberFormat="1" applyFont="1" applyFill="1" applyBorder="1" applyAlignment="1">
      <alignment horizontal="left" indent="1"/>
    </xf>
    <xf numFmtId="164" fontId="1" fillId="2" borderId="1" xfId="0" applyNumberFormat="1" applyFont="1" applyFill="1" applyBorder="1" applyAlignment="1">
      <alignment horizontal="center"/>
    </xf>
    <xf numFmtId="165" fontId="1" fillId="2" borderId="0" xfId="0" applyNumberFormat="1" applyFont="1" applyFill="1" applyAlignment="1">
      <alignment horizontal="right"/>
    </xf>
    <xf numFmtId="165" fontId="1" fillId="2" borderId="0" xfId="0" applyNumberFormat="1" applyFont="1" applyFill="1" applyAlignment="1">
      <alignment horizontal="left" indent="1"/>
    </xf>
    <xf numFmtId="43" fontId="1" fillId="2" borderId="0" xfId="2" applyFont="1" applyFill="1" applyAlignment="1">
      <alignment horizontal="center"/>
    </xf>
    <xf numFmtId="9" fontId="1" fillId="2" borderId="0" xfId="0" applyNumberFormat="1" applyFont="1" applyFill="1" applyAlignment="1">
      <alignment horizontal="left"/>
    </xf>
    <xf numFmtId="43" fontId="1" fillId="2" borderId="0" xfId="2" applyFont="1" applyFill="1"/>
    <xf numFmtId="37" fontId="1" fillId="2" borderId="1" xfId="2" applyNumberFormat="1" applyFont="1" applyFill="1" applyBorder="1" applyAlignment="1">
      <alignment horizontal="center"/>
    </xf>
    <xf numFmtId="166" fontId="1" fillId="2" borderId="0" xfId="2" applyNumberFormat="1" applyFont="1" applyFill="1" applyAlignment="1">
      <alignment horizontal="center"/>
    </xf>
    <xf numFmtId="43" fontId="1" fillId="2" borderId="0" xfId="0" applyNumberFormat="1" applyFont="1" applyFill="1"/>
    <xf numFmtId="0" fontId="1" fillId="2" borderId="1" xfId="0" applyFont="1" applyFill="1" applyBorder="1" applyAlignment="1">
      <alignment horizontal="left" indent="2"/>
    </xf>
    <xf numFmtId="0" fontId="1" fillId="2" borderId="1" xfId="0" applyFont="1" applyFill="1" applyBorder="1" applyAlignment="1">
      <alignment horizontal="left" indent="4"/>
    </xf>
    <xf numFmtId="0" fontId="2" fillId="2" borderId="6" xfId="0" applyFont="1" applyFill="1" applyBorder="1" applyAlignment="1">
      <alignment horizontal="centerContinuous"/>
    </xf>
    <xf numFmtId="0" fontId="1" fillId="2" borderId="0" xfId="0" applyFont="1" applyFill="1" applyAlignment="1">
      <alignment horizontal="center"/>
    </xf>
    <xf numFmtId="167" fontId="1" fillId="2" borderId="0" xfId="0" applyNumberFormat="1" applyFont="1" applyFill="1"/>
    <xf numFmtId="44" fontId="1" fillId="2" borderId="0" xfId="0" applyNumberFormat="1" applyFont="1" applyFill="1"/>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center"/>
    </xf>
    <xf numFmtId="0" fontId="2" fillId="0" borderId="0" xfId="0" applyFont="1" applyAlignment="1">
      <alignment horizontal="left" indent="3"/>
    </xf>
    <xf numFmtId="0" fontId="11" fillId="0" borderId="0" xfId="0" applyFont="1" applyAlignment="1">
      <alignment vertical="center"/>
    </xf>
    <xf numFmtId="0" fontId="11" fillId="2" borderId="0" xfId="0" applyFont="1" applyFill="1" applyAlignment="1">
      <alignment vertical="center"/>
    </xf>
    <xf numFmtId="0" fontId="2" fillId="2" borderId="0" xfId="0" applyFont="1" applyFill="1" applyAlignment="1">
      <alignment vertical="center"/>
    </xf>
    <xf numFmtId="0" fontId="11" fillId="2" borderId="0" xfId="0" applyFont="1" applyFill="1" applyAlignment="1">
      <alignment horizontal="left" vertical="center" indent="5"/>
    </xf>
    <xf numFmtId="0" fontId="11" fillId="2" borderId="0" xfId="0" applyFont="1" applyFill="1" applyAlignment="1">
      <alignment horizontal="left" vertical="center" indent="10"/>
    </xf>
    <xf numFmtId="0" fontId="16" fillId="2" borderId="0" xfId="0" applyFont="1" applyFill="1" applyAlignment="1">
      <alignment horizontal="left" vertical="center" indent="12"/>
    </xf>
    <xf numFmtId="0" fontId="11" fillId="2" borderId="0" xfId="0" applyFont="1" applyFill="1" applyAlignment="1">
      <alignment horizontal="left" vertical="center" indent="7"/>
    </xf>
    <xf numFmtId="0" fontId="1" fillId="2" borderId="0" xfId="0" applyFont="1" applyFill="1" applyAlignment="1">
      <alignment horizontal="right"/>
    </xf>
    <xf numFmtId="0" fontId="11" fillId="2" borderId="1" xfId="0" applyFont="1" applyFill="1" applyBorder="1" applyAlignment="1">
      <alignment vertical="center"/>
    </xf>
    <xf numFmtId="0" fontId="11" fillId="2" borderId="1"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8" xfId="0" applyFont="1" applyFill="1" applyBorder="1" applyAlignment="1">
      <alignment horizontal="left" vertical="center" indent="3"/>
    </xf>
    <xf numFmtId="6" fontId="11" fillId="2" borderId="18" xfId="0" applyNumberFormat="1" applyFont="1" applyFill="1" applyBorder="1" applyAlignment="1">
      <alignment horizontal="right" vertical="center"/>
    </xf>
    <xf numFmtId="0" fontId="11" fillId="2" borderId="18" xfId="0" applyFont="1" applyFill="1" applyBorder="1" applyAlignment="1">
      <alignment horizontal="right" vertical="center"/>
    </xf>
    <xf numFmtId="0" fontId="1" fillId="2" borderId="1" xfId="0" applyFont="1" applyFill="1" applyBorder="1" applyAlignment="1">
      <alignment horizontal="left" indent="1"/>
    </xf>
    <xf numFmtId="165" fontId="1" fillId="2" borderId="1" xfId="0" applyNumberFormat="1" applyFont="1" applyFill="1" applyBorder="1" applyAlignment="1">
      <alignment horizontal="center"/>
    </xf>
    <xf numFmtId="165" fontId="1" fillId="2" borderId="1" xfId="0" applyNumberFormat="1" applyFont="1" applyFill="1" applyBorder="1" applyAlignment="1">
      <alignment horizontal="center" wrapText="1"/>
    </xf>
    <xf numFmtId="6" fontId="1" fillId="2" borderId="1" xfId="0" applyNumberFormat="1" applyFont="1" applyFill="1" applyBorder="1" applyAlignment="1">
      <alignment horizontal="center"/>
    </xf>
    <xf numFmtId="0" fontId="2" fillId="2" borderId="5" xfId="0" applyFont="1" applyFill="1" applyBorder="1" applyAlignment="1">
      <alignment horizontal="centerContinuous"/>
    </xf>
    <xf numFmtId="16" fontId="1" fillId="2" borderId="1" xfId="0" quotePrefix="1" applyNumberFormat="1" applyFont="1" applyFill="1" applyBorder="1" applyAlignment="1">
      <alignment horizontal="right"/>
    </xf>
    <xf numFmtId="0" fontId="1" fillId="2" borderId="1" xfId="0" quotePrefix="1" applyFont="1" applyFill="1" applyBorder="1" applyAlignment="1">
      <alignment horizontal="right"/>
    </xf>
    <xf numFmtId="2" fontId="1" fillId="2" borderId="1" xfId="0" quotePrefix="1" applyNumberFormat="1" applyFont="1" applyFill="1" applyBorder="1" applyAlignment="1">
      <alignment horizontal="center"/>
    </xf>
    <xf numFmtId="16" fontId="1" fillId="2" borderId="1" xfId="0" quotePrefix="1" applyNumberFormat="1" applyFont="1" applyFill="1" applyBorder="1" applyAlignment="1">
      <alignment horizontal="center"/>
    </xf>
    <xf numFmtId="0" fontId="1" fillId="2" borderId="1" xfId="0" quotePrefix="1" applyFont="1" applyFill="1" applyBorder="1" applyAlignment="1">
      <alignment horizontal="center"/>
    </xf>
    <xf numFmtId="0" fontId="1" fillId="2" borderId="5" xfId="0" applyFont="1" applyFill="1" applyBorder="1" applyAlignment="1">
      <alignment vertical="center"/>
    </xf>
    <xf numFmtId="0" fontId="1" fillId="2" borderId="6" xfId="0" applyFont="1" applyFill="1" applyBorder="1"/>
    <xf numFmtId="0" fontId="11" fillId="2" borderId="2"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xf>
    <xf numFmtId="3" fontId="11" fillId="2" borderId="2"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3" fontId="11" fillId="2" borderId="3" xfId="0" applyNumberFormat="1"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1" fillId="2" borderId="0" xfId="0" applyFont="1" applyFill="1" applyAlignment="1">
      <alignment horizontal="lef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6" fontId="11" fillId="2" borderId="2" xfId="0" applyNumberFormat="1" applyFont="1" applyFill="1" applyBorder="1" applyAlignment="1">
      <alignment horizontal="center" vertical="center"/>
    </xf>
    <xf numFmtId="6" fontId="11" fillId="2" borderId="3" xfId="0" applyNumberFormat="1" applyFont="1" applyFill="1" applyBorder="1" applyAlignment="1">
      <alignment horizontal="center" vertical="center"/>
    </xf>
    <xf numFmtId="9" fontId="11" fillId="2" borderId="2" xfId="0" applyNumberFormat="1" applyFont="1" applyFill="1" applyBorder="1" applyAlignment="1">
      <alignment horizontal="center" vertical="center"/>
    </xf>
    <xf numFmtId="9" fontId="11" fillId="2" borderId="3" xfId="0" applyNumberFormat="1" applyFont="1" applyFill="1" applyBorder="1" applyAlignment="1">
      <alignment horizontal="center" vertical="center"/>
    </xf>
    <xf numFmtId="10" fontId="11" fillId="2" borderId="1" xfId="0" applyNumberFormat="1" applyFont="1" applyFill="1" applyBorder="1" applyAlignment="1">
      <alignment horizontal="center" vertical="center"/>
    </xf>
    <xf numFmtId="9" fontId="9" fillId="2" borderId="0" xfId="0" applyNumberFormat="1" applyFont="1" applyFill="1"/>
    <xf numFmtId="0" fontId="9" fillId="2" borderId="1" xfId="0" applyFont="1" applyFill="1" applyBorder="1" applyAlignment="1">
      <alignment horizontal="center"/>
    </xf>
    <xf numFmtId="166" fontId="9" fillId="2" borderId="1" xfId="2" applyNumberFormat="1" applyFont="1" applyFill="1" applyBorder="1"/>
    <xf numFmtId="0" fontId="15" fillId="2" borderId="0" xfId="0" applyFont="1" applyFill="1" applyAlignment="1">
      <alignment vertical="center"/>
    </xf>
    <xf numFmtId="0" fontId="17" fillId="2" borderId="1" xfId="0" applyFont="1" applyFill="1" applyBorder="1" applyAlignment="1">
      <alignment wrapText="1"/>
    </xf>
    <xf numFmtId="0" fontId="3" fillId="2" borderId="1" xfId="0" applyFont="1" applyFill="1" applyBorder="1"/>
    <xf numFmtId="168" fontId="3" fillId="2" borderId="1" xfId="0" applyNumberFormat="1" applyFont="1" applyFill="1" applyBorder="1"/>
    <xf numFmtId="3" fontId="3" fillId="2" borderId="1" xfId="0" applyNumberFormat="1" applyFont="1" applyFill="1" applyBorder="1"/>
    <xf numFmtId="9" fontId="3" fillId="2" borderId="1" xfId="3" applyFont="1" applyFill="1" applyBorder="1"/>
    <xf numFmtId="0" fontId="17" fillId="2" borderId="0" xfId="0" applyFont="1" applyFill="1"/>
    <xf numFmtId="9" fontId="3" fillId="2" borderId="1" xfId="0" applyNumberFormat="1" applyFont="1" applyFill="1" applyBorder="1"/>
    <xf numFmtId="0" fontId="14" fillId="2" borderId="0" xfId="0" applyFont="1" applyFill="1"/>
    <xf numFmtId="0" fontId="9" fillId="3" borderId="0" xfId="0" applyFont="1" applyFill="1"/>
    <xf numFmtId="0" fontId="1" fillId="0" borderId="0" xfId="0" quotePrefix="1" applyFont="1"/>
    <xf numFmtId="8" fontId="1" fillId="0" borderId="0" xfId="0" applyNumberFormat="1" applyFont="1"/>
    <xf numFmtId="0" fontId="0" fillId="0" borderId="1" xfId="0" applyBorder="1"/>
    <xf numFmtId="164" fontId="0" fillId="0" borderId="5" xfId="0" applyNumberFormat="1" applyBorder="1" applyAlignment="1">
      <alignment horizontal="center"/>
    </xf>
    <xf numFmtId="164" fontId="0" fillId="0" borderId="6" xfId="0" applyNumberFormat="1" applyBorder="1" applyAlignment="1">
      <alignment horizontal="center"/>
    </xf>
    <xf numFmtId="0" fontId="0" fillId="0" borderId="2" xfId="0" applyBorder="1"/>
    <xf numFmtId="2" fontId="0" fillId="0" borderId="8" xfId="0" applyNumberFormat="1" applyBorder="1" applyAlignment="1">
      <alignment horizontal="center"/>
    </xf>
    <xf numFmtId="2" fontId="0" fillId="0" borderId="13" xfId="0" applyNumberFormat="1" applyBorder="1" applyAlignment="1">
      <alignment horizontal="center"/>
    </xf>
    <xf numFmtId="0" fontId="0" fillId="0" borderId="7" xfId="0" applyBorder="1"/>
    <xf numFmtId="2" fontId="0" fillId="0" borderId="9" xfId="0" applyNumberFormat="1" applyBorder="1" applyAlignment="1">
      <alignment horizontal="center"/>
    </xf>
    <xf numFmtId="2" fontId="0" fillId="0" borderId="10" xfId="0" applyNumberFormat="1" applyBorder="1" applyAlignment="1">
      <alignment horizontal="center"/>
    </xf>
    <xf numFmtId="0" fontId="0" fillId="0" borderId="3" xfId="0" applyBorder="1"/>
    <xf numFmtId="2" fontId="0" fillId="0" borderId="11" xfId="0" applyNumberFormat="1" applyBorder="1" applyAlignment="1">
      <alignment horizontal="center"/>
    </xf>
    <xf numFmtId="2" fontId="0" fillId="0" borderId="12" xfId="0" applyNumberFormat="1" applyBorder="1" applyAlignment="1">
      <alignment horizontal="center"/>
    </xf>
    <xf numFmtId="1" fontId="0" fillId="0" borderId="0" xfId="0" applyNumberFormat="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8" fillId="0" borderId="4" xfId="0" applyFont="1" applyBorder="1" applyAlignment="1">
      <alignment horizontal="center"/>
    </xf>
    <xf numFmtId="0" fontId="0" fillId="0" borderId="9" xfId="0" applyBorder="1" applyAlignment="1">
      <alignment horizontal="center"/>
    </xf>
    <xf numFmtId="3" fontId="0" fillId="0" borderId="0" xfId="0" applyNumberFormat="1" applyAlignment="1">
      <alignment horizontal="center"/>
    </xf>
    <xf numFmtId="9" fontId="0" fillId="0" borderId="10" xfId="0" applyNumberFormat="1" applyBorder="1" applyAlignment="1">
      <alignment horizontal="center"/>
    </xf>
    <xf numFmtId="0" fontId="18" fillId="0" borderId="11" xfId="0" applyFont="1" applyBorder="1" applyAlignment="1">
      <alignment horizontal="center"/>
    </xf>
    <xf numFmtId="3" fontId="18" fillId="0" borderId="14" xfId="0" applyNumberFormat="1" applyFont="1" applyBorder="1" applyAlignment="1">
      <alignment horizontal="center"/>
    </xf>
    <xf numFmtId="9" fontId="18" fillId="0" borderId="12" xfId="3" applyFont="1" applyBorder="1" applyAlignment="1">
      <alignment horizontal="center"/>
    </xf>
    <xf numFmtId="0" fontId="9" fillId="0" borderId="0" xfId="0" applyFont="1" applyAlignment="1">
      <alignment horizontal="right"/>
    </xf>
    <xf numFmtId="0" fontId="0" fillId="0" borderId="0" xfId="0" applyAlignment="1">
      <alignment horizontal="right"/>
    </xf>
    <xf numFmtId="9" fontId="0" fillId="0" borderId="0" xfId="3" applyFont="1" applyAlignment="1">
      <alignment horizontal="center"/>
    </xf>
    <xf numFmtId="9" fontId="0" fillId="0" borderId="0" xfId="0" applyNumberFormat="1" applyAlignment="1">
      <alignment horizontal="center"/>
    </xf>
    <xf numFmtId="164" fontId="0" fillId="4" borderId="0" xfId="0" applyNumberFormat="1" applyFill="1" applyAlignment="1">
      <alignment horizontal="center"/>
    </xf>
    <xf numFmtId="164" fontId="0" fillId="0" borderId="0" xfId="0" applyNumberFormat="1" applyAlignment="1">
      <alignment horizontal="center"/>
    </xf>
    <xf numFmtId="0" fontId="1" fillId="5" borderId="0" xfId="0" applyFont="1" applyFill="1"/>
    <xf numFmtId="0" fontId="19" fillId="0" borderId="0" xfId="0" applyFont="1"/>
    <xf numFmtId="0" fontId="11" fillId="2" borderId="20"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2" borderId="20" xfId="0" applyFont="1" applyFill="1" applyBorder="1" applyAlignment="1">
      <alignment horizontal="center" vertical="center"/>
    </xf>
    <xf numFmtId="0" fontId="11" fillId="0" borderId="22" xfId="0" applyFont="1" applyBorder="1" applyAlignment="1">
      <alignment horizontal="center" vertical="center"/>
    </xf>
    <xf numFmtId="44" fontId="1" fillId="0" borderId="0" xfId="4" applyFont="1"/>
    <xf numFmtId="44" fontId="2" fillId="4" borderId="1" xfId="4" applyFont="1" applyFill="1" applyBorder="1"/>
    <xf numFmtId="0" fontId="11" fillId="0" borderId="23" xfId="0" applyFont="1" applyBorder="1" applyAlignment="1">
      <alignment horizontal="centerContinuous" vertical="center"/>
    </xf>
    <xf numFmtId="0" fontId="11" fillId="0" borderId="23" xfId="0" applyFont="1" applyBorder="1" applyAlignment="1">
      <alignment horizontal="center" vertical="center" wrapText="1"/>
    </xf>
    <xf numFmtId="44" fontId="1" fillId="0" borderId="0" xfId="0" applyNumberFormat="1" applyFont="1"/>
    <xf numFmtId="9" fontId="1" fillId="0" borderId="0" xfId="0" applyNumberFormat="1" applyFont="1"/>
    <xf numFmtId="0" fontId="1" fillId="0" borderId="0" xfId="0" applyFont="1" applyAlignment="1">
      <alignment horizontal="left" indent="2"/>
    </xf>
    <xf numFmtId="14" fontId="1" fillId="0" borderId="0" xfId="0" applyNumberFormat="1" applyFont="1" applyAlignment="1">
      <alignment horizontal="right"/>
    </xf>
    <xf numFmtId="170" fontId="1" fillId="0" borderId="0" xfId="0" applyNumberFormat="1" applyFont="1"/>
    <xf numFmtId="37" fontId="9" fillId="0" borderId="0" xfId="0" applyNumberFormat="1" applyFont="1" applyAlignment="1">
      <alignment horizontal="center"/>
    </xf>
    <xf numFmtId="171" fontId="9" fillId="0" borderId="1" xfId="0" applyNumberFormat="1" applyFont="1" applyBorder="1" applyAlignment="1">
      <alignment horizontal="center"/>
    </xf>
    <xf numFmtId="0" fontId="1" fillId="0" borderId="0" xfId="0" applyFont="1" applyAlignment="1">
      <alignment horizontal="left"/>
    </xf>
    <xf numFmtId="0" fontId="1" fillId="0" borderId="0" xfId="0" applyFont="1" applyAlignment="1">
      <alignment horizontal="center"/>
    </xf>
    <xf numFmtId="171" fontId="1" fillId="0" borderId="0" xfId="0" applyNumberFormat="1" applyFont="1" applyAlignment="1">
      <alignment horizontal="center"/>
    </xf>
    <xf numFmtId="0" fontId="10" fillId="0" borderId="0" xfId="0" applyFont="1"/>
    <xf numFmtId="0" fontId="20" fillId="0" borderId="0" xfId="0" applyFont="1"/>
    <xf numFmtId="0" fontId="2" fillId="3" borderId="0" xfId="0" applyFont="1" applyFill="1" applyAlignment="1">
      <alignment horizontal="left" indent="3"/>
    </xf>
    <xf numFmtId="0" fontId="1" fillId="3" borderId="0" xfId="0" applyFont="1" applyFill="1"/>
    <xf numFmtId="9" fontId="9" fillId="0" borderId="0" xfId="0" applyNumberFormat="1" applyFont="1"/>
    <xf numFmtId="171" fontId="9" fillId="0" borderId="1" xfId="0" applyNumberFormat="1" applyFont="1" applyBorder="1"/>
    <xf numFmtId="0" fontId="1" fillId="0" borderId="0" xfId="0" applyFont="1" applyAlignment="1">
      <alignment wrapText="1"/>
    </xf>
    <xf numFmtId="0" fontId="1" fillId="0" borderId="0" xfId="0" applyFont="1" applyAlignment="1">
      <alignment horizontal="center" wrapText="1"/>
    </xf>
    <xf numFmtId="9" fontId="1" fillId="0" borderId="0" xfId="0" applyNumberFormat="1" applyFont="1" applyAlignment="1">
      <alignment horizontal="left" vertical="center" wrapText="1" indent="2"/>
    </xf>
    <xf numFmtId="165" fontId="1" fillId="0" borderId="0" xfId="0" applyNumberFormat="1" applyFont="1" applyAlignment="1">
      <alignment horizontal="center" vertical="center"/>
    </xf>
    <xf numFmtId="172" fontId="1" fillId="0" borderId="0" xfId="2" applyNumberFormat="1" applyFont="1" applyAlignment="1">
      <alignment horizontal="center"/>
    </xf>
    <xf numFmtId="165" fontId="10" fillId="0" borderId="0" xfId="0" applyNumberFormat="1" applyFont="1" applyAlignment="1">
      <alignment horizontal="center" vertical="center"/>
    </xf>
    <xf numFmtId="165" fontId="3" fillId="0" borderId="0" xfId="0" applyNumberFormat="1" applyFont="1" applyAlignment="1">
      <alignment horizontal="center" vertical="center"/>
    </xf>
    <xf numFmtId="9" fontId="1" fillId="0" borderId="0" xfId="0" applyNumberFormat="1" applyFont="1" applyAlignment="1">
      <alignment horizontal="center"/>
    </xf>
    <xf numFmtId="165" fontId="1" fillId="0" borderId="0" xfId="0" applyNumberFormat="1" applyFont="1" applyAlignment="1">
      <alignment horizontal="right" vertical="center" indent="2"/>
    </xf>
    <xf numFmtId="0" fontId="1" fillId="0" borderId="0" xfId="0" applyFont="1" applyAlignment="1">
      <alignment horizontal="left" indent="1"/>
    </xf>
    <xf numFmtId="173" fontId="1" fillId="0" borderId="0" xfId="3" applyNumberFormat="1" applyFont="1"/>
    <xf numFmtId="0" fontId="10" fillId="0" borderId="0" xfId="0" applyFont="1" applyAlignment="1">
      <alignment horizontal="left"/>
    </xf>
    <xf numFmtId="0" fontId="1" fillId="0" borderId="0" xfId="0" applyFont="1" applyAlignment="1">
      <alignment horizontal="left" indent="3"/>
    </xf>
    <xf numFmtId="9" fontId="1" fillId="0" borderId="0" xfId="3" applyFont="1"/>
    <xf numFmtId="173" fontId="1" fillId="0" borderId="0" xfId="0" applyNumberFormat="1" applyFont="1"/>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7"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28" xfId="0" applyFont="1" applyBorder="1" applyAlignment="1">
      <alignment horizontal="center" vertical="center"/>
    </xf>
    <xf numFmtId="3" fontId="1" fillId="0" borderId="29" xfId="0" applyNumberFormat="1" applyFont="1" applyBorder="1" applyAlignment="1">
      <alignment horizontal="center" vertical="center"/>
    </xf>
    <xf numFmtId="3" fontId="11" fillId="0" borderId="2" xfId="0" applyNumberFormat="1" applyFont="1" applyBorder="1" applyAlignment="1">
      <alignment horizontal="center" vertical="center"/>
    </xf>
    <xf numFmtId="3" fontId="11" fillId="0" borderId="7" xfId="0" applyNumberFormat="1" applyFont="1" applyBorder="1" applyAlignment="1">
      <alignment horizontal="center" vertical="center"/>
    </xf>
    <xf numFmtId="3" fontId="11" fillId="0" borderId="3" xfId="0" applyNumberFormat="1" applyFont="1" applyBorder="1" applyAlignment="1">
      <alignment horizontal="center" vertical="center"/>
    </xf>
    <xf numFmtId="0" fontId="1" fillId="0" borderId="23" xfId="0" applyFont="1" applyBorder="1"/>
    <xf numFmtId="3" fontId="1" fillId="0" borderId="23" xfId="0" applyNumberFormat="1" applyFont="1" applyBorder="1" applyAlignment="1">
      <alignment horizontal="center"/>
    </xf>
    <xf numFmtId="3" fontId="1" fillId="4" borderId="23" xfId="0" applyNumberFormat="1" applyFont="1" applyFill="1" applyBorder="1" applyAlignment="1">
      <alignment horizontal="center"/>
    </xf>
    <xf numFmtId="0" fontId="9" fillId="0" borderId="0" xfId="0" applyFont="1" applyAlignment="1">
      <alignment horizontal="left" vertical="center" indent="5"/>
    </xf>
    <xf numFmtId="0" fontId="9" fillId="0" borderId="0" xfId="0" applyFont="1" applyAlignment="1">
      <alignment horizontal="left" vertical="center" indent="10"/>
    </xf>
    <xf numFmtId="0" fontId="2" fillId="0" borderId="0" xfId="0" applyFont="1" applyAlignment="1">
      <alignment vertical="center"/>
    </xf>
    <xf numFmtId="0" fontId="21" fillId="0" borderId="0" xfId="0" applyFont="1" applyAlignment="1">
      <alignment vertical="center"/>
    </xf>
    <xf numFmtId="0" fontId="2" fillId="0" borderId="0" xfId="0" applyFont="1" applyAlignment="1">
      <alignment horizontal="left" vertical="center" indent="5"/>
    </xf>
    <xf numFmtId="0" fontId="21" fillId="0" borderId="0" xfId="0" applyFont="1" applyAlignment="1">
      <alignment horizontal="left" vertical="center" indent="5"/>
    </xf>
    <xf numFmtId="0" fontId="22" fillId="0" borderId="0" xfId="0" applyFont="1"/>
    <xf numFmtId="0" fontId="23" fillId="0" borderId="0" xfId="0" applyFont="1"/>
    <xf numFmtId="0" fontId="24" fillId="0" borderId="0" xfId="0" applyFont="1"/>
    <xf numFmtId="0" fontId="9" fillId="0" borderId="0" xfId="0" quotePrefix="1" applyFont="1"/>
    <xf numFmtId="0" fontId="8" fillId="0" borderId="1" xfId="0" applyFont="1" applyBorder="1" applyAlignment="1">
      <alignment vertical="center"/>
    </xf>
    <xf numFmtId="0" fontId="9" fillId="0" borderId="1" xfId="0" applyFont="1" applyBorder="1" applyAlignment="1">
      <alignment horizontal="right" vertical="center" wrapText="1"/>
    </xf>
    <xf numFmtId="0" fontId="9" fillId="0" borderId="1" xfId="0" applyFont="1" applyBorder="1" applyAlignment="1">
      <alignment vertical="center"/>
    </xf>
    <xf numFmtId="6" fontId="9" fillId="0" borderId="1" xfId="0" applyNumberFormat="1" applyFont="1" applyBorder="1" applyAlignment="1">
      <alignment horizontal="right" vertical="center"/>
    </xf>
    <xf numFmtId="9" fontId="23" fillId="0" borderId="1" xfId="0" applyNumberFormat="1" applyFont="1" applyBorder="1" applyAlignment="1">
      <alignment horizontal="right" vertical="center"/>
    </xf>
    <xf numFmtId="0" fontId="25" fillId="0" borderId="0" xfId="0" applyFont="1" applyAlignment="1">
      <alignment vertical="center"/>
    </xf>
    <xf numFmtId="0" fontId="8" fillId="0" borderId="0" xfId="0" applyFont="1"/>
    <xf numFmtId="0" fontId="23" fillId="0" borderId="5" xfId="0" applyFont="1" applyBorder="1" applyAlignment="1">
      <alignment wrapText="1"/>
    </xf>
    <xf numFmtId="0" fontId="23" fillId="0" borderId="4" xfId="0" applyFont="1" applyBorder="1" applyAlignment="1">
      <alignment wrapText="1"/>
    </xf>
    <xf numFmtId="0" fontId="26" fillId="0" borderId="1" xfId="0" applyFont="1" applyBorder="1" applyAlignment="1">
      <alignment wrapText="1"/>
    </xf>
    <xf numFmtId="0" fontId="23" fillId="0" borderId="6" xfId="0" applyFont="1" applyBorder="1" applyAlignment="1">
      <alignment wrapText="1"/>
    </xf>
    <xf numFmtId="0" fontId="23" fillId="0" borderId="9" xfId="0" applyFont="1" applyBorder="1"/>
    <xf numFmtId="168" fontId="23" fillId="0" borderId="0" xfId="0" applyNumberFormat="1" applyFont="1"/>
    <xf numFmtId="3" fontId="23" fillId="0" borderId="0" xfId="0" applyNumberFormat="1" applyFont="1"/>
    <xf numFmtId="3" fontId="23" fillId="0" borderId="10" xfId="0" applyNumberFormat="1" applyFont="1" applyBorder="1"/>
    <xf numFmtId="0" fontId="23" fillId="0" borderId="11" xfId="0" applyFont="1" applyBorder="1"/>
    <xf numFmtId="0" fontId="23" fillId="0" borderId="14" xfId="0" applyFont="1" applyBorder="1"/>
    <xf numFmtId="168" fontId="23" fillId="0" borderId="14" xfId="0" applyNumberFormat="1" applyFont="1" applyBorder="1"/>
    <xf numFmtId="3" fontId="23" fillId="0" borderId="14" xfId="0" applyNumberFormat="1" applyFont="1" applyBorder="1"/>
    <xf numFmtId="3" fontId="23" fillId="0" borderId="12" xfId="0" applyNumberFormat="1" applyFont="1" applyBorder="1"/>
    <xf numFmtId="9" fontId="23" fillId="0" borderId="0" xfId="0" applyNumberFormat="1" applyFont="1"/>
    <xf numFmtId="9" fontId="23" fillId="0" borderId="14" xfId="0" applyNumberFormat="1" applyFont="1" applyBorder="1"/>
    <xf numFmtId="0" fontId="4" fillId="0" borderId="0" xfId="0" applyFont="1" applyAlignment="1">
      <alignment vertical="center"/>
    </xf>
    <xf numFmtId="0" fontId="23" fillId="0" borderId="2" xfId="0" applyFont="1" applyBorder="1"/>
    <xf numFmtId="0" fontId="23" fillId="0" borderId="5" xfId="0" applyFont="1" applyBorder="1" applyAlignment="1">
      <alignment horizontal="centerContinuous"/>
    </xf>
    <xf numFmtId="0" fontId="23" fillId="0" borderId="6" xfId="0" applyFont="1" applyBorder="1" applyAlignment="1">
      <alignment horizontal="centerContinuous"/>
    </xf>
    <xf numFmtId="0" fontId="23" fillId="0" borderId="3" xfId="0" applyFont="1" applyBorder="1"/>
    <xf numFmtId="0" fontId="23" fillId="0" borderId="11" xfId="0" applyFont="1" applyBorder="1" applyAlignment="1">
      <alignment horizontal="center"/>
    </xf>
    <xf numFmtId="0" fontId="23" fillId="0" borderId="12"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0" fontId="23" fillId="0" borderId="7" xfId="0" applyFont="1" applyBorder="1"/>
    <xf numFmtId="6" fontId="23" fillId="0" borderId="8" xfId="0" applyNumberFormat="1" applyFont="1" applyBorder="1"/>
    <xf numFmtId="6" fontId="23" fillId="0" borderId="30" xfId="0" applyNumberFormat="1" applyFont="1" applyBorder="1"/>
    <xf numFmtId="6" fontId="23" fillId="0" borderId="13" xfId="0" applyNumberFormat="1" applyFont="1" applyBorder="1"/>
    <xf numFmtId="6" fontId="23" fillId="0" borderId="11" xfId="0" applyNumberFormat="1" applyFont="1" applyBorder="1"/>
    <xf numFmtId="6" fontId="23" fillId="0" borderId="14" xfId="0" applyNumberFormat="1" applyFont="1" applyBorder="1"/>
    <xf numFmtId="6" fontId="23" fillId="0" borderId="12" xfId="0" applyNumberFormat="1" applyFont="1" applyBorder="1"/>
    <xf numFmtId="0" fontId="22" fillId="0" borderId="3" xfId="0" applyFont="1" applyBorder="1"/>
    <xf numFmtId="6" fontId="22" fillId="0" borderId="5" xfId="0" applyNumberFormat="1" applyFont="1" applyBorder="1"/>
    <xf numFmtId="6" fontId="22" fillId="0" borderId="4" xfId="0" applyNumberFormat="1" applyFont="1" applyBorder="1"/>
    <xf numFmtId="6" fontId="22" fillId="0" borderId="6" xfId="0" applyNumberFormat="1" applyFont="1" applyBorder="1"/>
    <xf numFmtId="0" fontId="22" fillId="0" borderId="0" xfId="0" applyFont="1" applyAlignment="1">
      <alignment horizontal="left"/>
    </xf>
    <xf numFmtId="14" fontId="22" fillId="0" borderId="0" xfId="0" applyNumberFormat="1" applyFont="1"/>
    <xf numFmtId="0" fontId="22" fillId="0" borderId="0" xfId="0" quotePrefix="1" applyFont="1" applyAlignment="1">
      <alignment horizontal="left"/>
    </xf>
    <xf numFmtId="0" fontId="22" fillId="0" borderId="1" xfId="0" applyFont="1" applyBorder="1" applyAlignment="1">
      <alignment horizontal="center" wrapText="1"/>
    </xf>
    <xf numFmtId="0" fontId="22" fillId="0" borderId="1" xfId="0" quotePrefix="1" applyFont="1" applyBorder="1" applyAlignment="1">
      <alignment horizontal="center" wrapText="1"/>
    </xf>
    <xf numFmtId="0" fontId="22" fillId="0" borderId="1" xfId="0" applyFont="1" applyBorder="1" applyAlignment="1">
      <alignment horizontal="center" wrapText="1" shrinkToFit="1"/>
    </xf>
    <xf numFmtId="0" fontId="23" fillId="0" borderId="1" xfId="0" applyFont="1" applyBorder="1" applyAlignment="1">
      <alignment horizontal="center"/>
    </xf>
    <xf numFmtId="1" fontId="23" fillId="0" borderId="1" xfId="0" applyNumberFormat="1" applyFont="1" applyBorder="1" applyAlignment="1">
      <alignment horizontal="center"/>
    </xf>
    <xf numFmtId="14" fontId="23" fillId="0" borderId="1" xfId="0" applyNumberFormat="1" applyFont="1" applyBorder="1" applyAlignment="1">
      <alignment horizontal="center"/>
    </xf>
    <xf numFmtId="164" fontId="23" fillId="0" borderId="1" xfId="0" applyNumberFormat="1" applyFont="1" applyBorder="1"/>
    <xf numFmtId="166" fontId="23" fillId="0" borderId="1" xfId="2" applyNumberFormat="1" applyFont="1" applyFill="1" applyBorder="1"/>
    <xf numFmtId="164" fontId="23" fillId="4" borderId="1" xfId="0" applyNumberFormat="1" applyFont="1" applyFill="1" applyBorder="1"/>
    <xf numFmtId="165" fontId="23" fillId="0" borderId="0" xfId="0" applyNumberFormat="1" applyFont="1"/>
    <xf numFmtId="6" fontId="23" fillId="0" borderId="0" xfId="0" applyNumberFormat="1" applyFont="1"/>
    <xf numFmtId="164" fontId="23" fillId="0" borderId="0" xfId="0" applyNumberFormat="1" applyFont="1"/>
    <xf numFmtId="0" fontId="23" fillId="0" borderId="0" xfId="0" quotePrefix="1" applyFont="1"/>
    <xf numFmtId="0" fontId="27" fillId="0" borderId="0" xfId="0" applyFont="1"/>
    <xf numFmtId="0" fontId="22" fillId="4" borderId="1" xfId="0" applyFont="1" applyFill="1" applyBorder="1" applyAlignment="1">
      <alignment horizontal="center"/>
    </xf>
    <xf numFmtId="0" fontId="23" fillId="0" borderId="6" xfId="0" applyFont="1" applyBorder="1"/>
    <xf numFmtId="0" fontId="22" fillId="4" borderId="6" xfId="0" applyFont="1" applyFill="1" applyBorder="1" applyAlignment="1">
      <alignment horizontal="center"/>
    </xf>
    <xf numFmtId="168" fontId="23" fillId="0" borderId="9" xfId="0" applyNumberFormat="1" applyFont="1" applyBorder="1"/>
    <xf numFmtId="0" fontId="23" fillId="0" borderId="10" xfId="0" applyFont="1" applyBorder="1"/>
    <xf numFmtId="0" fontId="22" fillId="4" borderId="2" xfId="0" applyFont="1" applyFill="1" applyBorder="1" applyAlignment="1">
      <alignment horizontal="center"/>
    </xf>
    <xf numFmtId="173" fontId="23" fillId="0" borderId="10" xfId="0" applyNumberFormat="1" applyFont="1" applyBorder="1"/>
    <xf numFmtId="173" fontId="22" fillId="4" borderId="7" xfId="0" applyNumberFormat="1" applyFont="1" applyFill="1" applyBorder="1" applyAlignment="1">
      <alignment horizontal="center"/>
    </xf>
    <xf numFmtId="168" fontId="23" fillId="0" borderId="11" xfId="0" applyNumberFormat="1" applyFont="1" applyBorder="1"/>
    <xf numFmtId="173" fontId="23" fillId="0" borderId="12" xfId="0" applyNumberFormat="1" applyFont="1" applyBorder="1"/>
    <xf numFmtId="173" fontId="22" fillId="4" borderId="3" xfId="0" applyNumberFormat="1" applyFont="1" applyFill="1" applyBorder="1" applyAlignment="1">
      <alignment horizontal="center"/>
    </xf>
    <xf numFmtId="0" fontId="1" fillId="0" borderId="0" xfId="0" applyFont="1" applyAlignment="1">
      <alignment horizontal="right"/>
    </xf>
    <xf numFmtId="8" fontId="2" fillId="0" borderId="0" xfId="0" applyNumberFormat="1" applyFont="1"/>
    <xf numFmtId="43" fontId="1" fillId="0" borderId="0" xfId="0" applyNumberFormat="1" applyFont="1"/>
    <xf numFmtId="0" fontId="2" fillId="0" borderId="0" xfId="0" applyFont="1"/>
    <xf numFmtId="43" fontId="2" fillId="0" borderId="0" xfId="0" applyNumberFormat="1" applyFont="1"/>
    <xf numFmtId="0" fontId="9" fillId="0" borderId="0" xfId="5" applyFont="1" applyAlignment="1">
      <alignment vertical="center"/>
    </xf>
    <xf numFmtId="0" fontId="9" fillId="0" borderId="0" xfId="5" applyFont="1"/>
    <xf numFmtId="0" fontId="9" fillId="6" borderId="0" xfId="5" applyFont="1" applyFill="1" applyAlignment="1">
      <alignment horizontal="center"/>
    </xf>
    <xf numFmtId="0" fontId="8" fillId="6" borderId="0" xfId="5" applyFont="1" applyFill="1" applyAlignment="1">
      <alignment horizontal="center"/>
    </xf>
    <xf numFmtId="0" fontId="9" fillId="6" borderId="0" xfId="5" applyFont="1" applyFill="1"/>
    <xf numFmtId="16" fontId="9" fillId="6" borderId="0" xfId="5" quotePrefix="1" applyNumberFormat="1" applyFont="1" applyFill="1"/>
    <xf numFmtId="2" fontId="9" fillId="6" borderId="0" xfId="5" quotePrefix="1" applyNumberFormat="1" applyFont="1" applyFill="1"/>
    <xf numFmtId="167" fontId="9" fillId="6" borderId="0" xfId="5" applyNumberFormat="1" applyFont="1" applyFill="1"/>
    <xf numFmtId="10" fontId="9" fillId="6" borderId="0" xfId="5" applyNumberFormat="1" applyFont="1" applyFill="1"/>
    <xf numFmtId="174" fontId="9" fillId="6" borderId="0" xfId="5" applyNumberFormat="1" applyFont="1" applyFill="1"/>
    <xf numFmtId="174" fontId="8" fillId="6" borderId="0" xfId="5" applyNumberFormat="1" applyFont="1" applyFill="1"/>
    <xf numFmtId="0" fontId="9" fillId="6" borderId="0" xfId="5" quotePrefix="1" applyFont="1" applyFill="1"/>
    <xf numFmtId="0" fontId="23" fillId="3" borderId="0" xfId="0" applyFont="1" applyFill="1"/>
    <xf numFmtId="0" fontId="3" fillId="0" borderId="0" xfId="0" applyFont="1"/>
    <xf numFmtId="0" fontId="3" fillId="0" borderId="0" xfId="0" quotePrefix="1" applyFont="1"/>
    <xf numFmtId="0" fontId="3" fillId="2" borderId="1" xfId="0" applyFont="1" applyFill="1" applyBorder="1" applyAlignment="1">
      <alignment vertical="center"/>
    </xf>
    <xf numFmtId="0" fontId="3" fillId="2" borderId="1" xfId="0" applyFont="1" applyFill="1" applyBorder="1" applyAlignment="1">
      <alignment horizontal="right" vertical="center"/>
    </xf>
    <xf numFmtId="6"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9"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0" xfId="0" applyFont="1" applyFill="1" applyAlignment="1">
      <alignment horizontal="left" vertical="center" indent="10"/>
    </xf>
    <xf numFmtId="0" fontId="3" fillId="2" borderId="0" xfId="0" applyFont="1" applyFill="1" applyAlignment="1">
      <alignment horizontal="left" vertical="center"/>
    </xf>
    <xf numFmtId="0" fontId="3" fillId="0" borderId="0" xfId="0" applyFont="1" applyAlignment="1">
      <alignment vertical="center"/>
    </xf>
    <xf numFmtId="8" fontId="3" fillId="0" borderId="0" xfId="0" applyNumberFormat="1" applyFont="1"/>
    <xf numFmtId="0" fontId="17" fillId="2" borderId="0" xfId="0" applyFont="1" applyFill="1" applyAlignment="1">
      <alignment horizontal="left" indent="3"/>
    </xf>
    <xf numFmtId="0" fontId="23" fillId="0" borderId="0" xfId="0" applyFont="1" applyAlignment="1">
      <alignment horizontal="right"/>
    </xf>
    <xf numFmtId="0" fontId="28" fillId="0" borderId="0" xfId="0" applyFont="1"/>
    <xf numFmtId="8" fontId="22" fillId="4" borderId="1" xfId="0" applyNumberFormat="1" applyFont="1" applyFill="1" applyBorder="1" applyAlignment="1">
      <alignment horizontal="right"/>
    </xf>
    <xf numFmtId="8" fontId="23" fillId="4" borderId="1" xfId="0" applyNumberFormat="1" applyFont="1" applyFill="1" applyBorder="1" applyAlignment="1">
      <alignment horizontal="left"/>
    </xf>
    <xf numFmtId="8" fontId="23" fillId="0" borderId="0" xfId="0" applyNumberFormat="1" applyFont="1" applyAlignment="1">
      <alignment horizontal="right"/>
    </xf>
    <xf numFmtId="169" fontId="23" fillId="0" borderId="0" xfId="0" applyNumberFormat="1" applyFont="1" applyAlignment="1">
      <alignment horizontal="right"/>
    </xf>
    <xf numFmtId="8" fontId="28" fillId="0" borderId="0" xfId="0" applyNumberFormat="1" applyFont="1" applyAlignment="1">
      <alignment horizontal="right"/>
    </xf>
    <xf numFmtId="8" fontId="29" fillId="4" borderId="1" xfId="0" applyNumberFormat="1" applyFont="1" applyFill="1" applyBorder="1" applyAlignment="1">
      <alignment horizontal="right"/>
    </xf>
    <xf numFmtId="0" fontId="3" fillId="2" borderId="1" xfId="0" applyFont="1" applyFill="1" applyBorder="1" applyAlignment="1">
      <alignment horizontal="center" vertical="center"/>
    </xf>
    <xf numFmtId="0" fontId="17" fillId="2" borderId="1" xfId="0" applyFont="1" applyFill="1" applyBorder="1" applyAlignment="1">
      <alignment horizontal="center" vertical="center"/>
    </xf>
    <xf numFmtId="164" fontId="1" fillId="2" borderId="5" xfId="0" applyNumberFormat="1" applyFont="1" applyFill="1" applyBorder="1" applyAlignment="1">
      <alignment horizontal="center"/>
    </xf>
    <xf numFmtId="164" fontId="1" fillId="2" borderId="6" xfId="0" applyNumberFormat="1" applyFont="1" applyFill="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5" fillId="2" borderId="15"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6" xfId="0" applyFont="1" applyFill="1" applyBorder="1" applyAlignment="1">
      <alignment horizontal="center" vertical="center"/>
    </xf>
    <xf numFmtId="0" fontId="2" fillId="2" borderId="4" xfId="0" applyFont="1" applyFill="1" applyBorder="1" applyAlignment="1">
      <alignment horizont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9" fillId="2" borderId="1" xfId="0" applyFont="1" applyFill="1" applyBorder="1" applyAlignment="1">
      <alignment horizontal="center"/>
    </xf>
  </cellXfs>
  <cellStyles count="6">
    <cellStyle name="Comma" xfId="2" builtinId="3"/>
    <cellStyle name="Currency" xfId="4" builtinId="4"/>
    <cellStyle name="Normal" xfId="0" builtinId="0"/>
    <cellStyle name="Normal 10" xfId="5" xr:uid="{6F64FB59-F3F4-F847-9E68-6CCD6B4A4E42}"/>
    <cellStyle name="Normal 2" xfId="1" xr:uid="{CA9855CC-A0D3-4173-B72D-E517C123FA6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0</xdr:rowOff>
    </xdr:from>
    <xdr:to>
      <xdr:col>14</xdr:col>
      <xdr:colOff>130175</xdr:colOff>
      <xdr:row>18</xdr:row>
      <xdr:rowOff>180975</xdr:rowOff>
    </xdr:to>
    <xdr:sp macro="" textlink="">
      <xdr:nvSpPr>
        <xdr:cNvPr id="2" name="TextBox 1">
          <a:extLst>
            <a:ext uri="{FF2B5EF4-FFF2-40B4-BE49-F238E27FC236}">
              <a16:creationId xmlns:a16="http://schemas.microsoft.com/office/drawing/2014/main" id="{674C3336-947F-4504-AFAA-F3D8CA2C19B0}"/>
            </a:ext>
          </a:extLst>
        </xdr:cNvPr>
        <xdr:cNvSpPr txBox="1"/>
      </xdr:nvSpPr>
      <xdr:spPr>
        <a:xfrm>
          <a:off x="1219200" y="2286000"/>
          <a:ext cx="744537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ANSWER: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223234</xdr:colOff>
      <xdr:row>301</xdr:row>
      <xdr:rowOff>158750</xdr:rowOff>
    </xdr:from>
    <xdr:ext cx="2206823" cy="34996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A476948F-D7D2-2F43-AB9A-9BA6EDDD7618}"/>
                </a:ext>
              </a:extLst>
            </xdr:cNvPr>
            <xdr:cNvSpPr txBox="1"/>
          </xdr:nvSpPr>
          <xdr:spPr>
            <a:xfrm>
              <a:off x="896334" y="57842150"/>
              <a:ext cx="2206823" cy="349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𝑇𝑟𝑒𝑛𝑑</m:t>
                    </m:r>
                    <m:r>
                      <a:rPr lang="en-US" sz="1100" i="1">
                        <a:latin typeface="Cambria Math" panose="02040503050406030204" pitchFamily="18" charset="0"/>
                      </a:rPr>
                      <m:t>=</m:t>
                    </m:r>
                    <m:f>
                      <m:fPr>
                        <m:ctrlPr>
                          <a:rPr lang="en-US" sz="1100" i="1">
                            <a:latin typeface="Cambria Math" panose="02040503050406030204" pitchFamily="18" charset="0"/>
                          </a:rPr>
                        </m:ctrlPr>
                      </m:fPr>
                      <m:num>
                        <m:r>
                          <a:rPr lang="en-US" sz="1100" b="0" i="1">
                            <a:latin typeface="Cambria Math" panose="02040503050406030204" pitchFamily="18" charset="0"/>
                          </a:rPr>
                          <m:t>𝑇𝑟𝑒𝑛𝑑</m:t>
                        </m:r>
                        <m:r>
                          <a:rPr lang="en-US" sz="1100" b="0" i="1">
                            <a:latin typeface="Cambria Math" panose="02040503050406030204" pitchFamily="18" charset="0"/>
                          </a:rPr>
                          <m:t> </m:t>
                        </m:r>
                        <m:r>
                          <a:rPr lang="en-US" sz="1100" b="0" i="1">
                            <a:latin typeface="Cambria Math" panose="02040503050406030204" pitchFamily="18" charset="0"/>
                          </a:rPr>
                          <m:t>𝐹𝑎𝑐𝑡𝑜</m:t>
                        </m:r>
                        <m:sSub>
                          <m:sSubPr>
                            <m:ctrlPr>
                              <a:rPr lang="en-US" sz="1100" b="0" i="1">
                                <a:latin typeface="Cambria Math" panose="02040503050406030204" pitchFamily="18" charset="0"/>
                              </a:rPr>
                            </m:ctrlPr>
                          </m:sSubPr>
                          <m:e>
                            <m:r>
                              <a:rPr lang="en-US" sz="1100" b="0" i="1">
                                <a:latin typeface="Cambria Math" panose="02040503050406030204" pitchFamily="18" charset="0"/>
                              </a:rPr>
                              <m:t>𝑟</m:t>
                            </m:r>
                          </m:e>
                          <m:sub>
                            <m:r>
                              <a:rPr lang="en-US" sz="1100" b="0" i="1">
                                <a:latin typeface="Cambria Math" panose="02040503050406030204" pitchFamily="18" charset="0"/>
                              </a:rPr>
                              <m:t> </m:t>
                            </m:r>
                            <m:r>
                              <a:rPr lang="en-US" sz="1100" b="0" i="1">
                                <a:latin typeface="Cambria Math" panose="02040503050406030204" pitchFamily="18" charset="0"/>
                              </a:rPr>
                              <m:t>𝑌𝑒𝑎𝑟</m:t>
                            </m:r>
                            <m:r>
                              <a:rPr lang="en-US" sz="1100" b="0" i="1">
                                <a:latin typeface="Cambria Math" panose="02040503050406030204" pitchFamily="18" charset="0"/>
                              </a:rPr>
                              <m:t> </m:t>
                            </m:r>
                            <m:r>
                              <a:rPr lang="en-US" sz="1100" b="0" i="1">
                                <a:latin typeface="Cambria Math" panose="02040503050406030204" pitchFamily="18" charset="0"/>
                              </a:rPr>
                              <m:t>𝑥</m:t>
                            </m:r>
                            <m:r>
                              <a:rPr lang="en-US" sz="1100" b="0" i="1">
                                <a:latin typeface="Cambria Math" panose="02040503050406030204" pitchFamily="18" charset="0"/>
                              </a:rPr>
                              <m:t>+1</m:t>
                            </m:r>
                          </m:sub>
                        </m:sSub>
                      </m:num>
                      <m:den>
                        <m:r>
                          <a:rPr lang="en-US" sz="1100" b="0" i="1">
                            <a:latin typeface="Cambria Math" panose="02040503050406030204" pitchFamily="18" charset="0"/>
                          </a:rPr>
                          <m:t>𝑇𝑟𝑒𝑛𝑑</m:t>
                        </m:r>
                        <m:r>
                          <a:rPr lang="en-US" sz="1100" b="0" i="1">
                            <a:latin typeface="Cambria Math" panose="02040503050406030204" pitchFamily="18" charset="0"/>
                          </a:rPr>
                          <m:t> </m:t>
                        </m:r>
                        <m:r>
                          <a:rPr lang="en-US" sz="1100" b="0" i="1">
                            <a:latin typeface="Cambria Math" panose="02040503050406030204" pitchFamily="18" charset="0"/>
                          </a:rPr>
                          <m:t>𝐹𝑎𝑐𝑡𝑜</m:t>
                        </m:r>
                        <m:sSub>
                          <m:sSubPr>
                            <m:ctrlPr>
                              <a:rPr lang="en-US" sz="1100" b="0" i="1">
                                <a:latin typeface="Cambria Math" panose="02040503050406030204" pitchFamily="18" charset="0"/>
                              </a:rPr>
                            </m:ctrlPr>
                          </m:sSubPr>
                          <m:e>
                            <m:r>
                              <a:rPr lang="en-US" sz="1100" b="0" i="1">
                                <a:latin typeface="Cambria Math" panose="02040503050406030204" pitchFamily="18" charset="0"/>
                              </a:rPr>
                              <m:t>𝑟</m:t>
                            </m:r>
                          </m:e>
                          <m:sub>
                            <m:r>
                              <a:rPr lang="en-US" sz="1100" b="0" i="1">
                                <a:latin typeface="Cambria Math" panose="02040503050406030204" pitchFamily="18" charset="0"/>
                              </a:rPr>
                              <m:t>𝑌𝑒𝑎𝑟</m:t>
                            </m:r>
                            <m:r>
                              <a:rPr lang="en-US" sz="1100" b="0" i="1">
                                <a:latin typeface="Cambria Math" panose="02040503050406030204" pitchFamily="18" charset="0"/>
                              </a:rPr>
                              <m:t> </m:t>
                            </m:r>
                            <m:r>
                              <a:rPr lang="en-US" sz="1100" b="0" i="1">
                                <a:latin typeface="Cambria Math" panose="02040503050406030204" pitchFamily="18" charset="0"/>
                              </a:rPr>
                              <m:t>𝑥</m:t>
                            </m:r>
                          </m:sub>
                        </m:sSub>
                      </m:den>
                    </m:f>
                    <m:r>
                      <a:rPr lang="en-US" sz="1100" b="0" i="1">
                        <a:latin typeface="Cambria Math" panose="02040503050406030204" pitchFamily="18" charset="0"/>
                      </a:rPr>
                      <m:t> −1</m:t>
                    </m:r>
                  </m:oMath>
                </m:oMathPara>
              </a14:m>
              <a:endParaRPr lang="en-US" sz="1100"/>
            </a:p>
          </xdr:txBody>
        </xdr:sp>
      </mc:Choice>
      <mc:Fallback xmlns="">
        <xdr:sp macro="" textlink="">
          <xdr:nvSpPr>
            <xdr:cNvPr id="2" name="TextBox 1">
              <a:extLst>
                <a:ext uri="{FF2B5EF4-FFF2-40B4-BE49-F238E27FC236}">
                  <a16:creationId xmlns:a16="http://schemas.microsoft.com/office/drawing/2014/main" id="{A476948F-D7D2-2F43-AB9A-9BA6EDDD7618}"/>
                </a:ext>
              </a:extLst>
            </xdr:cNvPr>
            <xdr:cNvSpPr txBox="1"/>
          </xdr:nvSpPr>
          <xdr:spPr>
            <a:xfrm>
              <a:off x="896334" y="57842150"/>
              <a:ext cx="2206823" cy="349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𝑇𝑟𝑒𝑛𝑑</a:t>
              </a:r>
              <a:r>
                <a:rPr lang="en-US" sz="1100" i="0">
                  <a:latin typeface="Cambria Math" panose="02040503050406030204" pitchFamily="18" charset="0"/>
                </a:rPr>
                <a:t>=(</a:t>
              </a:r>
              <a:r>
                <a:rPr lang="en-US" sz="1100" b="0" i="0">
                  <a:latin typeface="Cambria Math" panose="02040503050406030204" pitchFamily="18" charset="0"/>
                </a:rPr>
                <a:t>𝑇𝑟𝑒𝑛𝑑 𝐹𝑎𝑐𝑡𝑜𝑟_( 𝑌𝑒𝑎𝑟 𝑥+1))/(𝑇𝑟𝑒𝑛𝑑 𝐹𝑎𝑐𝑡𝑜𝑟_(𝑌𝑒𝑎𝑟 𝑥) )  −1</a:t>
              </a:r>
              <a:endParaRPr lang="en-US" sz="1100"/>
            </a:p>
          </xdr:txBody>
        </xdr:sp>
      </mc:Fallback>
    </mc:AlternateContent>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1AC6C-884C-4CC0-8E9C-A7134E9E8E49}">
  <sheetPr>
    <tabColor rgb="FFFFFF00"/>
  </sheetPr>
  <dimension ref="B2:D11"/>
  <sheetViews>
    <sheetView workbookViewId="0"/>
  </sheetViews>
  <sheetFormatPr defaultColWidth="8.7109375" defaultRowHeight="15" x14ac:dyDescent="0.25"/>
  <sheetData>
    <row r="2" spans="2:4" x14ac:dyDescent="0.25">
      <c r="B2" t="s">
        <v>3</v>
      </c>
    </row>
    <row r="3" spans="2:4" x14ac:dyDescent="0.25">
      <c r="C3" t="s">
        <v>4</v>
      </c>
    </row>
    <row r="4" spans="2:4" x14ac:dyDescent="0.25">
      <c r="C4" t="s">
        <v>5</v>
      </c>
    </row>
    <row r="5" spans="2:4" x14ac:dyDescent="0.25">
      <c r="C5" t="s">
        <v>6</v>
      </c>
    </row>
    <row r="6" spans="2:4" x14ac:dyDescent="0.25">
      <c r="C6" t="s">
        <v>7</v>
      </c>
    </row>
    <row r="7" spans="2:4" x14ac:dyDescent="0.25">
      <c r="D7" t="s">
        <v>8</v>
      </c>
    </row>
    <row r="8" spans="2:4" x14ac:dyDescent="0.25">
      <c r="D8" t="s">
        <v>9</v>
      </c>
    </row>
    <row r="9" spans="2:4" x14ac:dyDescent="0.25">
      <c r="C9" t="s">
        <v>10</v>
      </c>
    </row>
    <row r="11" spans="2:4" x14ac:dyDescent="0.25">
      <c r="C11" t="s">
        <v>11</v>
      </c>
    </row>
  </sheetData>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F1B3-89DE-1E43-800C-A2B0F8A65958}">
  <sheetPr>
    <pageSetUpPr fitToPage="1"/>
  </sheetPr>
  <dimension ref="A1:AM373"/>
  <sheetViews>
    <sheetView workbookViewId="0"/>
  </sheetViews>
  <sheetFormatPr defaultColWidth="8.7109375" defaultRowHeight="15.75" x14ac:dyDescent="0.25"/>
  <cols>
    <col min="1" max="1" width="10.7109375" style="2" customWidth="1"/>
    <col min="2" max="2" width="21.42578125" style="2" customWidth="1"/>
    <col min="3" max="3" width="20.28515625" style="2" customWidth="1"/>
    <col min="4" max="4" width="14" style="2" bestFit="1" customWidth="1"/>
    <col min="5" max="6" width="16.28515625" style="2" customWidth="1"/>
    <col min="7" max="10" width="14.7109375" style="2" customWidth="1"/>
    <col min="11" max="16" width="12.42578125" style="2" customWidth="1"/>
    <col min="17" max="17" width="9.140625" style="2"/>
    <col min="18" max="18" width="3.28515625" style="2" customWidth="1"/>
    <col min="19" max="19" width="8.7109375" style="24"/>
    <col min="20" max="20" width="11.140625" style="24" customWidth="1"/>
    <col min="21" max="21" width="11" style="24" customWidth="1"/>
    <col min="22" max="22" width="9.42578125" style="24" bestFit="1" customWidth="1"/>
    <col min="23" max="23" width="11.7109375" style="24" bestFit="1" customWidth="1"/>
    <col min="24" max="24" width="10.7109375" style="24" bestFit="1" customWidth="1"/>
    <col min="25" max="26" width="9.42578125" style="24" bestFit="1" customWidth="1"/>
    <col min="27" max="27" width="8.7109375" style="24"/>
    <col min="28" max="30" width="9.42578125" style="24" bestFit="1" customWidth="1"/>
    <col min="31" max="32" width="11" style="24" customWidth="1"/>
    <col min="33" max="33" width="9.42578125" style="24" bestFit="1" customWidth="1"/>
    <col min="34" max="39" width="8.7109375" style="24"/>
    <col min="40" max="40" width="10.7109375" style="24" bestFit="1" customWidth="1"/>
    <col min="41" max="16384" width="8.7109375" style="24"/>
  </cols>
  <sheetData>
    <row r="1" spans="1:35" x14ac:dyDescent="0.25">
      <c r="A1" s="6" t="s">
        <v>21</v>
      </c>
      <c r="B1" s="1"/>
      <c r="C1" s="1"/>
      <c r="D1" s="1"/>
      <c r="E1" s="1"/>
      <c r="F1" s="1"/>
      <c r="G1" s="1"/>
      <c r="H1" s="1"/>
      <c r="I1" s="1"/>
      <c r="J1" s="1"/>
      <c r="K1" s="1"/>
      <c r="L1" s="1"/>
      <c r="M1" s="1"/>
      <c r="N1" s="1"/>
      <c r="O1" s="1"/>
      <c r="P1" s="1"/>
      <c r="Q1" s="1"/>
      <c r="R1" s="150"/>
      <c r="T1" s="24" t="s">
        <v>0</v>
      </c>
    </row>
    <row r="2" spans="1:35" x14ac:dyDescent="0.25">
      <c r="A2" s="1" t="s">
        <v>24</v>
      </c>
      <c r="B2" s="1"/>
      <c r="C2" s="1"/>
      <c r="D2" s="1"/>
      <c r="E2" s="1"/>
      <c r="F2" s="1"/>
      <c r="G2" s="1"/>
      <c r="H2" s="1"/>
      <c r="I2" s="1"/>
      <c r="J2" s="1"/>
      <c r="K2" s="1"/>
      <c r="L2" s="1"/>
      <c r="M2" s="1"/>
      <c r="N2" s="1"/>
      <c r="O2" s="1"/>
      <c r="P2" s="1"/>
      <c r="Q2" s="1"/>
      <c r="R2" s="150"/>
      <c r="T2" s="234"/>
    </row>
    <row r="3" spans="1:35" x14ac:dyDescent="0.25">
      <c r="R3" s="150"/>
      <c r="T3" s="235"/>
    </row>
    <row r="4" spans="1:35" x14ac:dyDescent="0.25">
      <c r="A4" s="4" t="s">
        <v>22</v>
      </c>
      <c r="B4" s="1"/>
      <c r="C4" s="1"/>
      <c r="D4" s="1"/>
      <c r="E4" s="1"/>
      <c r="F4" s="1"/>
      <c r="G4" s="1"/>
      <c r="H4" s="1"/>
      <c r="I4" s="1"/>
      <c r="J4" s="1"/>
      <c r="K4" s="1"/>
      <c r="L4" s="1"/>
      <c r="M4" s="1"/>
      <c r="N4" s="1"/>
      <c r="O4" s="1"/>
      <c r="P4" s="1"/>
      <c r="Q4" s="1"/>
      <c r="R4" s="150"/>
      <c r="T4" s="235"/>
      <c r="AF4" s="20"/>
    </row>
    <row r="5" spans="1:35" x14ac:dyDescent="0.25">
      <c r="R5" s="150"/>
      <c r="T5" s="235"/>
    </row>
    <row r="6" spans="1:35" x14ac:dyDescent="0.25">
      <c r="A6" s="7" t="s">
        <v>197</v>
      </c>
      <c r="B6" s="7"/>
      <c r="C6" s="1"/>
      <c r="D6" s="1"/>
      <c r="E6" s="1"/>
      <c r="F6" s="1"/>
      <c r="G6" s="1"/>
      <c r="H6" s="1"/>
      <c r="I6" s="1"/>
      <c r="J6" s="1"/>
      <c r="K6" s="1"/>
      <c r="L6" s="1"/>
      <c r="M6" s="1"/>
      <c r="N6" s="1"/>
      <c r="O6" s="1"/>
      <c r="P6" s="1"/>
      <c r="Q6" s="1"/>
      <c r="R6" s="150"/>
    </row>
    <row r="7" spans="1:35" x14ac:dyDescent="0.25">
      <c r="A7" s="7"/>
      <c r="B7" s="7"/>
      <c r="C7" s="1"/>
      <c r="D7" s="1"/>
      <c r="E7" s="1"/>
      <c r="F7" s="1"/>
      <c r="G7" s="1"/>
      <c r="H7" s="1"/>
      <c r="I7" s="1"/>
      <c r="J7" s="1"/>
      <c r="K7" s="1"/>
      <c r="L7" s="1"/>
      <c r="M7" s="1"/>
      <c r="N7" s="1"/>
      <c r="O7" s="1"/>
      <c r="P7" s="1"/>
      <c r="Q7" s="1"/>
      <c r="R7" s="150"/>
      <c r="T7" s="2" t="s">
        <v>478</v>
      </c>
    </row>
    <row r="8" spans="1:35" x14ac:dyDescent="0.25">
      <c r="A8" s="7" t="s">
        <v>198</v>
      </c>
      <c r="B8" s="7"/>
      <c r="C8" s="1"/>
      <c r="D8" s="1"/>
      <c r="E8" s="1"/>
      <c r="F8" s="1"/>
      <c r="G8" s="1"/>
      <c r="H8" s="1"/>
      <c r="I8" s="1"/>
      <c r="J8" s="1"/>
      <c r="K8" s="1"/>
      <c r="L8" s="1"/>
      <c r="M8" s="1"/>
      <c r="N8" s="1"/>
      <c r="O8" s="1"/>
      <c r="P8" s="1"/>
      <c r="Q8" s="1"/>
      <c r="R8" s="150"/>
    </row>
    <row r="9" spans="1:35" x14ac:dyDescent="0.25">
      <c r="A9" s="7"/>
      <c r="B9" s="7"/>
      <c r="C9" s="1"/>
      <c r="D9" s="1"/>
      <c r="E9" s="1"/>
      <c r="F9" s="1"/>
      <c r="G9" s="1"/>
      <c r="H9" s="1"/>
      <c r="I9" s="1"/>
      <c r="J9" s="1"/>
      <c r="K9" s="1"/>
      <c r="L9" s="1"/>
      <c r="M9" s="1"/>
      <c r="N9" s="1"/>
      <c r="O9" s="1"/>
      <c r="P9" s="1"/>
      <c r="Q9" s="1"/>
      <c r="R9" s="150"/>
      <c r="T9" s="236"/>
    </row>
    <row r="10" spans="1:35" x14ac:dyDescent="0.25">
      <c r="A10" s="26" t="s">
        <v>278</v>
      </c>
      <c r="B10" s="7"/>
      <c r="C10" s="1"/>
      <c r="D10" s="1"/>
      <c r="E10" s="1"/>
      <c r="F10" s="1"/>
      <c r="G10" s="1"/>
      <c r="H10" s="1"/>
      <c r="I10" s="1"/>
      <c r="J10" s="1"/>
      <c r="K10" s="1"/>
      <c r="L10" s="1"/>
      <c r="M10" s="1"/>
      <c r="N10" s="1"/>
      <c r="O10" s="1"/>
      <c r="P10" s="1"/>
      <c r="Q10" s="1"/>
      <c r="R10" s="150"/>
      <c r="T10" s="237"/>
    </row>
    <row r="11" spans="1:35" x14ac:dyDescent="0.25">
      <c r="A11" s="26" t="s">
        <v>279</v>
      </c>
      <c r="B11" s="7"/>
      <c r="C11" s="1"/>
      <c r="D11" s="1"/>
      <c r="E11" s="1"/>
      <c r="F11" s="1"/>
      <c r="G11" s="1"/>
      <c r="H11" s="1"/>
      <c r="I11" s="1"/>
      <c r="J11" s="1"/>
      <c r="K11" s="1"/>
      <c r="L11" s="1"/>
      <c r="M11" s="1"/>
      <c r="N11" s="1"/>
      <c r="O11" s="1"/>
      <c r="P11" s="1"/>
      <c r="Q11" s="1"/>
      <c r="R11" s="150"/>
    </row>
    <row r="12" spans="1:35" x14ac:dyDescent="0.25">
      <c r="A12" s="26" t="s">
        <v>280</v>
      </c>
      <c r="B12" s="7"/>
      <c r="C12" s="1"/>
      <c r="D12" s="1"/>
      <c r="E12" s="1"/>
      <c r="F12" s="1"/>
      <c r="G12" s="1"/>
      <c r="H12" s="1"/>
      <c r="I12" s="1"/>
      <c r="J12" s="1"/>
      <c r="K12" s="1"/>
      <c r="L12" s="1"/>
      <c r="M12" s="1"/>
      <c r="N12" s="1"/>
      <c r="O12" s="1"/>
      <c r="P12" s="1"/>
      <c r="Q12" s="1"/>
      <c r="R12" s="150"/>
      <c r="T12" s="238"/>
      <c r="AI12" s="239"/>
    </row>
    <row r="13" spans="1:35" x14ac:dyDescent="0.25">
      <c r="A13" s="7"/>
      <c r="B13" s="7"/>
      <c r="C13" s="1"/>
      <c r="D13" s="1"/>
      <c r="E13" s="1"/>
      <c r="F13" s="1"/>
      <c r="G13" s="1"/>
      <c r="H13" s="1"/>
      <c r="I13" s="1"/>
      <c r="J13" s="1"/>
      <c r="K13" s="1"/>
      <c r="L13" s="1"/>
      <c r="M13" s="1"/>
      <c r="N13" s="1"/>
      <c r="O13" s="1"/>
      <c r="P13" s="1"/>
      <c r="Q13" s="1"/>
      <c r="R13" s="150"/>
      <c r="T13" s="239"/>
      <c r="AI13" s="239"/>
    </row>
    <row r="14" spans="1:35" x14ac:dyDescent="0.25">
      <c r="A14" s="7" t="s">
        <v>199</v>
      </c>
      <c r="B14" s="7"/>
      <c r="C14" s="1"/>
      <c r="D14" s="1"/>
      <c r="E14" s="1"/>
      <c r="F14" s="1"/>
      <c r="G14" s="1"/>
      <c r="H14" s="1"/>
      <c r="I14" s="1"/>
      <c r="J14" s="1"/>
      <c r="K14" s="1"/>
      <c r="L14" s="1"/>
      <c r="M14" s="1"/>
      <c r="N14" s="1"/>
      <c r="O14" s="1"/>
      <c r="P14" s="1"/>
      <c r="Q14" s="1"/>
      <c r="R14" s="150"/>
      <c r="T14" s="240"/>
      <c r="U14" s="241"/>
      <c r="V14" s="242"/>
      <c r="W14" s="242"/>
      <c r="X14" s="242"/>
      <c r="Y14" s="242"/>
    </row>
    <row r="15" spans="1:35" x14ac:dyDescent="0.25">
      <c r="A15" s="7" t="s">
        <v>200</v>
      </c>
      <c r="B15" s="7"/>
      <c r="C15" s="1"/>
      <c r="D15" s="1"/>
      <c r="E15" s="1"/>
      <c r="F15" s="1"/>
      <c r="G15" s="1"/>
      <c r="H15" s="1"/>
      <c r="I15" s="1"/>
      <c r="J15" s="1"/>
      <c r="K15" s="1"/>
      <c r="L15" s="1"/>
      <c r="M15" s="1"/>
      <c r="N15" s="1"/>
      <c r="O15" s="1"/>
      <c r="P15" s="1"/>
      <c r="Q15" s="1"/>
      <c r="R15" s="150"/>
      <c r="T15" s="241"/>
      <c r="U15" s="240"/>
      <c r="V15" s="242"/>
      <c r="W15" s="242"/>
      <c r="X15" s="242"/>
    </row>
    <row r="16" spans="1:35" x14ac:dyDescent="0.25">
      <c r="A16" s="26" t="s">
        <v>281</v>
      </c>
      <c r="B16" s="7"/>
      <c r="C16" s="1"/>
      <c r="D16" s="1"/>
      <c r="E16" s="1"/>
      <c r="F16" s="1"/>
      <c r="G16" s="1"/>
      <c r="H16" s="1"/>
      <c r="I16" s="1"/>
      <c r="J16" s="1"/>
      <c r="K16" s="1"/>
      <c r="L16" s="1"/>
      <c r="M16" s="1"/>
      <c r="N16" s="1"/>
      <c r="O16" s="1"/>
      <c r="P16" s="1"/>
      <c r="Q16" s="1"/>
      <c r="R16" s="150"/>
      <c r="T16" s="241"/>
      <c r="U16" s="240"/>
      <c r="V16" s="242"/>
      <c r="W16" s="242"/>
      <c r="X16" s="242"/>
    </row>
    <row r="17" spans="1:24" x14ac:dyDescent="0.25">
      <c r="A17" s="26" t="s">
        <v>282</v>
      </c>
      <c r="B17" s="7"/>
      <c r="C17" s="1"/>
      <c r="D17" s="1"/>
      <c r="E17" s="1"/>
      <c r="F17" s="1"/>
      <c r="G17" s="1"/>
      <c r="H17" s="1"/>
      <c r="I17" s="1"/>
      <c r="J17" s="1"/>
      <c r="K17" s="1"/>
      <c r="L17" s="1"/>
      <c r="M17" s="1"/>
      <c r="N17" s="1"/>
      <c r="O17" s="1"/>
      <c r="P17" s="1"/>
      <c r="Q17" s="1"/>
      <c r="R17" s="150"/>
      <c r="T17" s="241"/>
      <c r="U17" s="240"/>
      <c r="V17" s="242"/>
      <c r="W17" s="242"/>
      <c r="X17" s="242"/>
    </row>
    <row r="18" spans="1:24" x14ac:dyDescent="0.25">
      <c r="A18" s="26" t="s">
        <v>283</v>
      </c>
      <c r="B18" s="7"/>
      <c r="C18" s="1"/>
      <c r="D18" s="1"/>
      <c r="E18" s="1"/>
      <c r="F18" s="1"/>
      <c r="G18" s="1"/>
      <c r="H18" s="1"/>
      <c r="I18" s="1"/>
      <c r="J18" s="1"/>
      <c r="K18" s="1"/>
      <c r="L18" s="1"/>
      <c r="M18" s="1"/>
      <c r="N18" s="1"/>
      <c r="O18" s="1"/>
      <c r="P18" s="1"/>
      <c r="Q18" s="1"/>
      <c r="R18" s="150"/>
      <c r="T18" s="241"/>
      <c r="U18" s="240"/>
      <c r="V18" s="242"/>
      <c r="W18" s="242"/>
      <c r="X18" s="242"/>
    </row>
    <row r="19" spans="1:24" x14ac:dyDescent="0.25">
      <c r="A19" s="26" t="s">
        <v>284</v>
      </c>
      <c r="B19" s="7"/>
      <c r="C19" s="1"/>
      <c r="D19" s="1"/>
      <c r="E19" s="1"/>
      <c r="F19" s="1"/>
      <c r="G19" s="1"/>
      <c r="H19" s="1"/>
      <c r="I19" s="1"/>
      <c r="J19" s="1"/>
      <c r="K19" s="1"/>
      <c r="L19" s="1"/>
      <c r="M19" s="1"/>
      <c r="N19" s="1"/>
      <c r="O19" s="1"/>
      <c r="P19" s="1"/>
      <c r="Q19" s="1"/>
      <c r="R19" s="150"/>
      <c r="T19" s="241"/>
      <c r="U19" s="240"/>
      <c r="V19" s="242"/>
      <c r="W19" s="242"/>
      <c r="X19" s="242"/>
    </row>
    <row r="20" spans="1:24" x14ac:dyDescent="0.25">
      <c r="A20" s="26" t="s">
        <v>285</v>
      </c>
      <c r="B20" s="7"/>
      <c r="C20" s="1"/>
      <c r="D20" s="1"/>
      <c r="E20" s="1"/>
      <c r="F20" s="1"/>
      <c r="G20" s="1"/>
      <c r="H20" s="1"/>
      <c r="I20" s="1"/>
      <c r="J20" s="1"/>
      <c r="K20" s="1"/>
      <c r="L20" s="1"/>
      <c r="M20" s="1"/>
      <c r="N20" s="1"/>
      <c r="O20" s="1"/>
      <c r="P20" s="1"/>
      <c r="Q20" s="1"/>
      <c r="R20" s="150"/>
    </row>
    <row r="21" spans="1:24" x14ac:dyDescent="0.25">
      <c r="A21" s="7"/>
      <c r="B21" s="7"/>
      <c r="C21" s="1"/>
      <c r="D21" s="1"/>
      <c r="E21" s="1"/>
      <c r="F21" s="1"/>
      <c r="G21" s="1"/>
      <c r="H21" s="1"/>
      <c r="I21" s="1"/>
      <c r="J21" s="1"/>
      <c r="K21" s="1"/>
      <c r="L21" s="1"/>
      <c r="M21" s="1"/>
      <c r="N21" s="1"/>
      <c r="O21" s="1"/>
      <c r="P21" s="1"/>
      <c r="Q21" s="1"/>
      <c r="R21" s="150"/>
      <c r="T21" s="24" t="s">
        <v>395</v>
      </c>
    </row>
    <row r="22" spans="1:24" x14ac:dyDescent="0.25">
      <c r="A22" s="90" t="s">
        <v>201</v>
      </c>
      <c r="B22" s="7"/>
      <c r="C22" s="1"/>
      <c r="D22" s="1"/>
      <c r="E22" s="1"/>
      <c r="F22" s="1"/>
      <c r="G22" s="1"/>
      <c r="H22" s="1"/>
      <c r="I22" s="1"/>
      <c r="J22" s="1"/>
      <c r="K22" s="1"/>
      <c r="L22" s="1"/>
      <c r="M22" s="1"/>
      <c r="N22" s="1"/>
      <c r="O22" s="1"/>
      <c r="P22" s="1"/>
      <c r="Q22" s="1"/>
      <c r="R22" s="150"/>
      <c r="T22" s="243" t="s">
        <v>396</v>
      </c>
    </row>
    <row r="23" spans="1:24" x14ac:dyDescent="0.25">
      <c r="A23" s="7"/>
      <c r="B23" s="7"/>
      <c r="C23" s="1"/>
      <c r="D23" s="1"/>
      <c r="E23" s="1"/>
      <c r="F23" s="1"/>
      <c r="G23" s="1"/>
      <c r="H23" s="1"/>
      <c r="I23" s="1"/>
      <c r="J23" s="1"/>
      <c r="K23" s="1"/>
      <c r="L23" s="1"/>
      <c r="M23" s="1"/>
      <c r="N23" s="1"/>
      <c r="O23" s="1"/>
      <c r="P23" s="1"/>
      <c r="Q23" s="1"/>
      <c r="R23" s="150"/>
      <c r="T23" s="243" t="s">
        <v>397</v>
      </c>
    </row>
    <row r="24" spans="1:24" x14ac:dyDescent="0.25">
      <c r="A24" s="125"/>
      <c r="B24" s="126" t="s">
        <v>202</v>
      </c>
      <c r="C24" s="126" t="s">
        <v>203</v>
      </c>
      <c r="D24" s="1"/>
      <c r="E24" s="1"/>
      <c r="F24" s="1"/>
      <c r="G24" s="1"/>
      <c r="H24" s="1"/>
      <c r="I24" s="1"/>
      <c r="J24" s="1"/>
      <c r="K24" s="1"/>
      <c r="L24" s="1"/>
      <c r="M24" s="1"/>
      <c r="N24" s="1"/>
      <c r="O24" s="1"/>
      <c r="P24" s="1"/>
      <c r="Q24" s="1"/>
      <c r="R24" s="150"/>
      <c r="T24" s="243" t="s">
        <v>398</v>
      </c>
    </row>
    <row r="25" spans="1:24" x14ac:dyDescent="0.25">
      <c r="A25" s="127" t="s">
        <v>204</v>
      </c>
      <c r="B25" s="128">
        <v>3500</v>
      </c>
      <c r="C25" s="128">
        <v>1000</v>
      </c>
      <c r="D25" s="1"/>
      <c r="E25" s="1"/>
      <c r="F25" s="1"/>
      <c r="G25" s="1"/>
      <c r="H25" s="1"/>
      <c r="I25" s="1"/>
      <c r="J25" s="1"/>
      <c r="K25" s="1"/>
      <c r="L25" s="1"/>
      <c r="M25" s="1"/>
      <c r="N25" s="1"/>
      <c r="O25" s="1"/>
      <c r="P25" s="1"/>
      <c r="Q25" s="1"/>
      <c r="R25" s="150"/>
    </row>
    <row r="26" spans="1:24" x14ac:dyDescent="0.25">
      <c r="A26" s="127" t="s">
        <v>205</v>
      </c>
      <c r="B26" s="129" t="s">
        <v>206</v>
      </c>
      <c r="C26" s="129" t="s">
        <v>206</v>
      </c>
      <c r="D26" s="1"/>
      <c r="E26" s="1"/>
      <c r="F26" s="1"/>
      <c r="G26" s="1"/>
      <c r="H26" s="1"/>
      <c r="I26" s="1"/>
      <c r="J26" s="1"/>
      <c r="K26" s="1"/>
      <c r="L26" s="1"/>
      <c r="M26" s="1"/>
      <c r="N26" s="1"/>
      <c r="O26" s="1"/>
      <c r="P26" s="1"/>
      <c r="Q26" s="1"/>
      <c r="R26" s="150"/>
      <c r="T26" s="241" t="s">
        <v>399</v>
      </c>
    </row>
    <row r="27" spans="1:24" x14ac:dyDescent="0.25">
      <c r="A27" s="7"/>
      <c r="B27" s="7"/>
      <c r="C27" s="1"/>
      <c r="D27" s="1"/>
      <c r="E27" s="1"/>
      <c r="F27" s="1"/>
      <c r="G27" s="1"/>
      <c r="H27" s="1"/>
      <c r="I27" s="1"/>
      <c r="J27" s="1"/>
      <c r="K27" s="1"/>
      <c r="L27" s="1"/>
      <c r="M27" s="1"/>
      <c r="N27" s="1"/>
      <c r="O27" s="1"/>
      <c r="P27" s="1"/>
      <c r="Q27" s="1"/>
      <c r="R27" s="150"/>
      <c r="T27" s="234" t="s">
        <v>400</v>
      </c>
    </row>
    <row r="28" spans="1:24" x14ac:dyDescent="0.25">
      <c r="A28" s="90" t="s">
        <v>250</v>
      </c>
      <c r="B28" s="7"/>
      <c r="C28" s="1"/>
      <c r="D28" s="1"/>
      <c r="E28" s="1"/>
      <c r="F28" s="1"/>
      <c r="G28" s="1"/>
      <c r="H28" s="1"/>
      <c r="I28" s="1"/>
      <c r="J28" s="1"/>
      <c r="K28" s="1"/>
      <c r="L28" s="1"/>
      <c r="M28" s="1"/>
      <c r="N28" s="1"/>
      <c r="O28" s="1"/>
      <c r="P28" s="1"/>
      <c r="Q28" s="1"/>
      <c r="R28" s="150"/>
      <c r="T28" s="234" t="s">
        <v>401</v>
      </c>
    </row>
    <row r="29" spans="1:24" x14ac:dyDescent="0.25">
      <c r="A29" s="7"/>
      <c r="B29" s="7"/>
      <c r="C29" s="1"/>
      <c r="D29" s="1"/>
      <c r="E29" s="1"/>
      <c r="F29" s="1"/>
      <c r="G29" s="1"/>
      <c r="H29" s="1"/>
      <c r="I29" s="1"/>
      <c r="J29" s="1"/>
      <c r="K29" s="1"/>
      <c r="L29" s="1"/>
      <c r="M29" s="1"/>
      <c r="N29" s="1"/>
      <c r="O29" s="1"/>
      <c r="P29" s="1"/>
      <c r="Q29" s="1"/>
      <c r="R29" s="150"/>
      <c r="T29" s="234" t="s">
        <v>402</v>
      </c>
    </row>
    <row r="30" spans="1:24" x14ac:dyDescent="0.25">
      <c r="A30" s="26" t="s">
        <v>286</v>
      </c>
      <c r="B30" s="7"/>
      <c r="C30" s="1"/>
      <c r="D30" s="1"/>
      <c r="E30" s="1"/>
      <c r="F30" s="1"/>
      <c r="G30" s="1"/>
      <c r="H30" s="1"/>
      <c r="I30" s="1"/>
      <c r="J30" s="1"/>
      <c r="K30" s="1"/>
      <c r="L30" s="1"/>
      <c r="M30" s="1"/>
      <c r="N30" s="1"/>
      <c r="O30" s="1"/>
      <c r="P30" s="1"/>
      <c r="Q30" s="1"/>
      <c r="R30" s="150"/>
      <c r="T30" s="234" t="s">
        <v>403</v>
      </c>
    </row>
    <row r="31" spans="1:24" x14ac:dyDescent="0.25">
      <c r="A31" s="26" t="s">
        <v>287</v>
      </c>
      <c r="B31" s="7"/>
      <c r="C31" s="1"/>
      <c r="D31" s="1"/>
      <c r="E31" s="1"/>
      <c r="F31" s="1"/>
      <c r="G31" s="1"/>
      <c r="H31" s="1"/>
      <c r="I31" s="1"/>
      <c r="J31" s="1"/>
      <c r="K31" s="1"/>
      <c r="L31" s="1"/>
      <c r="M31" s="1"/>
      <c r="N31" s="1"/>
      <c r="O31" s="1"/>
      <c r="P31" s="1"/>
      <c r="Q31" s="1"/>
      <c r="R31" s="150"/>
      <c r="T31" s="234" t="s">
        <v>404</v>
      </c>
    </row>
    <row r="32" spans="1:24" x14ac:dyDescent="0.25">
      <c r="A32" s="26" t="s">
        <v>288</v>
      </c>
      <c r="B32" s="7"/>
      <c r="C32" s="1"/>
      <c r="D32" s="1"/>
      <c r="E32" s="1"/>
      <c r="F32" s="1"/>
      <c r="G32" s="1"/>
      <c r="H32" s="1"/>
      <c r="I32" s="1"/>
      <c r="J32" s="1"/>
      <c r="K32" s="1"/>
      <c r="L32" s="1"/>
      <c r="M32" s="1"/>
      <c r="N32" s="1"/>
      <c r="O32" s="1"/>
      <c r="P32" s="1"/>
      <c r="Q32" s="1"/>
      <c r="R32" s="150"/>
    </row>
    <row r="33" spans="1:35" x14ac:dyDescent="0.25">
      <c r="A33" s="26" t="s">
        <v>289</v>
      </c>
      <c r="B33" s="7"/>
      <c r="C33" s="1"/>
      <c r="D33" s="1"/>
      <c r="E33" s="1"/>
      <c r="F33" s="1"/>
      <c r="G33" s="1"/>
      <c r="H33" s="1"/>
      <c r="I33" s="1"/>
      <c r="J33" s="1"/>
      <c r="K33" s="1"/>
      <c r="L33" s="1"/>
      <c r="M33" s="1"/>
      <c r="N33" s="1"/>
      <c r="O33" s="1"/>
      <c r="P33" s="1"/>
      <c r="Q33" s="1"/>
      <c r="R33" s="150"/>
      <c r="T33" s="24" t="s">
        <v>201</v>
      </c>
    </row>
    <row r="34" spans="1:35" ht="45" x14ac:dyDescent="0.25">
      <c r="A34" s="26" t="s">
        <v>290</v>
      </c>
      <c r="B34" s="7"/>
      <c r="C34" s="1"/>
      <c r="D34" s="1"/>
      <c r="E34" s="1"/>
      <c r="F34" s="1"/>
      <c r="G34" s="1"/>
      <c r="H34" s="1"/>
      <c r="I34" s="1"/>
      <c r="J34" s="1"/>
      <c r="K34" s="1"/>
      <c r="L34" s="1"/>
      <c r="M34" s="1"/>
      <c r="N34" s="1"/>
      <c r="O34" s="1"/>
      <c r="P34" s="1"/>
      <c r="Q34" s="1"/>
      <c r="R34" s="150"/>
      <c r="T34" s="244"/>
      <c r="U34" s="245" t="s">
        <v>202</v>
      </c>
      <c r="V34" s="245" t="s">
        <v>203</v>
      </c>
    </row>
    <row r="35" spans="1:35" x14ac:dyDescent="0.25">
      <c r="A35" s="91"/>
      <c r="B35" s="7"/>
      <c r="C35" s="1"/>
      <c r="D35" s="1"/>
      <c r="E35" s="1"/>
      <c r="F35" s="1"/>
      <c r="G35" s="1"/>
      <c r="H35" s="1"/>
      <c r="I35" s="1"/>
      <c r="J35" s="1"/>
      <c r="K35" s="1"/>
      <c r="L35" s="1"/>
      <c r="M35" s="1"/>
      <c r="N35" s="1"/>
      <c r="O35" s="1"/>
      <c r="P35" s="1"/>
      <c r="Q35" s="1"/>
      <c r="R35" s="150"/>
      <c r="T35" s="246" t="s">
        <v>204</v>
      </c>
      <c r="U35" s="247">
        <v>3500</v>
      </c>
      <c r="V35" s="247">
        <v>1000</v>
      </c>
    </row>
    <row r="36" spans="1:35" x14ac:dyDescent="0.25">
      <c r="A36" s="141" t="s">
        <v>293</v>
      </c>
      <c r="B36" s="1"/>
      <c r="C36" s="1"/>
      <c r="D36" s="1"/>
      <c r="E36" s="1"/>
      <c r="F36" s="1"/>
      <c r="G36" s="1"/>
      <c r="H36" s="1"/>
      <c r="I36" s="1"/>
      <c r="J36" s="1"/>
      <c r="K36" s="1"/>
      <c r="L36" s="1"/>
      <c r="M36" s="1"/>
      <c r="N36" s="1"/>
      <c r="O36" s="1"/>
      <c r="P36" s="1"/>
      <c r="Q36" s="1"/>
      <c r="R36" s="150"/>
      <c r="T36" s="246" t="s">
        <v>205</v>
      </c>
      <c r="U36" s="248" t="s">
        <v>206</v>
      </c>
      <c r="V36" s="248" t="s">
        <v>206</v>
      </c>
    </row>
    <row r="37" spans="1:35" ht="78.75" x14ac:dyDescent="0.25">
      <c r="A37" s="142" t="s">
        <v>183</v>
      </c>
      <c r="B37" s="142" t="s">
        <v>263</v>
      </c>
      <c r="C37" s="142" t="s">
        <v>264</v>
      </c>
      <c r="D37" s="142" t="s">
        <v>265</v>
      </c>
      <c r="E37" s="142" t="s">
        <v>266</v>
      </c>
      <c r="F37" s="142" t="s">
        <v>267</v>
      </c>
      <c r="G37" s="142" t="s">
        <v>268</v>
      </c>
      <c r="H37" s="142" t="s">
        <v>269</v>
      </c>
      <c r="I37" s="142" t="s">
        <v>270</v>
      </c>
      <c r="J37" s="142" t="s">
        <v>271</v>
      </c>
      <c r="K37" s="142" t="s">
        <v>272</v>
      </c>
      <c r="L37" s="142" t="s">
        <v>273</v>
      </c>
      <c r="M37" s="142" t="s">
        <v>274</v>
      </c>
      <c r="N37" s="142" t="s">
        <v>275</v>
      </c>
      <c r="O37" s="142" t="s">
        <v>276</v>
      </c>
      <c r="P37" s="142" t="s">
        <v>277</v>
      </c>
      <c r="Q37" s="1"/>
      <c r="R37" s="150"/>
    </row>
    <row r="38" spans="1:35" x14ac:dyDescent="0.25">
      <c r="A38" s="143">
        <v>2024</v>
      </c>
      <c r="B38" s="143">
        <v>40</v>
      </c>
      <c r="C38" s="143">
        <v>5</v>
      </c>
      <c r="D38" s="143">
        <v>0</v>
      </c>
      <c r="E38" s="144">
        <v>0</v>
      </c>
      <c r="F38" s="144">
        <v>0.97590007294853309</v>
      </c>
      <c r="G38" s="144">
        <v>0.47760556926165926</v>
      </c>
      <c r="H38" s="144">
        <v>1</v>
      </c>
      <c r="I38" s="145">
        <v>15000</v>
      </c>
      <c r="J38" s="145">
        <v>7164.0835389248887</v>
      </c>
      <c r="K38" s="145">
        <v>0</v>
      </c>
      <c r="L38" s="145">
        <v>0</v>
      </c>
      <c r="M38" s="145">
        <v>3500</v>
      </c>
      <c r="N38" s="145">
        <v>3500</v>
      </c>
      <c r="O38" s="145">
        <v>0</v>
      </c>
      <c r="P38" s="145">
        <v>0</v>
      </c>
      <c r="Q38" s="1"/>
      <c r="R38" s="150"/>
      <c r="T38" s="249" t="s">
        <v>405</v>
      </c>
    </row>
    <row r="39" spans="1:35" x14ac:dyDescent="0.25">
      <c r="A39" s="143">
        <v>2025</v>
      </c>
      <c r="B39" s="143">
        <v>41</v>
      </c>
      <c r="C39" s="143">
        <v>6</v>
      </c>
      <c r="D39" s="143">
        <v>0</v>
      </c>
      <c r="E39" s="144">
        <v>0</v>
      </c>
      <c r="F39" s="144">
        <v>0.92942864090336486</v>
      </c>
      <c r="G39" s="144">
        <v>0.49193373633950904</v>
      </c>
      <c r="H39" s="144">
        <v>1.075</v>
      </c>
      <c r="I39" s="145">
        <v>15000</v>
      </c>
      <c r="J39" s="145">
        <v>7932.4314984745833</v>
      </c>
      <c r="K39" s="145">
        <v>0</v>
      </c>
      <c r="L39" s="145">
        <v>0</v>
      </c>
      <c r="M39" s="145">
        <v>3500</v>
      </c>
      <c r="N39" s="145">
        <v>3500</v>
      </c>
      <c r="O39" s="145">
        <v>0</v>
      </c>
      <c r="P39" s="145">
        <v>0</v>
      </c>
      <c r="Q39" s="1"/>
      <c r="R39" s="150"/>
      <c r="T39" s="234" t="s">
        <v>406</v>
      </c>
    </row>
    <row r="40" spans="1:35" x14ac:dyDescent="0.25">
      <c r="A40" s="143">
        <v>2026</v>
      </c>
      <c r="B40" s="143">
        <v>42</v>
      </c>
      <c r="C40" s="143">
        <v>7</v>
      </c>
      <c r="D40" s="143">
        <v>0</v>
      </c>
      <c r="E40" s="144">
        <v>0</v>
      </c>
      <c r="F40" s="144">
        <v>0.88517013419368074</v>
      </c>
      <c r="G40" s="144">
        <v>0.50669174842969433</v>
      </c>
      <c r="H40" s="144">
        <v>1.1529374999999999</v>
      </c>
      <c r="I40" s="145">
        <v>15000</v>
      </c>
      <c r="J40" s="145">
        <v>8762.7587655774114</v>
      </c>
      <c r="K40" s="145">
        <v>0</v>
      </c>
      <c r="L40" s="145">
        <v>0</v>
      </c>
      <c r="M40" s="145">
        <v>3500</v>
      </c>
      <c r="N40" s="145">
        <v>3500</v>
      </c>
      <c r="O40" s="145">
        <v>0</v>
      </c>
      <c r="P40" s="145">
        <v>0</v>
      </c>
      <c r="Q40" s="1"/>
      <c r="R40" s="150"/>
      <c r="T40" s="234" t="s">
        <v>407</v>
      </c>
    </row>
    <row r="41" spans="1:35" x14ac:dyDescent="0.25">
      <c r="A41" s="143">
        <v>2027</v>
      </c>
      <c r="B41" s="143">
        <v>43</v>
      </c>
      <c r="C41" s="143">
        <v>8</v>
      </c>
      <c r="D41" s="143">
        <v>0</v>
      </c>
      <c r="E41" s="144">
        <v>0</v>
      </c>
      <c r="F41" s="144">
        <v>0.843019175422553</v>
      </c>
      <c r="G41" s="144">
        <v>0.52189250088258521</v>
      </c>
      <c r="H41" s="144">
        <v>1.233643125</v>
      </c>
      <c r="I41" s="145">
        <v>15000</v>
      </c>
      <c r="J41" s="145">
        <v>9657.4364355428643</v>
      </c>
      <c r="K41" s="145">
        <v>0</v>
      </c>
      <c r="L41" s="145">
        <v>0</v>
      </c>
      <c r="M41" s="145">
        <v>3500</v>
      </c>
      <c r="N41" s="145">
        <v>3500</v>
      </c>
      <c r="O41" s="145">
        <v>0</v>
      </c>
      <c r="P41" s="145">
        <v>0</v>
      </c>
      <c r="Q41" s="1"/>
      <c r="R41" s="150"/>
      <c r="T41" s="234" t="s">
        <v>408</v>
      </c>
    </row>
    <row r="42" spans="1:35" x14ac:dyDescent="0.25">
      <c r="A42" s="143">
        <v>2028</v>
      </c>
      <c r="B42" s="143">
        <v>44</v>
      </c>
      <c r="C42" s="143">
        <v>9</v>
      </c>
      <c r="D42" s="143">
        <v>0</v>
      </c>
      <c r="E42" s="144">
        <v>0</v>
      </c>
      <c r="F42" s="144">
        <v>0.8028754051643362</v>
      </c>
      <c r="G42" s="144">
        <v>0.53754927590906276</v>
      </c>
      <c r="H42" s="144">
        <v>1.3169140359374998</v>
      </c>
      <c r="I42" s="145">
        <v>15000</v>
      </c>
      <c r="J42" s="145">
        <v>10618.592796790266</v>
      </c>
      <c r="K42" s="145">
        <v>0</v>
      </c>
      <c r="L42" s="145">
        <v>0</v>
      </c>
      <c r="M42" s="145">
        <v>3500</v>
      </c>
      <c r="N42" s="145">
        <v>3500</v>
      </c>
      <c r="O42" s="145">
        <v>0</v>
      </c>
      <c r="P42" s="145">
        <v>0</v>
      </c>
      <c r="Q42" s="1"/>
      <c r="R42" s="150"/>
      <c r="T42" s="234" t="s">
        <v>409</v>
      </c>
    </row>
    <row r="43" spans="1:35" x14ac:dyDescent="0.25">
      <c r="A43" s="143">
        <v>2029</v>
      </c>
      <c r="B43" s="143">
        <v>45</v>
      </c>
      <c r="C43" s="143">
        <v>10</v>
      </c>
      <c r="D43" s="143">
        <v>0</v>
      </c>
      <c r="E43" s="144">
        <v>0</v>
      </c>
      <c r="F43" s="144">
        <v>0.7646432430136535</v>
      </c>
      <c r="G43" s="144">
        <v>0.55367575418633463</v>
      </c>
      <c r="H43" s="144">
        <v>1.4025134482734372</v>
      </c>
      <c r="I43" s="145">
        <v>15000</v>
      </c>
      <c r="J43" s="145">
        <v>11648.065368439082</v>
      </c>
      <c r="K43" s="145">
        <v>0</v>
      </c>
      <c r="L43" s="145">
        <v>0</v>
      </c>
      <c r="M43" s="145">
        <v>3500</v>
      </c>
      <c r="N43" s="145">
        <v>3500</v>
      </c>
      <c r="O43" s="145">
        <v>0</v>
      </c>
      <c r="P43" s="145">
        <v>0</v>
      </c>
      <c r="Q43" s="1"/>
      <c r="R43" s="150"/>
      <c r="T43" s="234" t="s">
        <v>410</v>
      </c>
    </row>
    <row r="44" spans="1:35" x14ac:dyDescent="0.25">
      <c r="A44" s="143">
        <v>2030</v>
      </c>
      <c r="B44" s="143">
        <v>46</v>
      </c>
      <c r="C44" s="143">
        <v>11</v>
      </c>
      <c r="D44" s="143">
        <v>0</v>
      </c>
      <c r="E44" s="144">
        <v>0</v>
      </c>
      <c r="F44" s="144">
        <v>0.72823166001300332</v>
      </c>
      <c r="G44" s="144">
        <v>0.57028602681192464</v>
      </c>
      <c r="H44" s="144">
        <v>1.4901705387905271</v>
      </c>
      <c r="I44" s="145">
        <v>15000</v>
      </c>
      <c r="J44" s="145">
        <v>12747.351537585522</v>
      </c>
      <c r="K44" s="145">
        <v>0</v>
      </c>
      <c r="L44" s="145">
        <v>0</v>
      </c>
      <c r="M44" s="145">
        <v>3500</v>
      </c>
      <c r="N44" s="145">
        <v>3500</v>
      </c>
      <c r="O44" s="145">
        <v>0</v>
      </c>
      <c r="P44" s="145">
        <v>0</v>
      </c>
      <c r="Q44" s="1"/>
      <c r="R44" s="150"/>
    </row>
    <row r="45" spans="1:35" x14ac:dyDescent="0.25">
      <c r="A45" s="143">
        <v>2031</v>
      </c>
      <c r="B45" s="143">
        <v>47</v>
      </c>
      <c r="C45" s="143">
        <v>12</v>
      </c>
      <c r="D45" s="143">
        <v>0</v>
      </c>
      <c r="E45" s="144">
        <v>0</v>
      </c>
      <c r="F45" s="144">
        <v>0.69355396191714602</v>
      </c>
      <c r="G45" s="144">
        <v>0.58739460761628237</v>
      </c>
      <c r="H45" s="144">
        <v>1.5795807711179588</v>
      </c>
      <c r="I45" s="145">
        <v>15000</v>
      </c>
      <c r="J45" s="145">
        <v>13917.558408735873</v>
      </c>
      <c r="K45" s="145">
        <v>0</v>
      </c>
      <c r="L45" s="145">
        <v>0</v>
      </c>
      <c r="M45" s="145">
        <v>3500</v>
      </c>
      <c r="N45" s="145">
        <v>3500</v>
      </c>
      <c r="O45" s="145">
        <v>0</v>
      </c>
      <c r="P45" s="145">
        <v>0</v>
      </c>
      <c r="Q45" s="1"/>
      <c r="R45" s="150"/>
      <c r="T45" s="250" t="s">
        <v>411</v>
      </c>
    </row>
    <row r="46" spans="1:35" ht="90" x14ac:dyDescent="0.25">
      <c r="A46" s="143">
        <v>2032</v>
      </c>
      <c r="B46" s="143">
        <v>48</v>
      </c>
      <c r="C46" s="143">
        <v>13</v>
      </c>
      <c r="D46" s="143">
        <v>0</v>
      </c>
      <c r="E46" s="144">
        <v>0</v>
      </c>
      <c r="F46" s="144">
        <v>0.66052758277823431</v>
      </c>
      <c r="G46" s="144">
        <v>0.60501644584477088</v>
      </c>
      <c r="H46" s="144">
        <v>1.6704066654572411</v>
      </c>
      <c r="I46" s="145">
        <v>15000</v>
      </c>
      <c r="J46" s="145">
        <v>15159.352557755328</v>
      </c>
      <c r="K46" s="145">
        <v>0</v>
      </c>
      <c r="L46" s="145">
        <v>0</v>
      </c>
      <c r="M46" s="145">
        <v>3500</v>
      </c>
      <c r="N46" s="145">
        <v>3500</v>
      </c>
      <c r="O46" s="145">
        <v>0</v>
      </c>
      <c r="P46" s="145">
        <v>0</v>
      </c>
      <c r="Q46" s="1"/>
      <c r="R46" s="150"/>
      <c r="T46" s="251" t="s">
        <v>183</v>
      </c>
      <c r="U46" s="252" t="s">
        <v>263</v>
      </c>
      <c r="V46" s="252" t="s">
        <v>264</v>
      </c>
      <c r="W46" s="252" t="s">
        <v>265</v>
      </c>
      <c r="X46" s="253" t="s">
        <v>266</v>
      </c>
      <c r="Y46" s="252" t="s">
        <v>267</v>
      </c>
      <c r="Z46" s="252" t="s">
        <v>268</v>
      </c>
      <c r="AA46" s="252" t="s">
        <v>269</v>
      </c>
      <c r="AB46" s="252" t="s">
        <v>270</v>
      </c>
      <c r="AC46" s="252" t="s">
        <v>271</v>
      </c>
      <c r="AD46" s="252" t="s">
        <v>272</v>
      </c>
      <c r="AE46" s="252" t="s">
        <v>273</v>
      </c>
      <c r="AF46" s="252" t="s">
        <v>274</v>
      </c>
      <c r="AG46" s="252" t="s">
        <v>275</v>
      </c>
      <c r="AH46" s="252" t="s">
        <v>276</v>
      </c>
      <c r="AI46" s="254" t="s">
        <v>277</v>
      </c>
    </row>
    <row r="47" spans="1:35" x14ac:dyDescent="0.25">
      <c r="A47" s="143">
        <v>2033</v>
      </c>
      <c r="B47" s="143">
        <v>49</v>
      </c>
      <c r="C47" s="143">
        <v>14</v>
      </c>
      <c r="D47" s="143">
        <v>0</v>
      </c>
      <c r="E47" s="144">
        <v>0</v>
      </c>
      <c r="F47" s="144">
        <v>0.62907388836022315</v>
      </c>
      <c r="G47" s="144">
        <v>0.62316693922011401</v>
      </c>
      <c r="H47" s="144">
        <v>1.7622790320573893</v>
      </c>
      <c r="I47" s="145">
        <v>15000</v>
      </c>
      <c r="J47" s="145">
        <v>16472.910456884827</v>
      </c>
      <c r="K47" s="145">
        <v>0</v>
      </c>
      <c r="L47" s="145">
        <v>0</v>
      </c>
      <c r="M47" s="145">
        <v>3500</v>
      </c>
      <c r="N47" s="145">
        <v>3500</v>
      </c>
      <c r="O47" s="145">
        <v>0</v>
      </c>
      <c r="P47" s="145">
        <v>0</v>
      </c>
      <c r="Q47" s="1"/>
      <c r="R47" s="150"/>
      <c r="T47" s="255">
        <v>2024</v>
      </c>
      <c r="U47" s="241">
        <v>40</v>
      </c>
      <c r="V47" s="241">
        <v>5</v>
      </c>
      <c r="W47" s="241">
        <v>0</v>
      </c>
      <c r="X47" s="256">
        <v>0</v>
      </c>
      <c r="Y47" s="256">
        <v>0.97590007294853309</v>
      </c>
      <c r="Z47" s="256">
        <v>0.47760556926165926</v>
      </c>
      <c r="AA47" s="256">
        <v>1</v>
      </c>
      <c r="AB47" s="257">
        <v>15000</v>
      </c>
      <c r="AC47" s="257">
        <v>7164.0835389248887</v>
      </c>
      <c r="AD47" s="257">
        <v>0</v>
      </c>
      <c r="AE47" s="257">
        <v>0</v>
      </c>
      <c r="AF47" s="257">
        <v>3500</v>
      </c>
      <c r="AG47" s="257">
        <v>3500</v>
      </c>
      <c r="AH47" s="257">
        <v>0</v>
      </c>
      <c r="AI47" s="258">
        <v>0</v>
      </c>
    </row>
    <row r="48" spans="1:35" x14ac:dyDescent="0.25">
      <c r="A48" s="143">
        <v>2034</v>
      </c>
      <c r="B48" s="143">
        <v>50</v>
      </c>
      <c r="C48" s="143">
        <v>15</v>
      </c>
      <c r="D48" s="143">
        <v>0</v>
      </c>
      <c r="E48" s="144">
        <v>0</v>
      </c>
      <c r="F48" s="144">
        <v>0.59911798891449819</v>
      </c>
      <c r="G48" s="144">
        <v>0.64186194739671742</v>
      </c>
      <c r="H48" s="144">
        <v>1.8547986812404023</v>
      </c>
      <c r="I48" s="145">
        <v>15000</v>
      </c>
      <c r="J48" s="145">
        <v>17857.870403547418</v>
      </c>
      <c r="K48" s="145">
        <v>0</v>
      </c>
      <c r="L48" s="145">
        <v>0</v>
      </c>
      <c r="M48" s="145">
        <v>3500</v>
      </c>
      <c r="N48" s="145">
        <v>3500</v>
      </c>
      <c r="O48" s="145">
        <v>0</v>
      </c>
      <c r="P48" s="145">
        <v>0</v>
      </c>
      <c r="Q48" s="1"/>
      <c r="R48" s="150"/>
      <c r="T48" s="255">
        <v>2025</v>
      </c>
      <c r="U48" s="241">
        <v>41</v>
      </c>
      <c r="V48" s="241">
        <v>6</v>
      </c>
      <c r="W48" s="241">
        <v>0</v>
      </c>
      <c r="X48" s="256">
        <v>0</v>
      </c>
      <c r="Y48" s="256">
        <v>0.92942864090336486</v>
      </c>
      <c r="Z48" s="256">
        <v>0.49193373633950904</v>
      </c>
      <c r="AA48" s="256">
        <v>1.075</v>
      </c>
      <c r="AB48" s="257">
        <v>15000</v>
      </c>
      <c r="AC48" s="257">
        <v>7932.4314984745833</v>
      </c>
      <c r="AD48" s="257">
        <v>0</v>
      </c>
      <c r="AE48" s="257">
        <v>0</v>
      </c>
      <c r="AF48" s="257">
        <v>3500</v>
      </c>
      <c r="AG48" s="257">
        <v>3500</v>
      </c>
      <c r="AH48" s="257">
        <v>0</v>
      </c>
      <c r="AI48" s="258">
        <v>0</v>
      </c>
    </row>
    <row r="49" spans="1:35" x14ac:dyDescent="0.25">
      <c r="A49" s="143">
        <v>2035</v>
      </c>
      <c r="B49" s="143">
        <v>51</v>
      </c>
      <c r="C49" s="143">
        <v>16</v>
      </c>
      <c r="D49" s="143">
        <v>0</v>
      </c>
      <c r="E49" s="144">
        <v>0</v>
      </c>
      <c r="F49" s="144">
        <v>0.57058856087095067</v>
      </c>
      <c r="G49" s="144">
        <v>0.66111780581861901</v>
      </c>
      <c r="H49" s="144">
        <v>1.9475386153024226</v>
      </c>
      <c r="I49" s="145">
        <v>15000</v>
      </c>
      <c r="J49" s="145">
        <v>19313.286841436537</v>
      </c>
      <c r="K49" s="145">
        <v>0</v>
      </c>
      <c r="L49" s="145">
        <v>0</v>
      </c>
      <c r="M49" s="145">
        <v>3500</v>
      </c>
      <c r="N49" s="145">
        <v>3500</v>
      </c>
      <c r="O49" s="145">
        <v>0</v>
      </c>
      <c r="P49" s="145">
        <v>0</v>
      </c>
      <c r="Q49" s="1"/>
      <c r="R49" s="150"/>
      <c r="T49" s="255">
        <v>2026</v>
      </c>
      <c r="U49" s="241">
        <v>42</v>
      </c>
      <c r="V49" s="241">
        <v>7</v>
      </c>
      <c r="W49" s="241">
        <v>0</v>
      </c>
      <c r="X49" s="256">
        <v>0</v>
      </c>
      <c r="Y49" s="256">
        <v>0.88517013419368074</v>
      </c>
      <c r="Z49" s="256">
        <v>0.50669174842969433</v>
      </c>
      <c r="AA49" s="256">
        <v>1.1529374999999999</v>
      </c>
      <c r="AB49" s="257">
        <v>15000</v>
      </c>
      <c r="AC49" s="257">
        <v>8762.7587655774114</v>
      </c>
      <c r="AD49" s="257">
        <v>0</v>
      </c>
      <c r="AE49" s="257">
        <v>0</v>
      </c>
      <c r="AF49" s="257">
        <v>3500</v>
      </c>
      <c r="AG49" s="257">
        <v>3500</v>
      </c>
      <c r="AH49" s="257">
        <v>0</v>
      </c>
      <c r="AI49" s="258">
        <v>0</v>
      </c>
    </row>
    <row r="50" spans="1:35" x14ac:dyDescent="0.25">
      <c r="A50" s="143">
        <v>2036</v>
      </c>
      <c r="B50" s="143">
        <v>52</v>
      </c>
      <c r="C50" s="143">
        <v>17</v>
      </c>
      <c r="D50" s="143">
        <v>0</v>
      </c>
      <c r="E50" s="144">
        <v>0</v>
      </c>
      <c r="F50" s="144">
        <v>0.54341767701995303</v>
      </c>
      <c r="G50" s="144">
        <v>0.68095133999317758</v>
      </c>
      <c r="H50" s="144">
        <v>2.0449155460675437</v>
      </c>
      <c r="I50" s="145">
        <v>15000</v>
      </c>
      <c r="J50" s="145">
        <v>20887.319719013616</v>
      </c>
      <c r="K50" s="145">
        <v>0</v>
      </c>
      <c r="L50" s="145">
        <v>0</v>
      </c>
      <c r="M50" s="145">
        <v>3500</v>
      </c>
      <c r="N50" s="145">
        <v>3500</v>
      </c>
      <c r="O50" s="145">
        <v>0</v>
      </c>
      <c r="P50" s="145">
        <v>0</v>
      </c>
      <c r="Q50" s="1"/>
      <c r="R50" s="150"/>
      <c r="T50" s="255">
        <v>2027</v>
      </c>
      <c r="U50" s="241">
        <v>43</v>
      </c>
      <c r="V50" s="241">
        <v>8</v>
      </c>
      <c r="W50" s="241">
        <v>0</v>
      </c>
      <c r="X50" s="256">
        <v>0</v>
      </c>
      <c r="Y50" s="256">
        <v>0.843019175422553</v>
      </c>
      <c r="Z50" s="256">
        <v>0.52189250088258521</v>
      </c>
      <c r="AA50" s="256">
        <v>1.233643125</v>
      </c>
      <c r="AB50" s="257">
        <v>15000</v>
      </c>
      <c r="AC50" s="257">
        <v>9657.4364355428643</v>
      </c>
      <c r="AD50" s="257">
        <v>0</v>
      </c>
      <c r="AE50" s="257">
        <v>0</v>
      </c>
      <c r="AF50" s="257">
        <v>3500</v>
      </c>
      <c r="AG50" s="257">
        <v>3500</v>
      </c>
      <c r="AH50" s="257">
        <v>0</v>
      </c>
      <c r="AI50" s="258">
        <v>0</v>
      </c>
    </row>
    <row r="51" spans="1:35" x14ac:dyDescent="0.25">
      <c r="A51" s="143">
        <v>2037</v>
      </c>
      <c r="B51" s="143">
        <v>53</v>
      </c>
      <c r="C51" s="143">
        <v>18</v>
      </c>
      <c r="D51" s="143">
        <v>0</v>
      </c>
      <c r="E51" s="144">
        <v>0</v>
      </c>
      <c r="F51" s="144">
        <v>0.51754064478090767</v>
      </c>
      <c r="G51" s="144">
        <v>0.70137988019297293</v>
      </c>
      <c r="H51" s="144">
        <v>2.1471613233709208</v>
      </c>
      <c r="I51" s="145">
        <v>15000</v>
      </c>
      <c r="J51" s="145">
        <v>22589.636276113226</v>
      </c>
      <c r="K51" s="145">
        <v>0</v>
      </c>
      <c r="L51" s="145">
        <v>0</v>
      </c>
      <c r="M51" s="145">
        <v>3500</v>
      </c>
      <c r="N51" s="145">
        <v>3500</v>
      </c>
      <c r="O51" s="145">
        <v>0</v>
      </c>
      <c r="P51" s="145">
        <v>0</v>
      </c>
      <c r="Q51" s="1"/>
      <c r="R51" s="150"/>
      <c r="T51" s="255">
        <v>2028</v>
      </c>
      <c r="U51" s="241">
        <v>44</v>
      </c>
      <c r="V51" s="241">
        <v>9</v>
      </c>
      <c r="W51" s="241">
        <v>0</v>
      </c>
      <c r="X51" s="256">
        <v>0</v>
      </c>
      <c r="Y51" s="256">
        <v>0.8028754051643362</v>
      </c>
      <c r="Z51" s="256">
        <v>0.53754927590906276</v>
      </c>
      <c r="AA51" s="256">
        <v>1.3169140359374998</v>
      </c>
      <c r="AB51" s="257">
        <v>15000</v>
      </c>
      <c r="AC51" s="257">
        <v>10618.592796790266</v>
      </c>
      <c r="AD51" s="257">
        <v>0</v>
      </c>
      <c r="AE51" s="257">
        <v>0</v>
      </c>
      <c r="AF51" s="257">
        <v>3500</v>
      </c>
      <c r="AG51" s="257">
        <v>3500</v>
      </c>
      <c r="AH51" s="257">
        <v>0</v>
      </c>
      <c r="AI51" s="258">
        <v>0</v>
      </c>
    </row>
    <row r="52" spans="1:35" x14ac:dyDescent="0.25">
      <c r="A52" s="143">
        <v>2038</v>
      </c>
      <c r="B52" s="143">
        <v>54</v>
      </c>
      <c r="C52" s="143">
        <v>19</v>
      </c>
      <c r="D52" s="143">
        <v>0</v>
      </c>
      <c r="E52" s="144">
        <v>0</v>
      </c>
      <c r="F52" s="144">
        <v>0.49289585217229298</v>
      </c>
      <c r="G52" s="144">
        <v>0.7224212765987621</v>
      </c>
      <c r="H52" s="144">
        <v>2.2545193895394671</v>
      </c>
      <c r="I52" s="145">
        <v>15000</v>
      </c>
      <c r="J52" s="145">
        <v>24430.691632616454</v>
      </c>
      <c r="K52" s="145">
        <v>0</v>
      </c>
      <c r="L52" s="145">
        <v>0</v>
      </c>
      <c r="M52" s="145">
        <v>3500</v>
      </c>
      <c r="N52" s="145">
        <v>3500</v>
      </c>
      <c r="O52" s="145">
        <v>0</v>
      </c>
      <c r="P52" s="145">
        <v>0</v>
      </c>
      <c r="Q52" s="1"/>
      <c r="R52" s="150"/>
      <c r="T52" s="255">
        <v>2029</v>
      </c>
      <c r="U52" s="241">
        <v>45</v>
      </c>
      <c r="V52" s="241">
        <v>10</v>
      </c>
      <c r="W52" s="241">
        <v>0</v>
      </c>
      <c r="X52" s="256">
        <v>0</v>
      </c>
      <c r="Y52" s="256">
        <v>0.7646432430136535</v>
      </c>
      <c r="Z52" s="256">
        <v>0.55367575418633463</v>
      </c>
      <c r="AA52" s="256">
        <v>1.4025134482734372</v>
      </c>
      <c r="AB52" s="257">
        <v>15000</v>
      </c>
      <c r="AC52" s="257">
        <v>11648.065368439082</v>
      </c>
      <c r="AD52" s="257">
        <v>0</v>
      </c>
      <c r="AE52" s="257">
        <v>0</v>
      </c>
      <c r="AF52" s="257">
        <v>3500</v>
      </c>
      <c r="AG52" s="257">
        <v>3500</v>
      </c>
      <c r="AH52" s="257">
        <v>0</v>
      </c>
      <c r="AI52" s="258">
        <v>0</v>
      </c>
    </row>
    <row r="53" spans="1:35" x14ac:dyDescent="0.25">
      <c r="A53" s="143">
        <v>2039</v>
      </c>
      <c r="B53" s="143">
        <v>55</v>
      </c>
      <c r="C53" s="143">
        <v>20</v>
      </c>
      <c r="D53" s="143">
        <v>1</v>
      </c>
      <c r="E53" s="144">
        <v>8.3657758364132084E-2</v>
      </c>
      <c r="F53" s="144">
        <v>0.46942462111646949</v>
      </c>
      <c r="G53" s="144">
        <v>0.74409391489672494</v>
      </c>
      <c r="H53" s="144">
        <v>2.3672453590164406</v>
      </c>
      <c r="I53" s="145">
        <v>15000</v>
      </c>
      <c r="J53" s="145">
        <v>26421.793000674697</v>
      </c>
      <c r="K53" s="145">
        <v>2210.3879743975604</v>
      </c>
      <c r="L53" s="145">
        <v>1037.6105374019753</v>
      </c>
      <c r="M53" s="145">
        <v>3500</v>
      </c>
      <c r="N53" s="145">
        <v>3500</v>
      </c>
      <c r="O53" s="145">
        <v>292.80215427446228</v>
      </c>
      <c r="P53" s="145">
        <v>137.4485403323755</v>
      </c>
      <c r="Q53" s="1"/>
      <c r="R53" s="150"/>
      <c r="T53" s="255">
        <v>2030</v>
      </c>
      <c r="U53" s="241">
        <v>46</v>
      </c>
      <c r="V53" s="241">
        <v>11</v>
      </c>
      <c r="W53" s="241">
        <v>0</v>
      </c>
      <c r="X53" s="256">
        <v>0</v>
      </c>
      <c r="Y53" s="256">
        <v>0.72823166001300332</v>
      </c>
      <c r="Z53" s="256">
        <v>0.57028602681192464</v>
      </c>
      <c r="AA53" s="256">
        <v>1.4901705387905271</v>
      </c>
      <c r="AB53" s="257">
        <v>15000</v>
      </c>
      <c r="AC53" s="257">
        <v>12747.351537585522</v>
      </c>
      <c r="AD53" s="257">
        <v>0</v>
      </c>
      <c r="AE53" s="257">
        <v>0</v>
      </c>
      <c r="AF53" s="257">
        <v>3500</v>
      </c>
      <c r="AG53" s="257">
        <v>3500</v>
      </c>
      <c r="AH53" s="257">
        <v>0</v>
      </c>
      <c r="AI53" s="258">
        <v>0</v>
      </c>
    </row>
    <row r="54" spans="1:35" x14ac:dyDescent="0.25">
      <c r="A54" s="143">
        <v>2040</v>
      </c>
      <c r="B54" s="143">
        <v>56</v>
      </c>
      <c r="C54" s="143">
        <v>21</v>
      </c>
      <c r="D54" s="143">
        <v>1</v>
      </c>
      <c r="E54" s="144">
        <v>8.3436081009928664E-2</v>
      </c>
      <c r="F54" s="144">
        <v>0.44707106772997091</v>
      </c>
      <c r="G54" s="144">
        <v>0.76641673234362673</v>
      </c>
      <c r="H54" s="144">
        <v>2.4856076269672629</v>
      </c>
      <c r="I54" s="145">
        <v>15000</v>
      </c>
      <c r="J54" s="145">
        <v>28575.169130229689</v>
      </c>
      <c r="K54" s="145">
        <v>2384.2001264222572</v>
      </c>
      <c r="L54" s="145">
        <v>1065.9068962015301</v>
      </c>
      <c r="M54" s="145">
        <v>3500</v>
      </c>
      <c r="N54" s="145">
        <v>3500</v>
      </c>
      <c r="O54" s="145">
        <v>292.02628353475035</v>
      </c>
      <c r="P54" s="145">
        <v>130.55650238509605</v>
      </c>
      <c r="Q54" s="1"/>
      <c r="R54" s="150"/>
      <c r="T54" s="255">
        <v>2031</v>
      </c>
      <c r="U54" s="241">
        <v>47</v>
      </c>
      <c r="V54" s="241">
        <v>12</v>
      </c>
      <c r="W54" s="241">
        <v>0</v>
      </c>
      <c r="X54" s="256">
        <v>0</v>
      </c>
      <c r="Y54" s="256">
        <v>0.69355396191714602</v>
      </c>
      <c r="Z54" s="256">
        <v>0.58739460761628237</v>
      </c>
      <c r="AA54" s="256">
        <v>1.5795807711179588</v>
      </c>
      <c r="AB54" s="257">
        <v>15000</v>
      </c>
      <c r="AC54" s="257">
        <v>13917.558408735873</v>
      </c>
      <c r="AD54" s="257">
        <v>0</v>
      </c>
      <c r="AE54" s="257">
        <v>0</v>
      </c>
      <c r="AF54" s="257">
        <v>3500</v>
      </c>
      <c r="AG54" s="257">
        <v>3500</v>
      </c>
      <c r="AH54" s="257">
        <v>0</v>
      </c>
      <c r="AI54" s="258">
        <v>0</v>
      </c>
    </row>
    <row r="55" spans="1:35" x14ac:dyDescent="0.25">
      <c r="A55" s="143">
        <v>2041</v>
      </c>
      <c r="B55" s="143">
        <v>57</v>
      </c>
      <c r="C55" s="143">
        <v>22</v>
      </c>
      <c r="D55" s="143">
        <v>1</v>
      </c>
      <c r="E55" s="144">
        <v>8.3189962117090982E-2</v>
      </c>
      <c r="F55" s="144">
        <v>0.42578196926663892</v>
      </c>
      <c r="G55" s="144">
        <v>0.7894092343139355</v>
      </c>
      <c r="H55" s="144">
        <v>2.6098880083156262</v>
      </c>
      <c r="I55" s="145">
        <v>15000</v>
      </c>
      <c r="J55" s="145">
        <v>30904.045414343407</v>
      </c>
      <c r="K55" s="145">
        <v>2570.9063672840875</v>
      </c>
      <c r="L55" s="145">
        <v>1094.6455758623597</v>
      </c>
      <c r="M55" s="145">
        <v>3500</v>
      </c>
      <c r="N55" s="145">
        <v>3500</v>
      </c>
      <c r="O55" s="145">
        <v>291.16486740981844</v>
      </c>
      <c r="P55" s="145">
        <v>123.97275062701232</v>
      </c>
      <c r="Q55" s="1"/>
      <c r="R55" s="150"/>
      <c r="T55" s="255">
        <v>2032</v>
      </c>
      <c r="U55" s="241">
        <v>48</v>
      </c>
      <c r="V55" s="241">
        <v>13</v>
      </c>
      <c r="W55" s="241">
        <v>0</v>
      </c>
      <c r="X55" s="256">
        <v>0</v>
      </c>
      <c r="Y55" s="256">
        <v>0.66052758277823431</v>
      </c>
      <c r="Z55" s="256">
        <v>0.60501644584477088</v>
      </c>
      <c r="AA55" s="256">
        <v>1.6704066654572411</v>
      </c>
      <c r="AB55" s="257">
        <v>15000</v>
      </c>
      <c r="AC55" s="257">
        <v>15159.352557755328</v>
      </c>
      <c r="AD55" s="257">
        <v>0</v>
      </c>
      <c r="AE55" s="257">
        <v>0</v>
      </c>
      <c r="AF55" s="257">
        <v>3500</v>
      </c>
      <c r="AG55" s="257">
        <v>3500</v>
      </c>
      <c r="AH55" s="257">
        <v>0</v>
      </c>
      <c r="AI55" s="258">
        <v>0</v>
      </c>
    </row>
    <row r="56" spans="1:35" x14ac:dyDescent="0.25">
      <c r="A56" s="143">
        <v>2042</v>
      </c>
      <c r="B56" s="143">
        <v>58</v>
      </c>
      <c r="C56" s="143">
        <v>23</v>
      </c>
      <c r="D56" s="143">
        <v>1</v>
      </c>
      <c r="E56" s="144">
        <v>8.291961411190274E-2</v>
      </c>
      <c r="F56" s="144">
        <v>0.40550663739679893</v>
      </c>
      <c r="G56" s="144">
        <v>0.81309151134335356</v>
      </c>
      <c r="H56" s="144">
        <v>2.7403824087314077</v>
      </c>
      <c r="I56" s="145">
        <v>15000</v>
      </c>
      <c r="J56" s="145">
        <v>33422.725115612397</v>
      </c>
      <c r="K56" s="145">
        <v>2771.39946915478</v>
      </c>
      <c r="L56" s="145">
        <v>1123.8208796202284</v>
      </c>
      <c r="M56" s="145">
        <v>3500</v>
      </c>
      <c r="N56" s="145">
        <v>3500</v>
      </c>
      <c r="O56" s="145">
        <v>290.2186493916596</v>
      </c>
      <c r="P56" s="145">
        <v>117.68558862465242</v>
      </c>
      <c r="Q56" s="1"/>
      <c r="R56" s="150"/>
      <c r="T56" s="255">
        <v>2033</v>
      </c>
      <c r="U56" s="241">
        <v>49</v>
      </c>
      <c r="V56" s="241">
        <v>14</v>
      </c>
      <c r="W56" s="241">
        <v>0</v>
      </c>
      <c r="X56" s="256">
        <v>0</v>
      </c>
      <c r="Y56" s="256">
        <v>0.62907388836022315</v>
      </c>
      <c r="Z56" s="256">
        <v>0.62316693922011401</v>
      </c>
      <c r="AA56" s="256">
        <v>1.7622790320573893</v>
      </c>
      <c r="AB56" s="257">
        <v>15000</v>
      </c>
      <c r="AC56" s="257">
        <v>16472.910456884827</v>
      </c>
      <c r="AD56" s="257">
        <v>0</v>
      </c>
      <c r="AE56" s="257">
        <v>0</v>
      </c>
      <c r="AF56" s="257">
        <v>3500</v>
      </c>
      <c r="AG56" s="257">
        <v>3500</v>
      </c>
      <c r="AH56" s="257">
        <v>0</v>
      </c>
      <c r="AI56" s="258">
        <v>0</v>
      </c>
    </row>
    <row r="57" spans="1:35" x14ac:dyDescent="0.25">
      <c r="A57" s="143">
        <v>2043</v>
      </c>
      <c r="B57" s="143">
        <v>59</v>
      </c>
      <c r="C57" s="143">
        <v>24</v>
      </c>
      <c r="D57" s="143">
        <v>1</v>
      </c>
      <c r="E57" s="144">
        <v>8.2621131741777848E-2</v>
      </c>
      <c r="F57" s="144">
        <v>0.38619679752076086</v>
      </c>
      <c r="G57" s="144">
        <v>0.83748425668365423</v>
      </c>
      <c r="H57" s="144">
        <v>2.8774015291679782</v>
      </c>
      <c r="I57" s="145">
        <v>15000</v>
      </c>
      <c r="J57" s="145">
        <v>36146.677212534814</v>
      </c>
      <c r="K57" s="145">
        <v>2986.4793800043581</v>
      </c>
      <c r="L57" s="145">
        <v>1153.3687724194706</v>
      </c>
      <c r="M57" s="145">
        <v>3500</v>
      </c>
      <c r="N57" s="145">
        <v>3500</v>
      </c>
      <c r="O57" s="145">
        <v>289.17396109622246</v>
      </c>
      <c r="P57" s="145">
        <v>111.6780577017542</v>
      </c>
      <c r="Q57" s="1"/>
      <c r="R57" s="150"/>
      <c r="T57" s="255">
        <v>2034</v>
      </c>
      <c r="U57" s="241">
        <v>50</v>
      </c>
      <c r="V57" s="241">
        <v>15</v>
      </c>
      <c r="W57" s="241">
        <v>0</v>
      </c>
      <c r="X57" s="256">
        <v>0</v>
      </c>
      <c r="Y57" s="256">
        <v>0.59911798891449819</v>
      </c>
      <c r="Z57" s="256">
        <v>0.64186194739671742</v>
      </c>
      <c r="AA57" s="256">
        <v>1.8547986812404023</v>
      </c>
      <c r="AB57" s="257">
        <v>15000</v>
      </c>
      <c r="AC57" s="257">
        <v>17857.870403547418</v>
      </c>
      <c r="AD57" s="257">
        <v>0</v>
      </c>
      <c r="AE57" s="257">
        <v>0</v>
      </c>
      <c r="AF57" s="257">
        <v>3500</v>
      </c>
      <c r="AG57" s="257">
        <v>3500</v>
      </c>
      <c r="AH57" s="257">
        <v>0</v>
      </c>
      <c r="AI57" s="258">
        <v>0</v>
      </c>
    </row>
    <row r="58" spans="1:35" x14ac:dyDescent="0.25">
      <c r="A58" s="143">
        <v>2044</v>
      </c>
      <c r="B58" s="143">
        <v>60</v>
      </c>
      <c r="C58" s="143">
        <v>25</v>
      </c>
      <c r="D58" s="143">
        <v>1</v>
      </c>
      <c r="E58" s="144">
        <v>8.2290678670606812E-2</v>
      </c>
      <c r="F58" s="144">
        <v>0.36780647382929604</v>
      </c>
      <c r="G58" s="144">
        <v>0.86260878438416388</v>
      </c>
      <c r="H58" s="144">
        <v>3.0212716056263771</v>
      </c>
      <c r="I58" s="145">
        <v>15000</v>
      </c>
      <c r="J58" s="145">
        <v>39092.631405356406</v>
      </c>
      <c r="K58" s="145">
        <v>3216.9591693666562</v>
      </c>
      <c r="L58" s="145">
        <v>1183.2184085375709</v>
      </c>
      <c r="M58" s="145">
        <v>3500</v>
      </c>
      <c r="N58" s="145">
        <v>3500</v>
      </c>
      <c r="O58" s="145">
        <v>288.01737534712385</v>
      </c>
      <c r="P58" s="145">
        <v>105.93465522799444</v>
      </c>
      <c r="Q58" s="1"/>
      <c r="R58" s="150"/>
      <c r="T58" s="255">
        <v>2035</v>
      </c>
      <c r="U58" s="241">
        <v>51</v>
      </c>
      <c r="V58" s="241">
        <v>16</v>
      </c>
      <c r="W58" s="241">
        <v>0</v>
      </c>
      <c r="X58" s="256">
        <v>0</v>
      </c>
      <c r="Y58" s="256">
        <v>0.57058856087095067</v>
      </c>
      <c r="Z58" s="256">
        <v>0.66111780581861901</v>
      </c>
      <c r="AA58" s="256">
        <v>1.9475386153024226</v>
      </c>
      <c r="AB58" s="257">
        <v>15000</v>
      </c>
      <c r="AC58" s="257">
        <v>19313.286841436537</v>
      </c>
      <c r="AD58" s="257">
        <v>0</v>
      </c>
      <c r="AE58" s="257">
        <v>0</v>
      </c>
      <c r="AF58" s="257">
        <v>3500</v>
      </c>
      <c r="AG58" s="257">
        <v>3500</v>
      </c>
      <c r="AH58" s="257">
        <v>0</v>
      </c>
      <c r="AI58" s="258">
        <v>0</v>
      </c>
    </row>
    <row r="59" spans="1:35" x14ac:dyDescent="0.25">
      <c r="A59" s="143">
        <v>2045</v>
      </c>
      <c r="B59" s="143">
        <v>61</v>
      </c>
      <c r="C59" s="143">
        <v>26</v>
      </c>
      <c r="D59" s="143">
        <v>1</v>
      </c>
      <c r="E59" s="144">
        <v>8.1924528444045311E-2</v>
      </c>
      <c r="F59" s="144">
        <v>0.35029187983742477</v>
      </c>
      <c r="G59" s="144">
        <v>0.88848704791568878</v>
      </c>
      <c r="H59" s="144">
        <v>3.1723351859076963</v>
      </c>
      <c r="I59" s="145">
        <v>15000</v>
      </c>
      <c r="J59" s="145">
        <v>42278.680864892951</v>
      </c>
      <c r="K59" s="145">
        <v>3463.6609930926365</v>
      </c>
      <c r="L59" s="145">
        <v>1213.2923203899811</v>
      </c>
      <c r="M59" s="145">
        <v>3500</v>
      </c>
      <c r="N59" s="145">
        <v>3500</v>
      </c>
      <c r="O59" s="145">
        <v>286.73584955415856</v>
      </c>
      <c r="P59" s="145">
        <v>100.44123975710721</v>
      </c>
      <c r="Q59" s="1"/>
      <c r="R59" s="150"/>
      <c r="T59" s="255">
        <v>2036</v>
      </c>
      <c r="U59" s="241">
        <v>52</v>
      </c>
      <c r="V59" s="241">
        <v>17</v>
      </c>
      <c r="W59" s="241">
        <v>0</v>
      </c>
      <c r="X59" s="256">
        <v>0</v>
      </c>
      <c r="Y59" s="256">
        <v>0.54341767701995303</v>
      </c>
      <c r="Z59" s="256">
        <v>0.68095133999317758</v>
      </c>
      <c r="AA59" s="256">
        <v>2.0449155460675437</v>
      </c>
      <c r="AB59" s="257">
        <v>15000</v>
      </c>
      <c r="AC59" s="257">
        <v>20887.319719013616</v>
      </c>
      <c r="AD59" s="257">
        <v>0</v>
      </c>
      <c r="AE59" s="257">
        <v>0</v>
      </c>
      <c r="AF59" s="257">
        <v>3500</v>
      </c>
      <c r="AG59" s="257">
        <v>3500</v>
      </c>
      <c r="AH59" s="257">
        <v>0</v>
      </c>
      <c r="AI59" s="258">
        <v>0</v>
      </c>
    </row>
    <row r="60" spans="1:35" x14ac:dyDescent="0.25">
      <c r="A60" s="143">
        <v>2046</v>
      </c>
      <c r="B60" s="143">
        <v>62</v>
      </c>
      <c r="C60" s="143">
        <v>27</v>
      </c>
      <c r="D60" s="143">
        <v>1</v>
      </c>
      <c r="E60" s="144">
        <v>0.30155919348843885</v>
      </c>
      <c r="F60" s="144">
        <v>0.33361131413088074</v>
      </c>
      <c r="G60" s="144">
        <v>0.9151416593531595</v>
      </c>
      <c r="H60" s="144">
        <v>3.3309519452030814</v>
      </c>
      <c r="I60" s="145">
        <v>15000</v>
      </c>
      <c r="J60" s="145">
        <v>45724.393355381733</v>
      </c>
      <c r="K60" s="145">
        <v>13788.611182997047</v>
      </c>
      <c r="L60" s="145">
        <v>4600.0366967994032</v>
      </c>
      <c r="M60" s="145">
        <v>3500</v>
      </c>
      <c r="N60" s="145">
        <v>3500</v>
      </c>
      <c r="O60" s="145">
        <v>1055.457177209536</v>
      </c>
      <c r="P60" s="145">
        <v>352.11245589774319</v>
      </c>
      <c r="Q60" s="1"/>
      <c r="R60" s="150"/>
      <c r="T60" s="255">
        <v>2037</v>
      </c>
      <c r="U60" s="241">
        <v>53</v>
      </c>
      <c r="V60" s="241">
        <v>18</v>
      </c>
      <c r="W60" s="241">
        <v>0</v>
      </c>
      <c r="X60" s="256">
        <v>0</v>
      </c>
      <c r="Y60" s="256">
        <v>0.51754064478090767</v>
      </c>
      <c r="Z60" s="256">
        <v>0.70137988019297293</v>
      </c>
      <c r="AA60" s="256">
        <v>2.1471613233709208</v>
      </c>
      <c r="AB60" s="257">
        <v>15000</v>
      </c>
      <c r="AC60" s="257">
        <v>22589.636276113226</v>
      </c>
      <c r="AD60" s="257">
        <v>0</v>
      </c>
      <c r="AE60" s="257">
        <v>0</v>
      </c>
      <c r="AF60" s="257">
        <v>3500</v>
      </c>
      <c r="AG60" s="257">
        <v>3500</v>
      </c>
      <c r="AH60" s="257">
        <v>0</v>
      </c>
      <c r="AI60" s="258">
        <v>0</v>
      </c>
    </row>
    <row r="61" spans="1:35" x14ac:dyDescent="0.25">
      <c r="A61" s="143">
        <v>2047</v>
      </c>
      <c r="B61" s="143">
        <v>63</v>
      </c>
      <c r="C61" s="143">
        <v>28</v>
      </c>
      <c r="D61" s="143">
        <v>1</v>
      </c>
      <c r="E61" s="144">
        <v>0.45273876053242179</v>
      </c>
      <c r="F61" s="144">
        <v>0.31772506107702925</v>
      </c>
      <c r="G61" s="144">
        <v>0.94259590913375435</v>
      </c>
      <c r="H61" s="144">
        <v>3.4974995424632356</v>
      </c>
      <c r="I61" s="145">
        <v>15000</v>
      </c>
      <c r="J61" s="145">
        <v>49450.931413845356</v>
      </c>
      <c r="K61" s="145">
        <v>22388.353395478145</v>
      </c>
      <c r="L61" s="145">
        <v>7113.3409499924092</v>
      </c>
      <c r="M61" s="145">
        <v>3500</v>
      </c>
      <c r="N61" s="145">
        <v>3500</v>
      </c>
      <c r="O61" s="145">
        <v>1584.5856618634762</v>
      </c>
      <c r="P61" s="145">
        <v>503.46257619735781</v>
      </c>
      <c r="Q61" s="1"/>
      <c r="R61" s="150"/>
      <c r="T61" s="255">
        <v>2038</v>
      </c>
      <c r="U61" s="241">
        <v>54</v>
      </c>
      <c r="V61" s="241">
        <v>19</v>
      </c>
      <c r="W61" s="241">
        <v>0</v>
      </c>
      <c r="X61" s="256">
        <v>0</v>
      </c>
      <c r="Y61" s="256">
        <v>0.49289585217229298</v>
      </c>
      <c r="Z61" s="256">
        <v>0.7224212765987621</v>
      </c>
      <c r="AA61" s="256">
        <v>2.2545193895394671</v>
      </c>
      <c r="AB61" s="257">
        <v>15000</v>
      </c>
      <c r="AC61" s="257">
        <v>24430.691632616454</v>
      </c>
      <c r="AD61" s="257">
        <v>0</v>
      </c>
      <c r="AE61" s="257">
        <v>0</v>
      </c>
      <c r="AF61" s="257">
        <v>3500</v>
      </c>
      <c r="AG61" s="257">
        <v>3500</v>
      </c>
      <c r="AH61" s="257">
        <v>0</v>
      </c>
      <c r="AI61" s="258">
        <v>0</v>
      </c>
    </row>
    <row r="62" spans="1:35" x14ac:dyDescent="0.25">
      <c r="A62" s="143">
        <v>2048</v>
      </c>
      <c r="B62" s="143">
        <v>64</v>
      </c>
      <c r="C62" s="143">
        <v>29</v>
      </c>
      <c r="D62" s="143">
        <v>1</v>
      </c>
      <c r="E62" s="144">
        <v>0.52068955064672595</v>
      </c>
      <c r="F62" s="144">
        <v>0.30259529626383735</v>
      </c>
      <c r="G62" s="144">
        <v>0.970873786407767</v>
      </c>
      <c r="H62" s="144">
        <v>3.6723745195863975</v>
      </c>
      <c r="I62" s="145">
        <v>15000</v>
      </c>
      <c r="J62" s="145">
        <v>53481.18232407375</v>
      </c>
      <c r="K62" s="145">
        <v>27847.092792377585</v>
      </c>
      <c r="L62" s="145">
        <v>8426.399293596065</v>
      </c>
      <c r="M62" s="145">
        <v>3500</v>
      </c>
      <c r="N62" s="145">
        <v>3500</v>
      </c>
      <c r="O62" s="145">
        <v>1822.4134272635408</v>
      </c>
      <c r="P62" s="145">
        <v>551.45373093800629</v>
      </c>
      <c r="Q62" s="1"/>
      <c r="R62" s="150"/>
      <c r="T62" s="255">
        <v>2039</v>
      </c>
      <c r="U62" s="241">
        <v>55</v>
      </c>
      <c r="V62" s="241">
        <v>20</v>
      </c>
      <c r="W62" s="241">
        <v>1</v>
      </c>
      <c r="X62" s="256">
        <v>8.3657758364132084E-2</v>
      </c>
      <c r="Y62" s="256">
        <v>0.46942462111646949</v>
      </c>
      <c r="Z62" s="256">
        <v>0.74409391489672494</v>
      </c>
      <c r="AA62" s="256">
        <v>2.3672453590164406</v>
      </c>
      <c r="AB62" s="257">
        <v>15000</v>
      </c>
      <c r="AC62" s="257">
        <v>26421.793000674697</v>
      </c>
      <c r="AD62" s="257">
        <v>2210.3879743975604</v>
      </c>
      <c r="AE62" s="257">
        <v>1037.6105374019753</v>
      </c>
      <c r="AF62" s="257">
        <v>3500</v>
      </c>
      <c r="AG62" s="257">
        <v>3500</v>
      </c>
      <c r="AH62" s="257">
        <v>292.80215427446228</v>
      </c>
      <c r="AI62" s="258">
        <v>137.4485403323755</v>
      </c>
    </row>
    <row r="63" spans="1:35" x14ac:dyDescent="0.25">
      <c r="A63" s="143">
        <v>2049</v>
      </c>
      <c r="B63" s="143">
        <v>65</v>
      </c>
      <c r="C63" s="143">
        <v>30</v>
      </c>
      <c r="D63" s="143">
        <v>1</v>
      </c>
      <c r="E63" s="144">
        <v>0.79766257984514588</v>
      </c>
      <c r="F63" s="144">
        <v>0.28818599644174986</v>
      </c>
      <c r="G63" s="144">
        <v>1</v>
      </c>
      <c r="H63" s="144">
        <v>3.8559932455657173</v>
      </c>
      <c r="I63" s="145">
        <v>2100</v>
      </c>
      <c r="J63" s="145">
        <v>8097.5858156880067</v>
      </c>
      <c r="K63" s="145">
        <v>6459.1411922591551</v>
      </c>
      <c r="L63" s="145">
        <v>1861.4340406491567</v>
      </c>
      <c r="M63" s="145">
        <v>1000</v>
      </c>
      <c r="N63" s="145">
        <v>1000</v>
      </c>
      <c r="O63" s="145">
        <v>797.66257984514584</v>
      </c>
      <c r="P63" s="145">
        <v>229.87518539697021</v>
      </c>
      <c r="Q63" s="1"/>
      <c r="R63" s="150"/>
      <c r="T63" s="255">
        <v>2040</v>
      </c>
      <c r="U63" s="241">
        <v>56</v>
      </c>
      <c r="V63" s="241">
        <v>21</v>
      </c>
      <c r="W63" s="241">
        <v>1</v>
      </c>
      <c r="X63" s="256">
        <v>8.3436081009928664E-2</v>
      </c>
      <c r="Y63" s="256">
        <v>0.44707106772997091</v>
      </c>
      <c r="Z63" s="256">
        <v>0.76641673234362673</v>
      </c>
      <c r="AA63" s="256">
        <v>2.4856076269672629</v>
      </c>
      <c r="AB63" s="257">
        <v>15000</v>
      </c>
      <c r="AC63" s="257">
        <v>28575.169130229689</v>
      </c>
      <c r="AD63" s="257">
        <v>2384.2001264222572</v>
      </c>
      <c r="AE63" s="257">
        <v>1065.9068962015301</v>
      </c>
      <c r="AF63" s="257">
        <v>3500</v>
      </c>
      <c r="AG63" s="257">
        <v>3500</v>
      </c>
      <c r="AH63" s="257">
        <v>292.02628353475035</v>
      </c>
      <c r="AI63" s="258">
        <v>130.55650238509605</v>
      </c>
    </row>
    <row r="64" spans="1:35" x14ac:dyDescent="0.25">
      <c r="A64" s="143">
        <v>2050</v>
      </c>
      <c r="B64" s="143">
        <v>66</v>
      </c>
      <c r="C64" s="143">
        <v>31</v>
      </c>
      <c r="D64" s="143">
        <v>1</v>
      </c>
      <c r="E64" s="144">
        <v>0.79172098825197978</v>
      </c>
      <c r="F64" s="144">
        <v>0.2744628537540475</v>
      </c>
      <c r="G64" s="144">
        <v>1.0249999999999999</v>
      </c>
      <c r="H64" s="144">
        <v>4.0487929078440033</v>
      </c>
      <c r="I64" s="145">
        <v>2100</v>
      </c>
      <c r="J64" s="145">
        <v>8715.0267341342169</v>
      </c>
      <c r="K64" s="145">
        <v>6899.8695785911659</v>
      </c>
      <c r="L64" s="145">
        <v>1893.7578950708685</v>
      </c>
      <c r="M64" s="145">
        <v>1000</v>
      </c>
      <c r="N64" s="145">
        <v>1000</v>
      </c>
      <c r="O64" s="145">
        <v>791.72098825197975</v>
      </c>
      <c r="P64" s="145">
        <v>217.29800181261308</v>
      </c>
      <c r="Q64" s="1"/>
      <c r="R64" s="150"/>
      <c r="T64" s="255">
        <v>2041</v>
      </c>
      <c r="U64" s="241">
        <v>57</v>
      </c>
      <c r="V64" s="241">
        <v>22</v>
      </c>
      <c r="W64" s="241">
        <v>1</v>
      </c>
      <c r="X64" s="256">
        <v>8.3189962117090982E-2</v>
      </c>
      <c r="Y64" s="256">
        <v>0.42578196926663892</v>
      </c>
      <c r="Z64" s="256">
        <v>0.7894092343139355</v>
      </c>
      <c r="AA64" s="256">
        <v>2.6098880083156262</v>
      </c>
      <c r="AB64" s="257">
        <v>15000</v>
      </c>
      <c r="AC64" s="257">
        <v>30904.045414343407</v>
      </c>
      <c r="AD64" s="257">
        <v>2570.9063672840875</v>
      </c>
      <c r="AE64" s="257">
        <v>1094.6455758623597</v>
      </c>
      <c r="AF64" s="257">
        <v>3500</v>
      </c>
      <c r="AG64" s="257">
        <v>3500</v>
      </c>
      <c r="AH64" s="257">
        <v>291.16486740981844</v>
      </c>
      <c r="AI64" s="258">
        <v>123.97275062701232</v>
      </c>
    </row>
    <row r="65" spans="1:35" x14ac:dyDescent="0.25">
      <c r="A65" s="143">
        <v>2051</v>
      </c>
      <c r="B65" s="143">
        <v>67</v>
      </c>
      <c r="C65" s="143">
        <v>32</v>
      </c>
      <c r="D65" s="143">
        <v>1</v>
      </c>
      <c r="E65" s="144">
        <v>0.78519068500938616</v>
      </c>
      <c r="F65" s="144">
        <v>0.26139319405147382</v>
      </c>
      <c r="G65" s="144">
        <v>1.0506249999999999</v>
      </c>
      <c r="H65" s="144">
        <v>4.2512325532362034</v>
      </c>
      <c r="I65" s="145">
        <v>2100</v>
      </c>
      <c r="J65" s="145">
        <v>9379.5475226119506</v>
      </c>
      <c r="K65" s="145">
        <v>7364.7333443577681</v>
      </c>
      <c r="L65" s="145">
        <v>1925.0911722190699</v>
      </c>
      <c r="M65" s="145">
        <v>1000</v>
      </c>
      <c r="N65" s="145">
        <v>1000</v>
      </c>
      <c r="O65" s="145">
        <v>785.19068500938613</v>
      </c>
      <c r="P65" s="145">
        <v>205.24350109406814</v>
      </c>
      <c r="Q65" s="1"/>
      <c r="R65" s="150"/>
      <c r="T65" s="255">
        <v>2042</v>
      </c>
      <c r="U65" s="241">
        <v>58</v>
      </c>
      <c r="V65" s="241">
        <v>23</v>
      </c>
      <c r="W65" s="241">
        <v>1</v>
      </c>
      <c r="X65" s="256">
        <v>8.291961411190274E-2</v>
      </c>
      <c r="Y65" s="256">
        <v>0.40550663739679893</v>
      </c>
      <c r="Z65" s="256">
        <v>0.81309151134335356</v>
      </c>
      <c r="AA65" s="256">
        <v>2.7403824087314077</v>
      </c>
      <c r="AB65" s="257">
        <v>15000</v>
      </c>
      <c r="AC65" s="257">
        <v>33422.725115612397</v>
      </c>
      <c r="AD65" s="257">
        <v>2771.39946915478</v>
      </c>
      <c r="AE65" s="257">
        <v>1123.8208796202284</v>
      </c>
      <c r="AF65" s="257">
        <v>3500</v>
      </c>
      <c r="AG65" s="257">
        <v>3500</v>
      </c>
      <c r="AH65" s="257">
        <v>290.2186493916596</v>
      </c>
      <c r="AI65" s="258">
        <v>117.68558862465242</v>
      </c>
    </row>
    <row r="66" spans="1:35" x14ac:dyDescent="0.25">
      <c r="A66" s="143">
        <v>2052</v>
      </c>
      <c r="B66" s="143">
        <v>68</v>
      </c>
      <c r="C66" s="143">
        <v>33</v>
      </c>
      <c r="D66" s="143">
        <v>1</v>
      </c>
      <c r="E66" s="144">
        <v>0.77796864595838189</v>
      </c>
      <c r="F66" s="144">
        <v>0.24894589909664172</v>
      </c>
      <c r="G66" s="144">
        <v>1.0768906249999999</v>
      </c>
      <c r="H66" s="144">
        <v>4.4637941808980139</v>
      </c>
      <c r="I66" s="145">
        <v>2100</v>
      </c>
      <c r="J66" s="145">
        <v>10094.738021211113</v>
      </c>
      <c r="K66" s="145">
        <v>7853.389669666205</v>
      </c>
      <c r="L66" s="145">
        <v>1955.0691522713316</v>
      </c>
      <c r="M66" s="145">
        <v>1000</v>
      </c>
      <c r="N66" s="145">
        <v>1000</v>
      </c>
      <c r="O66" s="145">
        <v>777.9686459583819</v>
      </c>
      <c r="P66" s="145">
        <v>193.67210403710632</v>
      </c>
      <c r="Q66" s="1"/>
      <c r="R66" s="150"/>
      <c r="T66" s="255">
        <v>2043</v>
      </c>
      <c r="U66" s="241">
        <v>59</v>
      </c>
      <c r="V66" s="241">
        <v>24</v>
      </c>
      <c r="W66" s="241">
        <v>1</v>
      </c>
      <c r="X66" s="256">
        <v>8.2621131741777848E-2</v>
      </c>
      <c r="Y66" s="256">
        <v>0.38619679752076086</v>
      </c>
      <c r="Z66" s="256">
        <v>0.83748425668365423</v>
      </c>
      <c r="AA66" s="256">
        <v>2.8774015291679782</v>
      </c>
      <c r="AB66" s="257">
        <v>15000</v>
      </c>
      <c r="AC66" s="257">
        <v>36146.677212534814</v>
      </c>
      <c r="AD66" s="257">
        <v>2986.4793800043581</v>
      </c>
      <c r="AE66" s="257">
        <v>1153.3687724194706</v>
      </c>
      <c r="AF66" s="257">
        <v>3500</v>
      </c>
      <c r="AG66" s="257">
        <v>3500</v>
      </c>
      <c r="AH66" s="257">
        <v>289.17396109622246</v>
      </c>
      <c r="AI66" s="258">
        <v>111.6780577017542</v>
      </c>
    </row>
    <row r="67" spans="1:35" x14ac:dyDescent="0.25">
      <c r="A67" s="143">
        <v>2053</v>
      </c>
      <c r="B67" s="143">
        <v>69</v>
      </c>
      <c r="C67" s="143">
        <v>34</v>
      </c>
      <c r="D67" s="143">
        <v>1</v>
      </c>
      <c r="E67" s="144">
        <v>0.76995784382714261</v>
      </c>
      <c r="F67" s="144">
        <v>0.23709133247299211</v>
      </c>
      <c r="G67" s="144">
        <v>1.1038128906249998</v>
      </c>
      <c r="H67" s="144">
        <v>4.6869838899429146</v>
      </c>
      <c r="I67" s="145">
        <v>2100</v>
      </c>
      <c r="J67" s="145">
        <v>10864.46179532846</v>
      </c>
      <c r="K67" s="145">
        <v>8365.1775782734676</v>
      </c>
      <c r="L67" s="145">
        <v>1983.3110984060536</v>
      </c>
      <c r="M67" s="145">
        <v>1000</v>
      </c>
      <c r="N67" s="145">
        <v>1000</v>
      </c>
      <c r="O67" s="145">
        <v>769.9578438271426</v>
      </c>
      <c r="P67" s="145">
        <v>182.5503311410092</v>
      </c>
      <c r="Q67" s="1"/>
      <c r="R67" s="150"/>
      <c r="T67" s="255">
        <v>2044</v>
      </c>
      <c r="U67" s="241">
        <v>60</v>
      </c>
      <c r="V67" s="241">
        <v>25</v>
      </c>
      <c r="W67" s="241">
        <v>1</v>
      </c>
      <c r="X67" s="256">
        <v>8.2290678670606812E-2</v>
      </c>
      <c r="Y67" s="256">
        <v>0.36780647382929604</v>
      </c>
      <c r="Z67" s="256">
        <v>0.86260878438416388</v>
      </c>
      <c r="AA67" s="256">
        <v>3.0212716056263771</v>
      </c>
      <c r="AB67" s="257">
        <v>15000</v>
      </c>
      <c r="AC67" s="257">
        <v>39092.631405356406</v>
      </c>
      <c r="AD67" s="257">
        <v>3216.9591693666562</v>
      </c>
      <c r="AE67" s="257">
        <v>1183.2184085375709</v>
      </c>
      <c r="AF67" s="257">
        <v>3500</v>
      </c>
      <c r="AG67" s="257">
        <v>3500</v>
      </c>
      <c r="AH67" s="257">
        <v>288.01737534712385</v>
      </c>
      <c r="AI67" s="258">
        <v>105.93465522799444</v>
      </c>
    </row>
    <row r="68" spans="1:35" x14ac:dyDescent="0.25">
      <c r="A68" s="143">
        <v>2054</v>
      </c>
      <c r="B68" s="143">
        <v>70</v>
      </c>
      <c r="C68" s="143">
        <v>35</v>
      </c>
      <c r="D68" s="143">
        <v>1</v>
      </c>
      <c r="E68" s="144">
        <v>0.76099099939548975</v>
      </c>
      <c r="F68" s="144">
        <v>0.22580126902189723</v>
      </c>
      <c r="G68" s="144">
        <v>1.1314082128906247</v>
      </c>
      <c r="H68" s="144">
        <v>4.9213330844400609</v>
      </c>
      <c r="I68" s="145">
        <v>2100</v>
      </c>
      <c r="J68" s="145">
        <v>11692.877007222254</v>
      </c>
      <c r="K68" s="145">
        <v>8898.1741595346066</v>
      </c>
      <c r="L68" s="145">
        <v>2009.2190172007681</v>
      </c>
      <c r="M68" s="145">
        <v>1000</v>
      </c>
      <c r="N68" s="145">
        <v>1000</v>
      </c>
      <c r="O68" s="145">
        <v>760.99099939548978</v>
      </c>
      <c r="P68" s="145">
        <v>171.83273337774341</v>
      </c>
      <c r="Q68" s="1"/>
      <c r="R68" s="150"/>
      <c r="T68" s="255">
        <v>2045</v>
      </c>
      <c r="U68" s="241">
        <v>61</v>
      </c>
      <c r="V68" s="241">
        <v>26</v>
      </c>
      <c r="W68" s="241">
        <v>1</v>
      </c>
      <c r="X68" s="256">
        <v>8.1924528444045311E-2</v>
      </c>
      <c r="Y68" s="256">
        <v>0.35029187983742477</v>
      </c>
      <c r="Z68" s="256">
        <v>0.88848704791568878</v>
      </c>
      <c r="AA68" s="256">
        <v>3.1723351859076963</v>
      </c>
      <c r="AB68" s="257">
        <v>15000</v>
      </c>
      <c r="AC68" s="257">
        <v>42278.680864892951</v>
      </c>
      <c r="AD68" s="257">
        <v>3463.6609930926365</v>
      </c>
      <c r="AE68" s="257">
        <v>1213.2923203899811</v>
      </c>
      <c r="AF68" s="257">
        <v>3500</v>
      </c>
      <c r="AG68" s="257">
        <v>3500</v>
      </c>
      <c r="AH68" s="257">
        <v>286.73584955415856</v>
      </c>
      <c r="AI68" s="258">
        <v>100.44123975710721</v>
      </c>
    </row>
    <row r="69" spans="1:35" x14ac:dyDescent="0.25">
      <c r="A69" s="143">
        <v>2055</v>
      </c>
      <c r="B69" s="143">
        <v>71</v>
      </c>
      <c r="C69" s="143">
        <v>36</v>
      </c>
      <c r="D69" s="143">
        <v>1</v>
      </c>
      <c r="E69" s="144">
        <v>0.75091190409580877</v>
      </c>
      <c r="F69" s="144">
        <v>0.21504882763990213</v>
      </c>
      <c r="G69" s="144">
        <v>1.1540363771484372</v>
      </c>
      <c r="H69" s="144">
        <v>5.1673997386620645</v>
      </c>
      <c r="I69" s="145">
        <v>2100</v>
      </c>
      <c r="J69" s="145">
        <v>12523.071274735035</v>
      </c>
      <c r="K69" s="145">
        <v>9403.7232960388119</v>
      </c>
      <c r="L69" s="145">
        <v>2022.2596702631829</v>
      </c>
      <c r="M69" s="145">
        <v>1000</v>
      </c>
      <c r="N69" s="145">
        <v>1000</v>
      </c>
      <c r="O69" s="145">
        <v>750.91190409580872</v>
      </c>
      <c r="P69" s="145">
        <v>161.48272463665029</v>
      </c>
      <c r="Q69" s="1"/>
      <c r="R69" s="150"/>
      <c r="T69" s="255">
        <v>2046</v>
      </c>
      <c r="U69" s="241">
        <v>62</v>
      </c>
      <c r="V69" s="241">
        <v>27</v>
      </c>
      <c r="W69" s="241">
        <v>1</v>
      </c>
      <c r="X69" s="256">
        <v>0.30155919348843885</v>
      </c>
      <c r="Y69" s="256">
        <v>0.33361131413088074</v>
      </c>
      <c r="Z69" s="256">
        <v>0.9151416593531595</v>
      </c>
      <c r="AA69" s="256">
        <v>3.3309519452030814</v>
      </c>
      <c r="AB69" s="257">
        <v>15000</v>
      </c>
      <c r="AC69" s="257">
        <v>45724.393355381733</v>
      </c>
      <c r="AD69" s="257">
        <v>13788.611182997047</v>
      </c>
      <c r="AE69" s="257">
        <v>4600.0366967994032</v>
      </c>
      <c r="AF69" s="257">
        <v>3500</v>
      </c>
      <c r="AG69" s="257">
        <v>3500</v>
      </c>
      <c r="AH69" s="257">
        <v>1055.457177209536</v>
      </c>
      <c r="AI69" s="258">
        <v>352.11245589774319</v>
      </c>
    </row>
    <row r="70" spans="1:35" x14ac:dyDescent="0.25">
      <c r="A70" s="143">
        <v>2056</v>
      </c>
      <c r="B70" s="143">
        <v>72</v>
      </c>
      <c r="C70" s="143">
        <v>37</v>
      </c>
      <c r="D70" s="143">
        <v>1</v>
      </c>
      <c r="E70" s="144">
        <v>0.73954118684067538</v>
      </c>
      <c r="F70" s="144">
        <v>0.20480840727609725</v>
      </c>
      <c r="G70" s="144">
        <v>1.177117104691406</v>
      </c>
      <c r="H70" s="144">
        <v>5.4257697255951678</v>
      </c>
      <c r="I70" s="145">
        <v>2100</v>
      </c>
      <c r="J70" s="145">
        <v>13412.209335241223</v>
      </c>
      <c r="K70" s="145">
        <v>9918.8812099398801</v>
      </c>
      <c r="L70" s="145">
        <v>2031.4702625685952</v>
      </c>
      <c r="M70" s="145">
        <v>1000</v>
      </c>
      <c r="N70" s="145">
        <v>1000</v>
      </c>
      <c r="O70" s="145">
        <v>739.54118684067544</v>
      </c>
      <c r="P70" s="145">
        <v>151.46425259191338</v>
      </c>
      <c r="Q70" s="1"/>
      <c r="R70" s="150"/>
      <c r="T70" s="255">
        <v>2047</v>
      </c>
      <c r="U70" s="241">
        <v>63</v>
      </c>
      <c r="V70" s="241">
        <v>28</v>
      </c>
      <c r="W70" s="241">
        <v>1</v>
      </c>
      <c r="X70" s="256">
        <v>0.45273876053242179</v>
      </c>
      <c r="Y70" s="256">
        <v>0.31772506107702925</v>
      </c>
      <c r="Z70" s="256">
        <v>0.94259590913375435</v>
      </c>
      <c r="AA70" s="256">
        <v>3.4974995424632356</v>
      </c>
      <c r="AB70" s="257">
        <v>15000</v>
      </c>
      <c r="AC70" s="257">
        <v>49450.931413845356</v>
      </c>
      <c r="AD70" s="257">
        <v>22388.353395478145</v>
      </c>
      <c r="AE70" s="257">
        <v>7113.3409499924092</v>
      </c>
      <c r="AF70" s="257">
        <v>3500</v>
      </c>
      <c r="AG70" s="257">
        <v>3500</v>
      </c>
      <c r="AH70" s="257">
        <v>1584.5856618634762</v>
      </c>
      <c r="AI70" s="258">
        <v>503.46257619735781</v>
      </c>
    </row>
    <row r="71" spans="1:35" x14ac:dyDescent="0.25">
      <c r="A71" s="143">
        <v>2057</v>
      </c>
      <c r="B71" s="143">
        <v>73</v>
      </c>
      <c r="C71" s="143">
        <v>38</v>
      </c>
      <c r="D71" s="143">
        <v>1</v>
      </c>
      <c r="E71" s="144">
        <v>0.72671709233030368</v>
      </c>
      <c r="F71" s="144">
        <v>0.19505562597723547</v>
      </c>
      <c r="G71" s="144">
        <v>1.2006594467852341</v>
      </c>
      <c r="H71" s="144">
        <v>5.6970582118749267</v>
      </c>
      <c r="I71" s="145">
        <v>2100</v>
      </c>
      <c r="J71" s="145">
        <v>14364.47619804335</v>
      </c>
      <c r="K71" s="145">
        <v>10438.910375489919</v>
      </c>
      <c r="L71" s="145">
        <v>2036.1681978114443</v>
      </c>
      <c r="M71" s="145">
        <v>1000</v>
      </c>
      <c r="N71" s="145">
        <v>1000</v>
      </c>
      <c r="O71" s="145">
        <v>726.71709233030367</v>
      </c>
      <c r="P71" s="145">
        <v>141.75025735284382</v>
      </c>
      <c r="Q71" s="1"/>
      <c r="R71" s="150"/>
      <c r="T71" s="255">
        <v>2048</v>
      </c>
      <c r="U71" s="241">
        <v>64</v>
      </c>
      <c r="V71" s="241">
        <v>29</v>
      </c>
      <c r="W71" s="241">
        <v>1</v>
      </c>
      <c r="X71" s="256">
        <v>0.52068955064672595</v>
      </c>
      <c r="Y71" s="256">
        <v>0.30259529626383735</v>
      </c>
      <c r="Z71" s="256">
        <v>0.970873786407767</v>
      </c>
      <c r="AA71" s="256">
        <v>3.6723745195863975</v>
      </c>
      <c r="AB71" s="257">
        <v>15000</v>
      </c>
      <c r="AC71" s="257">
        <v>53481.18232407375</v>
      </c>
      <c r="AD71" s="257">
        <v>27847.092792377585</v>
      </c>
      <c r="AE71" s="257">
        <v>8426.399293596065</v>
      </c>
      <c r="AF71" s="257">
        <v>3500</v>
      </c>
      <c r="AG71" s="257">
        <v>3500</v>
      </c>
      <c r="AH71" s="257">
        <v>1822.4134272635408</v>
      </c>
      <c r="AI71" s="258">
        <v>551.45373093800629</v>
      </c>
    </row>
    <row r="72" spans="1:35" x14ac:dyDescent="0.25">
      <c r="A72" s="143">
        <v>2058</v>
      </c>
      <c r="B72" s="143">
        <v>74</v>
      </c>
      <c r="C72" s="143">
        <v>39</v>
      </c>
      <c r="D72" s="143">
        <v>1</v>
      </c>
      <c r="E72" s="144">
        <v>0.71233691426354162</v>
      </c>
      <c r="F72" s="144">
        <v>0.18576726283546235</v>
      </c>
      <c r="G72" s="144">
        <v>1.2246726357209388</v>
      </c>
      <c r="H72" s="144">
        <v>5.9819111224686736</v>
      </c>
      <c r="I72" s="145">
        <v>2100</v>
      </c>
      <c r="J72" s="145">
        <v>15384.35400810443</v>
      </c>
      <c r="K72" s="145">
        <v>10958.843262071059</v>
      </c>
      <c r="L72" s="145">
        <v>2035.7943166377902</v>
      </c>
      <c r="M72" s="145">
        <v>1000</v>
      </c>
      <c r="N72" s="145">
        <v>1000</v>
      </c>
      <c r="O72" s="145">
        <v>712.33691426354164</v>
      </c>
      <c r="P72" s="145">
        <v>132.32887877939754</v>
      </c>
      <c r="Q72" s="1"/>
      <c r="R72" s="150"/>
      <c r="T72" s="255">
        <v>2049</v>
      </c>
      <c r="U72" s="241">
        <v>65</v>
      </c>
      <c r="V72" s="241">
        <v>30</v>
      </c>
      <c r="W72" s="241">
        <v>1</v>
      </c>
      <c r="X72" s="256">
        <v>0.79766257984514588</v>
      </c>
      <c r="Y72" s="256">
        <v>0.28818599644174986</v>
      </c>
      <c r="Z72" s="256">
        <v>1</v>
      </c>
      <c r="AA72" s="256">
        <v>3.8559932455657173</v>
      </c>
      <c r="AB72" s="257">
        <v>2100</v>
      </c>
      <c r="AC72" s="257">
        <v>8097.5858156880067</v>
      </c>
      <c r="AD72" s="257">
        <v>6459.1411922591551</v>
      </c>
      <c r="AE72" s="257">
        <v>1861.4340406491567</v>
      </c>
      <c r="AF72" s="257">
        <v>1000</v>
      </c>
      <c r="AG72" s="257">
        <v>1000</v>
      </c>
      <c r="AH72" s="257">
        <v>797.66257984514584</v>
      </c>
      <c r="AI72" s="258">
        <v>229.87518539697021</v>
      </c>
    </row>
    <row r="73" spans="1:35" x14ac:dyDescent="0.25">
      <c r="A73" s="143">
        <v>2059</v>
      </c>
      <c r="B73" s="143">
        <v>75</v>
      </c>
      <c r="C73" s="143">
        <v>40</v>
      </c>
      <c r="D73" s="143">
        <v>1</v>
      </c>
      <c r="E73" s="144">
        <v>0.69628473000971236</v>
      </c>
      <c r="F73" s="144">
        <v>0.17692120270044032</v>
      </c>
      <c r="G73" s="144">
        <v>1.2491660884353575</v>
      </c>
      <c r="H73" s="144">
        <v>6.2810066785921075</v>
      </c>
      <c r="I73" s="145">
        <v>2100</v>
      </c>
      <c r="J73" s="145">
        <v>16476.643142679844</v>
      </c>
      <c r="K73" s="145">
        <v>11472.435022067215</v>
      </c>
      <c r="L73" s="145">
        <v>2029.7170020067842</v>
      </c>
      <c r="M73" s="145">
        <v>1000</v>
      </c>
      <c r="N73" s="145">
        <v>1000</v>
      </c>
      <c r="O73" s="145">
        <v>696.28473000971235</v>
      </c>
      <c r="P73" s="145">
        <v>123.18753185526968</v>
      </c>
      <c r="Q73" s="1"/>
      <c r="R73" s="150"/>
      <c r="T73" s="255">
        <v>2050</v>
      </c>
      <c r="U73" s="241">
        <v>66</v>
      </c>
      <c r="V73" s="241">
        <v>31</v>
      </c>
      <c r="W73" s="241">
        <v>1</v>
      </c>
      <c r="X73" s="256">
        <v>0.79172098825197978</v>
      </c>
      <c r="Y73" s="256">
        <v>0.2744628537540475</v>
      </c>
      <c r="Z73" s="256">
        <v>1.0249999999999999</v>
      </c>
      <c r="AA73" s="256">
        <v>4.0487929078440033</v>
      </c>
      <c r="AB73" s="257">
        <v>2100</v>
      </c>
      <c r="AC73" s="257">
        <v>8715.0267341342169</v>
      </c>
      <c r="AD73" s="257">
        <v>6899.8695785911659</v>
      </c>
      <c r="AE73" s="257">
        <v>1893.7578950708685</v>
      </c>
      <c r="AF73" s="257">
        <v>1000</v>
      </c>
      <c r="AG73" s="257">
        <v>1000</v>
      </c>
      <c r="AH73" s="257">
        <v>791.72098825197975</v>
      </c>
      <c r="AI73" s="258">
        <v>217.29800181261308</v>
      </c>
    </row>
    <row r="74" spans="1:35" x14ac:dyDescent="0.25">
      <c r="A74" s="143">
        <v>2060</v>
      </c>
      <c r="B74" s="143">
        <v>76</v>
      </c>
      <c r="C74" s="143">
        <v>41</v>
      </c>
      <c r="D74" s="143">
        <v>1</v>
      </c>
      <c r="E74" s="144">
        <v>0.67847337196075141</v>
      </c>
      <c r="F74" s="144">
        <v>0.16849638352422885</v>
      </c>
      <c r="G74" s="144">
        <v>1.2679035797618876</v>
      </c>
      <c r="H74" s="144">
        <v>6.5950570125217132</v>
      </c>
      <c r="I74" s="145">
        <v>2100</v>
      </c>
      <c r="J74" s="145">
        <v>17559.982429311043</v>
      </c>
      <c r="K74" s="145">
        <v>11913.980490386211</v>
      </c>
      <c r="L74" s="145">
        <v>2007.4626260082953</v>
      </c>
      <c r="M74" s="145">
        <v>1000</v>
      </c>
      <c r="N74" s="145">
        <v>1000</v>
      </c>
      <c r="O74" s="145">
        <v>678.47337196075136</v>
      </c>
      <c r="P74" s="145">
        <v>114.32030949287554</v>
      </c>
      <c r="Q74" s="1"/>
      <c r="R74" s="150"/>
      <c r="T74" s="255">
        <v>2051</v>
      </c>
      <c r="U74" s="241">
        <v>67</v>
      </c>
      <c r="V74" s="241">
        <v>32</v>
      </c>
      <c r="W74" s="241">
        <v>1</v>
      </c>
      <c r="X74" s="256">
        <v>0.78519068500938616</v>
      </c>
      <c r="Y74" s="256">
        <v>0.26139319405147382</v>
      </c>
      <c r="Z74" s="256">
        <v>1.0506249999999999</v>
      </c>
      <c r="AA74" s="256">
        <v>4.2512325532362034</v>
      </c>
      <c r="AB74" s="257">
        <v>2100</v>
      </c>
      <c r="AC74" s="257">
        <v>9379.5475226119506</v>
      </c>
      <c r="AD74" s="257">
        <v>7364.7333443577681</v>
      </c>
      <c r="AE74" s="257">
        <v>1925.0911722190699</v>
      </c>
      <c r="AF74" s="257">
        <v>1000</v>
      </c>
      <c r="AG74" s="257">
        <v>1000</v>
      </c>
      <c r="AH74" s="257">
        <v>785.19068500938613</v>
      </c>
      <c r="AI74" s="258">
        <v>205.24350109406814</v>
      </c>
    </row>
    <row r="75" spans="1:35" x14ac:dyDescent="0.25">
      <c r="A75" s="143">
        <v>2061</v>
      </c>
      <c r="B75" s="143">
        <v>77</v>
      </c>
      <c r="C75" s="143">
        <v>42</v>
      </c>
      <c r="D75" s="143">
        <v>1</v>
      </c>
      <c r="E75" s="144">
        <v>0.65884793814485254</v>
      </c>
      <c r="F75" s="144">
        <v>0.16047274621355129</v>
      </c>
      <c r="G75" s="144">
        <v>1.2869221334583159</v>
      </c>
      <c r="H75" s="144">
        <v>6.9248098631477992</v>
      </c>
      <c r="I75" s="145">
        <v>2100</v>
      </c>
      <c r="J75" s="145">
        <v>18714.551274038244</v>
      </c>
      <c r="K75" s="145">
        <v>12330.04352020622</v>
      </c>
      <c r="L75" s="145">
        <v>1978.6359446200952</v>
      </c>
      <c r="M75" s="145">
        <v>1000</v>
      </c>
      <c r="N75" s="145">
        <v>1000</v>
      </c>
      <c r="O75" s="145">
        <v>658.84793814485249</v>
      </c>
      <c r="P75" s="145">
        <v>105.72713797124045</v>
      </c>
      <c r="Q75" s="1"/>
      <c r="R75" s="150"/>
      <c r="T75" s="255">
        <v>2052</v>
      </c>
      <c r="U75" s="241">
        <v>68</v>
      </c>
      <c r="V75" s="241">
        <v>33</v>
      </c>
      <c r="W75" s="241">
        <v>1</v>
      </c>
      <c r="X75" s="256">
        <v>0.77796864595838189</v>
      </c>
      <c r="Y75" s="256">
        <v>0.24894589909664172</v>
      </c>
      <c r="Z75" s="256">
        <v>1.0768906249999999</v>
      </c>
      <c r="AA75" s="256">
        <v>4.4637941808980139</v>
      </c>
      <c r="AB75" s="257">
        <v>2100</v>
      </c>
      <c r="AC75" s="257">
        <v>10094.738021211113</v>
      </c>
      <c r="AD75" s="257">
        <v>7853.389669666205</v>
      </c>
      <c r="AE75" s="257">
        <v>1955.0691522713316</v>
      </c>
      <c r="AF75" s="257">
        <v>1000</v>
      </c>
      <c r="AG75" s="257">
        <v>1000</v>
      </c>
      <c r="AH75" s="257">
        <v>777.9686459583819</v>
      </c>
      <c r="AI75" s="258">
        <v>193.67210403710632</v>
      </c>
    </row>
    <row r="76" spans="1:35" x14ac:dyDescent="0.25">
      <c r="A76" s="143">
        <v>2062</v>
      </c>
      <c r="B76" s="143">
        <v>78</v>
      </c>
      <c r="C76" s="143">
        <v>43</v>
      </c>
      <c r="D76" s="143">
        <v>1</v>
      </c>
      <c r="E76" s="144">
        <v>0.63738901021444172</v>
      </c>
      <c r="F76" s="144">
        <v>0.15283118687004885</v>
      </c>
      <c r="G76" s="144">
        <v>1.3062259654601904</v>
      </c>
      <c r="H76" s="144">
        <v>7.2710503563051896</v>
      </c>
      <c r="I76" s="145">
        <v>2100</v>
      </c>
      <c r="J76" s="145">
        <v>19945.033020306255</v>
      </c>
      <c r="K76" s="145">
        <v>12712.744855507361</v>
      </c>
      <c r="L76" s="145">
        <v>1942.9038846432975</v>
      </c>
      <c r="M76" s="145">
        <v>1000</v>
      </c>
      <c r="N76" s="145">
        <v>1000</v>
      </c>
      <c r="O76" s="145">
        <v>637.38901021444167</v>
      </c>
      <c r="P76" s="145">
        <v>97.412918928998806</v>
      </c>
      <c r="Q76" s="1"/>
      <c r="R76" s="150"/>
      <c r="T76" s="255">
        <v>2053</v>
      </c>
      <c r="U76" s="241">
        <v>69</v>
      </c>
      <c r="V76" s="241">
        <v>34</v>
      </c>
      <c r="W76" s="241">
        <v>1</v>
      </c>
      <c r="X76" s="256">
        <v>0.76995784382714261</v>
      </c>
      <c r="Y76" s="256">
        <v>0.23709133247299211</v>
      </c>
      <c r="Z76" s="256">
        <v>1.1038128906249998</v>
      </c>
      <c r="AA76" s="256">
        <v>4.6869838899429146</v>
      </c>
      <c r="AB76" s="257">
        <v>2100</v>
      </c>
      <c r="AC76" s="257">
        <v>10864.46179532846</v>
      </c>
      <c r="AD76" s="257">
        <v>8365.1775782734676</v>
      </c>
      <c r="AE76" s="257">
        <v>1983.3110984060536</v>
      </c>
      <c r="AF76" s="257">
        <v>1000</v>
      </c>
      <c r="AG76" s="257">
        <v>1000</v>
      </c>
      <c r="AH76" s="257">
        <v>769.9578438271426</v>
      </c>
      <c r="AI76" s="258">
        <v>182.5503311410092</v>
      </c>
    </row>
    <row r="77" spans="1:35" x14ac:dyDescent="0.25">
      <c r="A77" s="143">
        <v>2063</v>
      </c>
      <c r="B77" s="143">
        <v>79</v>
      </c>
      <c r="C77" s="143">
        <v>44</v>
      </c>
      <c r="D77" s="143">
        <v>1</v>
      </c>
      <c r="E77" s="144">
        <v>0.61414668724683197</v>
      </c>
      <c r="F77" s="144">
        <v>0.14555351130480843</v>
      </c>
      <c r="G77" s="144">
        <v>1.3258193549420931</v>
      </c>
      <c r="H77" s="144">
        <v>7.634602874120449</v>
      </c>
      <c r="I77" s="145">
        <v>2100</v>
      </c>
      <c r="J77" s="145">
        <v>21256.418941391392</v>
      </c>
      <c r="K77" s="145">
        <v>13054.559275586334</v>
      </c>
      <c r="L77" s="145">
        <v>1900.1369410983473</v>
      </c>
      <c r="M77" s="145">
        <v>1000</v>
      </c>
      <c r="N77" s="145">
        <v>1000</v>
      </c>
      <c r="O77" s="145">
        <v>614.14668724683202</v>
      </c>
      <c r="P77" s="145">
        <v>89.391206784992406</v>
      </c>
      <c r="Q77" s="1"/>
      <c r="R77" s="150"/>
      <c r="T77" s="255">
        <v>2054</v>
      </c>
      <c r="U77" s="241">
        <v>70</v>
      </c>
      <c r="V77" s="241">
        <v>35</v>
      </c>
      <c r="W77" s="241">
        <v>1</v>
      </c>
      <c r="X77" s="256">
        <v>0.76099099939548975</v>
      </c>
      <c r="Y77" s="256">
        <v>0.22580126902189723</v>
      </c>
      <c r="Z77" s="256">
        <v>1.1314082128906247</v>
      </c>
      <c r="AA77" s="256">
        <v>4.9213330844400609</v>
      </c>
      <c r="AB77" s="257">
        <v>2100</v>
      </c>
      <c r="AC77" s="257">
        <v>11692.877007222254</v>
      </c>
      <c r="AD77" s="257">
        <v>8898.1741595346066</v>
      </c>
      <c r="AE77" s="257">
        <v>2009.2190172007681</v>
      </c>
      <c r="AF77" s="257">
        <v>1000</v>
      </c>
      <c r="AG77" s="257">
        <v>1000</v>
      </c>
      <c r="AH77" s="257">
        <v>760.99099939548978</v>
      </c>
      <c r="AI77" s="258">
        <v>171.83273337774341</v>
      </c>
    </row>
    <row r="78" spans="1:35" x14ac:dyDescent="0.25">
      <c r="A78" s="143">
        <v>2064</v>
      </c>
      <c r="B78" s="143">
        <v>80</v>
      </c>
      <c r="C78" s="143">
        <v>45</v>
      </c>
      <c r="D78" s="143">
        <v>1</v>
      </c>
      <c r="E78" s="144">
        <v>0.58917743669067546</v>
      </c>
      <c r="F78" s="144">
        <v>0.13862239171886517</v>
      </c>
      <c r="G78" s="144">
        <v>1.3457066452662243</v>
      </c>
      <c r="H78" s="144">
        <v>8.0163330178264722</v>
      </c>
      <c r="I78" s="145">
        <v>2100</v>
      </c>
      <c r="J78" s="145">
        <v>22654.028486787869</v>
      </c>
      <c r="K78" s="145">
        <v>13347.242434563219</v>
      </c>
      <c r="L78" s="145">
        <v>1850.2266691306822</v>
      </c>
      <c r="M78" s="145">
        <v>1000</v>
      </c>
      <c r="N78" s="145">
        <v>1000</v>
      </c>
      <c r="O78" s="145">
        <v>589.17743669067545</v>
      </c>
      <c r="P78" s="145">
        <v>81.673185420851695</v>
      </c>
      <c r="Q78" s="1"/>
      <c r="R78" s="150"/>
      <c r="T78" s="255">
        <v>2055</v>
      </c>
      <c r="U78" s="241">
        <v>71</v>
      </c>
      <c r="V78" s="241">
        <v>36</v>
      </c>
      <c r="W78" s="241">
        <v>1</v>
      </c>
      <c r="X78" s="256">
        <v>0.75091190409580877</v>
      </c>
      <c r="Y78" s="256">
        <v>0.21504882763990213</v>
      </c>
      <c r="Z78" s="256">
        <v>1.1540363771484372</v>
      </c>
      <c r="AA78" s="256">
        <v>5.1673997386620645</v>
      </c>
      <c r="AB78" s="257">
        <v>2100</v>
      </c>
      <c r="AC78" s="257">
        <v>12523.071274735035</v>
      </c>
      <c r="AD78" s="257">
        <v>9403.7232960388119</v>
      </c>
      <c r="AE78" s="257">
        <v>2022.2596702631829</v>
      </c>
      <c r="AF78" s="257">
        <v>1000</v>
      </c>
      <c r="AG78" s="257">
        <v>1000</v>
      </c>
      <c r="AH78" s="257">
        <v>750.91190409580872</v>
      </c>
      <c r="AI78" s="258">
        <v>161.48272463665029</v>
      </c>
    </row>
    <row r="79" spans="1:35" x14ac:dyDescent="0.25">
      <c r="A79" s="143">
        <v>2065</v>
      </c>
      <c r="B79" s="143">
        <v>81</v>
      </c>
      <c r="C79" s="143">
        <v>46</v>
      </c>
      <c r="D79" s="143">
        <v>1</v>
      </c>
      <c r="E79" s="144">
        <v>0.5625186945210614</v>
      </c>
      <c r="F79" s="144">
        <v>0.13202132544653825</v>
      </c>
      <c r="G79" s="144">
        <v>1.3591637117188866</v>
      </c>
      <c r="H79" s="144">
        <v>8.417149668717796</v>
      </c>
      <c r="I79" s="145">
        <v>2100</v>
      </c>
      <c r="J79" s="145">
        <v>24024.597210238542</v>
      </c>
      <c r="K79" s="145">
        <v>13514.285059097718</v>
      </c>
      <c r="L79" s="145">
        <v>1784.1738259644292</v>
      </c>
      <c r="M79" s="145">
        <v>1000</v>
      </c>
      <c r="N79" s="145">
        <v>1000</v>
      </c>
      <c r="O79" s="145">
        <v>562.51869452106143</v>
      </c>
      <c r="P79" s="145">
        <v>74.264463639126888</v>
      </c>
      <c r="Q79" s="1"/>
      <c r="R79" s="150"/>
      <c r="T79" s="255">
        <v>2056</v>
      </c>
      <c r="U79" s="241">
        <v>72</v>
      </c>
      <c r="V79" s="241">
        <v>37</v>
      </c>
      <c r="W79" s="241">
        <v>1</v>
      </c>
      <c r="X79" s="256">
        <v>0.73954118684067538</v>
      </c>
      <c r="Y79" s="256">
        <v>0.20480840727609725</v>
      </c>
      <c r="Z79" s="256">
        <v>1.177117104691406</v>
      </c>
      <c r="AA79" s="256">
        <v>5.4257697255951678</v>
      </c>
      <c r="AB79" s="257">
        <v>2100</v>
      </c>
      <c r="AC79" s="257">
        <v>13412.209335241223</v>
      </c>
      <c r="AD79" s="257">
        <v>9918.8812099398801</v>
      </c>
      <c r="AE79" s="257">
        <v>2031.4702625685952</v>
      </c>
      <c r="AF79" s="257">
        <v>1000</v>
      </c>
      <c r="AG79" s="257">
        <v>1000</v>
      </c>
      <c r="AH79" s="257">
        <v>739.54118684067544</v>
      </c>
      <c r="AI79" s="258">
        <v>151.46425259191338</v>
      </c>
    </row>
    <row r="80" spans="1:35" x14ac:dyDescent="0.25">
      <c r="A80" s="143">
        <v>2066</v>
      </c>
      <c r="B80" s="143">
        <v>82</v>
      </c>
      <c r="C80" s="143">
        <v>47</v>
      </c>
      <c r="D80" s="143">
        <v>1</v>
      </c>
      <c r="E80" s="144">
        <v>0.534314615711035</v>
      </c>
      <c r="F80" s="144">
        <v>0.12573459566336975</v>
      </c>
      <c r="G80" s="144">
        <v>1.3727553488360755</v>
      </c>
      <c r="H80" s="144">
        <v>8.8380071521536863</v>
      </c>
      <c r="I80" s="145">
        <v>2100</v>
      </c>
      <c r="J80" s="145">
        <v>25478.085341457976</v>
      </c>
      <c r="K80" s="145">
        <v>13613.313378274073</v>
      </c>
      <c r="L80" s="145">
        <v>1711.6644532560326</v>
      </c>
      <c r="M80" s="145">
        <v>1000</v>
      </c>
      <c r="N80" s="145">
        <v>1000</v>
      </c>
      <c r="O80" s="145">
        <v>534.314615711035</v>
      </c>
      <c r="P80" s="145">
        <v>67.18183216345578</v>
      </c>
      <c r="Q80" s="1"/>
      <c r="R80" s="150"/>
      <c r="T80" s="255">
        <v>2057</v>
      </c>
      <c r="U80" s="241">
        <v>73</v>
      </c>
      <c r="V80" s="241">
        <v>38</v>
      </c>
      <c r="W80" s="241">
        <v>1</v>
      </c>
      <c r="X80" s="256">
        <v>0.72671709233030368</v>
      </c>
      <c r="Y80" s="256">
        <v>0.19505562597723547</v>
      </c>
      <c r="Z80" s="256">
        <v>1.2006594467852341</v>
      </c>
      <c r="AA80" s="256">
        <v>5.6970582118749267</v>
      </c>
      <c r="AB80" s="257">
        <v>2100</v>
      </c>
      <c r="AC80" s="257">
        <v>14364.47619804335</v>
      </c>
      <c r="AD80" s="257">
        <v>10438.910375489919</v>
      </c>
      <c r="AE80" s="257">
        <v>2036.1681978114443</v>
      </c>
      <c r="AF80" s="257">
        <v>1000</v>
      </c>
      <c r="AG80" s="257">
        <v>1000</v>
      </c>
      <c r="AH80" s="257">
        <v>726.71709233030367</v>
      </c>
      <c r="AI80" s="258">
        <v>141.75025735284382</v>
      </c>
    </row>
    <row r="81" spans="1:35" x14ac:dyDescent="0.25">
      <c r="A81" s="143">
        <v>2067</v>
      </c>
      <c r="B81" s="143">
        <v>83</v>
      </c>
      <c r="C81" s="143">
        <v>48</v>
      </c>
      <c r="D81" s="143">
        <v>1</v>
      </c>
      <c r="E81" s="144">
        <v>0.50475262858610526</v>
      </c>
      <c r="F81" s="144">
        <v>0.11974723396511404</v>
      </c>
      <c r="G81" s="144">
        <v>1.3864829023244363</v>
      </c>
      <c r="H81" s="144">
        <v>9.2799075097613706</v>
      </c>
      <c r="I81" s="145">
        <v>2100</v>
      </c>
      <c r="J81" s="145">
        <v>27019.509504616184</v>
      </c>
      <c r="K81" s="145">
        <v>13638.168445562274</v>
      </c>
      <c r="L81" s="145">
        <v>1633.1329477063814</v>
      </c>
      <c r="M81" s="145">
        <v>1000</v>
      </c>
      <c r="N81" s="145">
        <v>1000</v>
      </c>
      <c r="O81" s="145">
        <v>504.75262858610523</v>
      </c>
      <c r="P81" s="145">
        <v>60.442731109806651</v>
      </c>
      <c r="Q81" s="1"/>
      <c r="R81" s="150"/>
      <c r="T81" s="255">
        <v>2058</v>
      </c>
      <c r="U81" s="241">
        <v>74</v>
      </c>
      <c r="V81" s="241">
        <v>39</v>
      </c>
      <c r="W81" s="241">
        <v>1</v>
      </c>
      <c r="X81" s="256">
        <v>0.71233691426354162</v>
      </c>
      <c r="Y81" s="256">
        <v>0.18576726283546235</v>
      </c>
      <c r="Z81" s="256">
        <v>1.2246726357209388</v>
      </c>
      <c r="AA81" s="256">
        <v>5.9819111224686736</v>
      </c>
      <c r="AB81" s="257">
        <v>2100</v>
      </c>
      <c r="AC81" s="257">
        <v>15384.35400810443</v>
      </c>
      <c r="AD81" s="257">
        <v>10958.843262071059</v>
      </c>
      <c r="AE81" s="257">
        <v>2035.7943166377902</v>
      </c>
      <c r="AF81" s="257">
        <v>1000</v>
      </c>
      <c r="AG81" s="257">
        <v>1000</v>
      </c>
      <c r="AH81" s="257">
        <v>712.33691426354164</v>
      </c>
      <c r="AI81" s="258">
        <v>132.32887877939754</v>
      </c>
    </row>
    <row r="82" spans="1:35" x14ac:dyDescent="0.25">
      <c r="A82" s="143">
        <v>2068</v>
      </c>
      <c r="B82" s="143">
        <v>84</v>
      </c>
      <c r="C82" s="143">
        <v>49</v>
      </c>
      <c r="D82" s="143">
        <v>1</v>
      </c>
      <c r="E82" s="144">
        <v>0.47403099591910092</v>
      </c>
      <c r="F82" s="144">
        <v>0.11404498472868004</v>
      </c>
      <c r="G82" s="144">
        <v>1.4003477313476806</v>
      </c>
      <c r="H82" s="144">
        <v>9.7439028852494403</v>
      </c>
      <c r="I82" s="145">
        <v>2100</v>
      </c>
      <c r="J82" s="145">
        <v>28654.189829645464</v>
      </c>
      <c r="K82" s="145">
        <v>13582.974142201812</v>
      </c>
      <c r="L82" s="145">
        <v>1549.0700786174614</v>
      </c>
      <c r="M82" s="145">
        <v>1000</v>
      </c>
      <c r="N82" s="145">
        <v>1000</v>
      </c>
      <c r="O82" s="145">
        <v>474.03099591910092</v>
      </c>
      <c r="P82" s="145">
        <v>54.060857690514851</v>
      </c>
      <c r="Q82" s="1"/>
      <c r="R82" s="150"/>
      <c r="T82" s="255">
        <v>2059</v>
      </c>
      <c r="U82" s="241">
        <v>75</v>
      </c>
      <c r="V82" s="241">
        <v>40</v>
      </c>
      <c r="W82" s="241">
        <v>1</v>
      </c>
      <c r="X82" s="256">
        <v>0.69628473000971236</v>
      </c>
      <c r="Y82" s="256">
        <v>0.17692120270044032</v>
      </c>
      <c r="Z82" s="256">
        <v>1.2491660884353575</v>
      </c>
      <c r="AA82" s="256">
        <v>6.2810066785921075</v>
      </c>
      <c r="AB82" s="257">
        <v>2100</v>
      </c>
      <c r="AC82" s="257">
        <v>16476.643142679844</v>
      </c>
      <c r="AD82" s="257">
        <v>11472.435022067215</v>
      </c>
      <c r="AE82" s="257">
        <v>2029.7170020067842</v>
      </c>
      <c r="AF82" s="257">
        <v>1000</v>
      </c>
      <c r="AG82" s="257">
        <v>1000</v>
      </c>
      <c r="AH82" s="257">
        <v>696.28473000971235</v>
      </c>
      <c r="AI82" s="258">
        <v>123.18753185526968</v>
      </c>
    </row>
    <row r="83" spans="1:35" x14ac:dyDescent="0.25">
      <c r="A83" s="143">
        <v>2069</v>
      </c>
      <c r="B83" s="143">
        <v>85</v>
      </c>
      <c r="C83" s="143">
        <v>50</v>
      </c>
      <c r="D83" s="143">
        <v>1</v>
      </c>
      <c r="E83" s="144">
        <v>0.44238966442216721</v>
      </c>
      <c r="F83" s="144">
        <v>0.10861427117017146</v>
      </c>
      <c r="G83" s="144">
        <v>1.4143512086611574</v>
      </c>
      <c r="H83" s="144">
        <v>10.231098029511912</v>
      </c>
      <c r="I83" s="145">
        <v>2100</v>
      </c>
      <c r="J83" s="145">
        <v>30387.768314339013</v>
      </c>
      <c r="K83" s="145">
        <v>13443.234627119002</v>
      </c>
      <c r="L83" s="145">
        <v>1460.1271311941421</v>
      </c>
      <c r="M83" s="145">
        <v>1000</v>
      </c>
      <c r="N83" s="145">
        <v>1000</v>
      </c>
      <c r="O83" s="145">
        <v>442.38966442216719</v>
      </c>
      <c r="P83" s="145">
        <v>48.049830974430421</v>
      </c>
      <c r="Q83" s="1"/>
      <c r="R83" s="150"/>
      <c r="T83" s="255">
        <v>2060</v>
      </c>
      <c r="U83" s="241">
        <v>76</v>
      </c>
      <c r="V83" s="241">
        <v>41</v>
      </c>
      <c r="W83" s="241">
        <v>1</v>
      </c>
      <c r="X83" s="256">
        <v>0.67847337196075141</v>
      </c>
      <c r="Y83" s="256">
        <v>0.16849638352422885</v>
      </c>
      <c r="Z83" s="256">
        <v>1.2679035797618876</v>
      </c>
      <c r="AA83" s="256">
        <v>6.5950570125217132</v>
      </c>
      <c r="AB83" s="257">
        <v>2100</v>
      </c>
      <c r="AC83" s="257">
        <v>17559.982429311043</v>
      </c>
      <c r="AD83" s="257">
        <v>11913.980490386211</v>
      </c>
      <c r="AE83" s="257">
        <v>2007.4626260082953</v>
      </c>
      <c r="AF83" s="257">
        <v>1000</v>
      </c>
      <c r="AG83" s="257">
        <v>1000</v>
      </c>
      <c r="AH83" s="257">
        <v>678.47337196075136</v>
      </c>
      <c r="AI83" s="258">
        <v>114.32030949287554</v>
      </c>
    </row>
    <row r="84" spans="1:35" x14ac:dyDescent="0.25">
      <c r="A84" s="143">
        <v>2070</v>
      </c>
      <c r="B84" s="143">
        <v>86</v>
      </c>
      <c r="C84" s="143">
        <v>51</v>
      </c>
      <c r="D84" s="143">
        <v>1</v>
      </c>
      <c r="E84" s="144">
        <v>0.41003829342478615</v>
      </c>
      <c r="F84" s="144">
        <v>0.10344216301921091</v>
      </c>
      <c r="G84" s="144">
        <v>1.4214229647044629</v>
      </c>
      <c r="H84" s="144">
        <v>10.742652930987509</v>
      </c>
      <c r="I84" s="145">
        <v>2100</v>
      </c>
      <c r="J84" s="145">
        <v>32066.692513706243</v>
      </c>
      <c r="K84" s="145">
        <v>13148.571874097473</v>
      </c>
      <c r="L84" s="145">
        <v>1360.1167152702023</v>
      </c>
      <c r="M84" s="145">
        <v>1000</v>
      </c>
      <c r="N84" s="145">
        <v>1000</v>
      </c>
      <c r="O84" s="145">
        <v>410.03829342478616</v>
      </c>
      <c r="P84" s="145">
        <v>42.415247992565767</v>
      </c>
      <c r="Q84" s="1"/>
      <c r="R84" s="150"/>
      <c r="T84" s="255">
        <v>2061</v>
      </c>
      <c r="U84" s="241">
        <v>77</v>
      </c>
      <c r="V84" s="241">
        <v>42</v>
      </c>
      <c r="W84" s="241">
        <v>1</v>
      </c>
      <c r="X84" s="256">
        <v>0.65884793814485254</v>
      </c>
      <c r="Y84" s="256">
        <v>0.16047274621355129</v>
      </c>
      <c r="Z84" s="256">
        <v>1.2869221334583159</v>
      </c>
      <c r="AA84" s="256">
        <v>6.9248098631477992</v>
      </c>
      <c r="AB84" s="257">
        <v>2100</v>
      </c>
      <c r="AC84" s="257">
        <v>18714.551274038244</v>
      </c>
      <c r="AD84" s="257">
        <v>12330.04352020622</v>
      </c>
      <c r="AE84" s="257">
        <v>1978.6359446200952</v>
      </c>
      <c r="AF84" s="257">
        <v>1000</v>
      </c>
      <c r="AG84" s="257">
        <v>1000</v>
      </c>
      <c r="AH84" s="257">
        <v>658.84793814485249</v>
      </c>
      <c r="AI84" s="258">
        <v>105.72713797124045</v>
      </c>
    </row>
    <row r="85" spans="1:35" x14ac:dyDescent="0.25">
      <c r="A85" s="143">
        <v>2071</v>
      </c>
      <c r="B85" s="143">
        <v>87</v>
      </c>
      <c r="C85" s="143">
        <v>52</v>
      </c>
      <c r="D85" s="143">
        <v>1</v>
      </c>
      <c r="E85" s="144">
        <v>0.37719232451930973</v>
      </c>
      <c r="F85" s="144">
        <v>9.851634573258182E-2</v>
      </c>
      <c r="G85" s="144">
        <v>1.4285300795279852</v>
      </c>
      <c r="H85" s="144">
        <v>11.279785577536884</v>
      </c>
      <c r="I85" s="145">
        <v>2100</v>
      </c>
      <c r="J85" s="145">
        <v>33838.377275088511</v>
      </c>
      <c r="K85" s="145">
        <v>12763.576182352021</v>
      </c>
      <c r="L85" s="145">
        <v>1257.4208839647386</v>
      </c>
      <c r="M85" s="145">
        <v>1000</v>
      </c>
      <c r="N85" s="145">
        <v>1000</v>
      </c>
      <c r="O85" s="145">
        <v>377.19232451930975</v>
      </c>
      <c r="P85" s="145">
        <v>37.159609450020518</v>
      </c>
      <c r="Q85" s="1"/>
      <c r="R85" s="150"/>
      <c r="T85" s="255">
        <v>2062</v>
      </c>
      <c r="U85" s="241">
        <v>78</v>
      </c>
      <c r="V85" s="241">
        <v>43</v>
      </c>
      <c r="W85" s="241">
        <v>1</v>
      </c>
      <c r="X85" s="256">
        <v>0.63738901021444172</v>
      </c>
      <c r="Y85" s="256">
        <v>0.15283118687004885</v>
      </c>
      <c r="Z85" s="256">
        <v>1.3062259654601904</v>
      </c>
      <c r="AA85" s="256">
        <v>7.2710503563051896</v>
      </c>
      <c r="AB85" s="257">
        <v>2100</v>
      </c>
      <c r="AC85" s="257">
        <v>19945.033020306255</v>
      </c>
      <c r="AD85" s="257">
        <v>12712.744855507361</v>
      </c>
      <c r="AE85" s="257">
        <v>1942.9038846432975</v>
      </c>
      <c r="AF85" s="257">
        <v>1000</v>
      </c>
      <c r="AG85" s="257">
        <v>1000</v>
      </c>
      <c r="AH85" s="257">
        <v>637.38901021444167</v>
      </c>
      <c r="AI85" s="258">
        <v>97.412918928998806</v>
      </c>
    </row>
    <row r="86" spans="1:35" x14ac:dyDescent="0.25">
      <c r="A86" s="143">
        <v>2072</v>
      </c>
      <c r="B86" s="143">
        <v>88</v>
      </c>
      <c r="C86" s="143">
        <v>53</v>
      </c>
      <c r="D86" s="143">
        <v>1</v>
      </c>
      <c r="E86" s="144">
        <v>0.34410318346216362</v>
      </c>
      <c r="F86" s="144">
        <v>9.3825091173887445E-2</v>
      </c>
      <c r="G86" s="144">
        <v>1.4356727299256249</v>
      </c>
      <c r="H86" s="144">
        <v>11.843774856413729</v>
      </c>
      <c r="I86" s="145">
        <v>2100</v>
      </c>
      <c r="J86" s="145">
        <v>35707.947619537146</v>
      </c>
      <c r="K86" s="145">
        <v>12287.218450782919</v>
      </c>
      <c r="L86" s="145">
        <v>1152.8493914181795</v>
      </c>
      <c r="M86" s="145">
        <v>1000</v>
      </c>
      <c r="N86" s="145">
        <v>1000</v>
      </c>
      <c r="O86" s="145">
        <v>344.1031834621636</v>
      </c>
      <c r="P86" s="145">
        <v>32.28551256156242</v>
      </c>
      <c r="Q86" s="1"/>
      <c r="R86" s="150"/>
      <c r="T86" s="255">
        <v>2063</v>
      </c>
      <c r="U86" s="241">
        <v>79</v>
      </c>
      <c r="V86" s="241">
        <v>44</v>
      </c>
      <c r="W86" s="241">
        <v>1</v>
      </c>
      <c r="X86" s="256">
        <v>0.61414668724683197</v>
      </c>
      <c r="Y86" s="256">
        <v>0.14555351130480843</v>
      </c>
      <c r="Z86" s="256">
        <v>1.3258193549420931</v>
      </c>
      <c r="AA86" s="256">
        <v>7.634602874120449</v>
      </c>
      <c r="AB86" s="257">
        <v>2100</v>
      </c>
      <c r="AC86" s="257">
        <v>21256.418941391392</v>
      </c>
      <c r="AD86" s="257">
        <v>13054.559275586334</v>
      </c>
      <c r="AE86" s="257">
        <v>1900.1369410983473</v>
      </c>
      <c r="AF86" s="257">
        <v>1000</v>
      </c>
      <c r="AG86" s="257">
        <v>1000</v>
      </c>
      <c r="AH86" s="257">
        <v>614.14668724683202</v>
      </c>
      <c r="AI86" s="258">
        <v>89.391206784992406</v>
      </c>
    </row>
    <row r="87" spans="1:35" x14ac:dyDescent="0.25">
      <c r="A87" s="143">
        <v>2073</v>
      </c>
      <c r="B87" s="143">
        <v>89</v>
      </c>
      <c r="C87" s="143">
        <v>54</v>
      </c>
      <c r="D87" s="143">
        <v>1</v>
      </c>
      <c r="E87" s="144">
        <v>0.31092433288219679</v>
      </c>
      <c r="F87" s="144">
        <v>8.9357229689416617E-2</v>
      </c>
      <c r="G87" s="144">
        <v>1.4428510935752528</v>
      </c>
      <c r="H87" s="144">
        <v>12.435963599234416</v>
      </c>
      <c r="I87" s="145">
        <v>2100</v>
      </c>
      <c r="J87" s="145">
        <v>37680.811725516571</v>
      </c>
      <c r="K87" s="145">
        <v>11715.881248215897</v>
      </c>
      <c r="L87" s="145">
        <v>1046.898691710757</v>
      </c>
      <c r="M87" s="145">
        <v>1000</v>
      </c>
      <c r="N87" s="145">
        <v>1000</v>
      </c>
      <c r="O87" s="145">
        <v>310.92433288219678</v>
      </c>
      <c r="P87" s="145">
        <v>27.783337029383091</v>
      </c>
      <c r="Q87" s="1"/>
      <c r="R87" s="150"/>
      <c r="T87" s="255">
        <v>2064</v>
      </c>
      <c r="U87" s="241">
        <v>80</v>
      </c>
      <c r="V87" s="241">
        <v>45</v>
      </c>
      <c r="W87" s="241">
        <v>1</v>
      </c>
      <c r="X87" s="256">
        <v>0.58917743669067546</v>
      </c>
      <c r="Y87" s="256">
        <v>0.13862239171886517</v>
      </c>
      <c r="Z87" s="256">
        <v>1.3457066452662243</v>
      </c>
      <c r="AA87" s="256">
        <v>8.0163330178264722</v>
      </c>
      <c r="AB87" s="257">
        <v>2100</v>
      </c>
      <c r="AC87" s="257">
        <v>22654.028486787869</v>
      </c>
      <c r="AD87" s="257">
        <v>13347.242434563219</v>
      </c>
      <c r="AE87" s="257">
        <v>1850.2266691306822</v>
      </c>
      <c r="AF87" s="257">
        <v>1000</v>
      </c>
      <c r="AG87" s="257">
        <v>1000</v>
      </c>
      <c r="AH87" s="257">
        <v>589.17743669067545</v>
      </c>
      <c r="AI87" s="258">
        <v>81.673185420851695</v>
      </c>
    </row>
    <row r="88" spans="1:35" x14ac:dyDescent="0.25">
      <c r="A88" s="143">
        <v>2074</v>
      </c>
      <c r="B88" s="143">
        <v>90</v>
      </c>
      <c r="C88" s="143">
        <v>55</v>
      </c>
      <c r="D88" s="143">
        <v>1</v>
      </c>
      <c r="E88" s="144">
        <v>0.27786614903500484</v>
      </c>
      <c r="F88" s="144">
        <v>8.5102123513730102E-2</v>
      </c>
      <c r="G88" s="144">
        <v>1.4500653490431288</v>
      </c>
      <c r="H88" s="144">
        <v>13.057761779196138</v>
      </c>
      <c r="I88" s="145">
        <v>2100</v>
      </c>
      <c r="J88" s="145">
        <v>39762.676573351353</v>
      </c>
      <c r="K88" s="145">
        <v>11048.701814761542</v>
      </c>
      <c r="L88" s="145">
        <v>940.2679865062106</v>
      </c>
      <c r="M88" s="145">
        <v>1000</v>
      </c>
      <c r="N88" s="145">
        <v>1000</v>
      </c>
      <c r="O88" s="145">
        <v>277.86614903500487</v>
      </c>
      <c r="P88" s="145">
        <v>23.646999335461519</v>
      </c>
      <c r="Q88" s="1"/>
      <c r="R88" s="150"/>
      <c r="T88" s="255">
        <v>2065</v>
      </c>
      <c r="U88" s="241">
        <v>81</v>
      </c>
      <c r="V88" s="241">
        <v>46</v>
      </c>
      <c r="W88" s="241">
        <v>1</v>
      </c>
      <c r="X88" s="256">
        <v>0.5625186945210614</v>
      </c>
      <c r="Y88" s="256">
        <v>0.13202132544653825</v>
      </c>
      <c r="Z88" s="256">
        <v>1.3591637117188866</v>
      </c>
      <c r="AA88" s="256">
        <v>8.417149668717796</v>
      </c>
      <c r="AB88" s="257">
        <v>2100</v>
      </c>
      <c r="AC88" s="257">
        <v>24024.597210238542</v>
      </c>
      <c r="AD88" s="257">
        <v>13514.285059097718</v>
      </c>
      <c r="AE88" s="257">
        <v>1784.1738259644292</v>
      </c>
      <c r="AF88" s="257">
        <v>1000</v>
      </c>
      <c r="AG88" s="257">
        <v>1000</v>
      </c>
      <c r="AH88" s="257">
        <v>562.51869452106143</v>
      </c>
      <c r="AI88" s="258">
        <v>74.264463639126888</v>
      </c>
    </row>
    <row r="89" spans="1:35" x14ac:dyDescent="0.25">
      <c r="A89" s="5"/>
      <c r="B89" s="5"/>
      <c r="C89" s="5"/>
      <c r="D89" s="5"/>
      <c r="E89" s="5"/>
      <c r="F89" s="5"/>
      <c r="G89" s="5"/>
      <c r="H89" s="5"/>
      <c r="I89" s="5"/>
      <c r="J89" s="5"/>
      <c r="K89" s="5"/>
      <c r="L89" s="5"/>
      <c r="M89" s="5"/>
      <c r="N89" s="5"/>
      <c r="O89" s="5"/>
      <c r="P89" s="1"/>
      <c r="Q89" s="1"/>
      <c r="R89" s="150"/>
      <c r="T89" s="255">
        <v>2066</v>
      </c>
      <c r="U89" s="241">
        <v>82</v>
      </c>
      <c r="V89" s="241">
        <v>47</v>
      </c>
      <c r="W89" s="241">
        <v>1</v>
      </c>
      <c r="X89" s="256">
        <v>0.534314615711035</v>
      </c>
      <c r="Y89" s="256">
        <v>0.12573459566336975</v>
      </c>
      <c r="Z89" s="256">
        <v>1.3727553488360755</v>
      </c>
      <c r="AA89" s="256">
        <v>8.8380071521536863</v>
      </c>
      <c r="AB89" s="257">
        <v>2100</v>
      </c>
      <c r="AC89" s="257">
        <v>25478.085341457976</v>
      </c>
      <c r="AD89" s="257">
        <v>13613.313378274073</v>
      </c>
      <c r="AE89" s="257">
        <v>1711.6644532560326</v>
      </c>
      <c r="AF89" s="257">
        <v>1000</v>
      </c>
      <c r="AG89" s="257">
        <v>1000</v>
      </c>
      <c r="AH89" s="257">
        <v>534.314615711035</v>
      </c>
      <c r="AI89" s="258">
        <v>67.18183216345578</v>
      </c>
    </row>
    <row r="90" spans="1:35" x14ac:dyDescent="0.25">
      <c r="A90" s="141" t="s">
        <v>294</v>
      </c>
      <c r="B90" s="5"/>
      <c r="C90" s="5"/>
      <c r="D90" s="5"/>
      <c r="E90" s="5"/>
      <c r="F90" s="5"/>
      <c r="G90" s="5"/>
      <c r="H90" s="5"/>
      <c r="I90" s="5"/>
      <c r="J90" s="5"/>
      <c r="K90" s="5"/>
      <c r="L90" s="5"/>
      <c r="M90" s="5"/>
      <c r="N90" s="5"/>
      <c r="O90" s="5"/>
      <c r="P90" s="1"/>
      <c r="Q90" s="1"/>
      <c r="R90" s="150"/>
      <c r="T90" s="255">
        <v>2067</v>
      </c>
      <c r="U90" s="241">
        <v>83</v>
      </c>
      <c r="V90" s="241">
        <v>48</v>
      </c>
      <c r="W90" s="241">
        <v>1</v>
      </c>
      <c r="X90" s="256">
        <v>0.50475262858610526</v>
      </c>
      <c r="Y90" s="256">
        <v>0.11974723396511404</v>
      </c>
      <c r="Z90" s="256">
        <v>1.3864829023244363</v>
      </c>
      <c r="AA90" s="256">
        <v>9.2799075097613706</v>
      </c>
      <c r="AB90" s="257">
        <v>2100</v>
      </c>
      <c r="AC90" s="257">
        <v>27019.509504616184</v>
      </c>
      <c r="AD90" s="257">
        <v>13638.168445562274</v>
      </c>
      <c r="AE90" s="257">
        <v>1633.1329477063814</v>
      </c>
      <c r="AF90" s="257">
        <v>1000</v>
      </c>
      <c r="AG90" s="257">
        <v>1000</v>
      </c>
      <c r="AH90" s="257">
        <v>504.75262858610523</v>
      </c>
      <c r="AI90" s="258">
        <v>60.442731109806651</v>
      </c>
    </row>
    <row r="91" spans="1:35" ht="78.75" x14ac:dyDescent="0.25">
      <c r="A91" s="142" t="s">
        <v>183</v>
      </c>
      <c r="B91" s="142" t="s">
        <v>263</v>
      </c>
      <c r="C91" s="142" t="s">
        <v>264</v>
      </c>
      <c r="D91" s="142" t="s">
        <v>265</v>
      </c>
      <c r="E91" s="142" t="s">
        <v>266</v>
      </c>
      <c r="F91" s="142" t="s">
        <v>267</v>
      </c>
      <c r="G91" s="142" t="s">
        <v>268</v>
      </c>
      <c r="H91" s="142" t="s">
        <v>269</v>
      </c>
      <c r="I91" s="142" t="s">
        <v>270</v>
      </c>
      <c r="J91" s="142" t="s">
        <v>271</v>
      </c>
      <c r="K91" s="142" t="s">
        <v>272</v>
      </c>
      <c r="L91" s="142" t="s">
        <v>273</v>
      </c>
      <c r="M91" s="142" t="s">
        <v>274</v>
      </c>
      <c r="N91" s="142" t="s">
        <v>275</v>
      </c>
      <c r="O91" s="142" t="s">
        <v>276</v>
      </c>
      <c r="P91" s="142" t="s">
        <v>277</v>
      </c>
      <c r="Q91" s="1"/>
      <c r="R91" s="150"/>
      <c r="T91" s="255">
        <v>2068</v>
      </c>
      <c r="U91" s="241">
        <v>84</v>
      </c>
      <c r="V91" s="241">
        <v>49</v>
      </c>
      <c r="W91" s="241">
        <v>1</v>
      </c>
      <c r="X91" s="256">
        <v>0.47403099591910092</v>
      </c>
      <c r="Y91" s="256">
        <v>0.11404498472868004</v>
      </c>
      <c r="Z91" s="256">
        <v>1.4003477313476806</v>
      </c>
      <c r="AA91" s="256">
        <v>9.7439028852494403</v>
      </c>
      <c r="AB91" s="257">
        <v>2100</v>
      </c>
      <c r="AC91" s="257">
        <v>28654.189829645464</v>
      </c>
      <c r="AD91" s="257">
        <v>13582.974142201812</v>
      </c>
      <c r="AE91" s="257">
        <v>1549.0700786174614</v>
      </c>
      <c r="AF91" s="257">
        <v>1000</v>
      </c>
      <c r="AG91" s="257">
        <v>1000</v>
      </c>
      <c r="AH91" s="257">
        <v>474.03099591910092</v>
      </c>
      <c r="AI91" s="258">
        <v>54.060857690514851</v>
      </c>
    </row>
    <row r="92" spans="1:35" x14ac:dyDescent="0.25">
      <c r="A92" s="143">
        <v>2024</v>
      </c>
      <c r="B92" s="143">
        <v>40</v>
      </c>
      <c r="C92" s="143">
        <v>5</v>
      </c>
      <c r="D92" s="143">
        <v>0</v>
      </c>
      <c r="E92" s="144">
        <v>0</v>
      </c>
      <c r="F92" s="144">
        <v>0.97590007294853309</v>
      </c>
      <c r="G92" s="144">
        <v>0.47760556926165926</v>
      </c>
      <c r="H92" s="144">
        <v>1</v>
      </c>
      <c r="I92" s="145">
        <v>15000</v>
      </c>
      <c r="J92" s="145">
        <v>7164.0835389248887</v>
      </c>
      <c r="K92" s="145">
        <v>0</v>
      </c>
      <c r="L92" s="145">
        <v>0</v>
      </c>
      <c r="M92" s="146">
        <v>0.2</v>
      </c>
      <c r="N92" s="145">
        <v>1432.8167077849778</v>
      </c>
      <c r="O92" s="145">
        <v>0</v>
      </c>
      <c r="P92" s="145">
        <v>0</v>
      </c>
      <c r="Q92" s="1"/>
      <c r="R92" s="150"/>
      <c r="T92" s="255">
        <v>2069</v>
      </c>
      <c r="U92" s="241">
        <v>85</v>
      </c>
      <c r="V92" s="241">
        <v>50</v>
      </c>
      <c r="W92" s="241">
        <v>1</v>
      </c>
      <c r="X92" s="256">
        <v>0.44238966442216721</v>
      </c>
      <c r="Y92" s="256">
        <v>0.10861427117017146</v>
      </c>
      <c r="Z92" s="256">
        <v>1.4143512086611574</v>
      </c>
      <c r="AA92" s="256">
        <v>10.231098029511912</v>
      </c>
      <c r="AB92" s="257">
        <v>2100</v>
      </c>
      <c r="AC92" s="257">
        <v>30387.768314339013</v>
      </c>
      <c r="AD92" s="257">
        <v>13443.234627119002</v>
      </c>
      <c r="AE92" s="257">
        <v>1460.1271311941421</v>
      </c>
      <c r="AF92" s="257">
        <v>1000</v>
      </c>
      <c r="AG92" s="257">
        <v>1000</v>
      </c>
      <c r="AH92" s="257">
        <v>442.38966442216719</v>
      </c>
      <c r="AI92" s="258">
        <v>48.049830974430421</v>
      </c>
    </row>
    <row r="93" spans="1:35" x14ac:dyDescent="0.25">
      <c r="A93" s="143">
        <v>2025</v>
      </c>
      <c r="B93" s="143">
        <v>41</v>
      </c>
      <c r="C93" s="143">
        <v>6</v>
      </c>
      <c r="D93" s="143">
        <v>0</v>
      </c>
      <c r="E93" s="144">
        <v>0</v>
      </c>
      <c r="F93" s="144">
        <v>0.92942864090336486</v>
      </c>
      <c r="G93" s="144">
        <v>0.49193373633950904</v>
      </c>
      <c r="H93" s="144">
        <v>1.075</v>
      </c>
      <c r="I93" s="145">
        <v>15000</v>
      </c>
      <c r="J93" s="145">
        <v>7932.4314984745833</v>
      </c>
      <c r="K93" s="145">
        <v>0</v>
      </c>
      <c r="L93" s="145">
        <v>0</v>
      </c>
      <c r="M93" s="146">
        <v>0.2</v>
      </c>
      <c r="N93" s="145">
        <v>1586.4862996949169</v>
      </c>
      <c r="O93" s="145">
        <v>0</v>
      </c>
      <c r="P93" s="145">
        <v>0</v>
      </c>
      <c r="Q93" s="1"/>
      <c r="R93" s="150"/>
      <c r="T93" s="255">
        <v>2070</v>
      </c>
      <c r="U93" s="241">
        <v>86</v>
      </c>
      <c r="V93" s="241">
        <v>51</v>
      </c>
      <c r="W93" s="241">
        <v>1</v>
      </c>
      <c r="X93" s="256">
        <v>0.41003829342478615</v>
      </c>
      <c r="Y93" s="256">
        <v>0.10344216301921091</v>
      </c>
      <c r="Z93" s="256">
        <v>1.4214229647044629</v>
      </c>
      <c r="AA93" s="256">
        <v>10.742652930987509</v>
      </c>
      <c r="AB93" s="257">
        <v>2100</v>
      </c>
      <c r="AC93" s="257">
        <v>32066.692513706243</v>
      </c>
      <c r="AD93" s="257">
        <v>13148.571874097473</v>
      </c>
      <c r="AE93" s="257">
        <v>1360.1167152702023</v>
      </c>
      <c r="AF93" s="257">
        <v>1000</v>
      </c>
      <c r="AG93" s="257">
        <v>1000</v>
      </c>
      <c r="AH93" s="257">
        <v>410.03829342478616</v>
      </c>
      <c r="AI93" s="258">
        <v>42.415247992565767</v>
      </c>
    </row>
    <row r="94" spans="1:35" x14ac:dyDescent="0.25">
      <c r="A94" s="143">
        <v>2026</v>
      </c>
      <c r="B94" s="143">
        <v>42</v>
      </c>
      <c r="C94" s="143">
        <v>7</v>
      </c>
      <c r="D94" s="143">
        <v>0</v>
      </c>
      <c r="E94" s="144">
        <v>0</v>
      </c>
      <c r="F94" s="144">
        <v>0.88517013419368074</v>
      </c>
      <c r="G94" s="144">
        <v>0.50669174842969433</v>
      </c>
      <c r="H94" s="144">
        <v>1.1529374999999999</v>
      </c>
      <c r="I94" s="145">
        <v>15000</v>
      </c>
      <c r="J94" s="145">
        <v>8762.7587655774114</v>
      </c>
      <c r="K94" s="145">
        <v>0</v>
      </c>
      <c r="L94" s="145">
        <v>0</v>
      </c>
      <c r="M94" s="146">
        <v>0.2</v>
      </c>
      <c r="N94" s="145">
        <v>1752.5517531154824</v>
      </c>
      <c r="O94" s="145">
        <v>0</v>
      </c>
      <c r="P94" s="145">
        <v>0</v>
      </c>
      <c r="Q94" s="1"/>
      <c r="R94" s="150"/>
      <c r="T94" s="255">
        <v>2071</v>
      </c>
      <c r="U94" s="241">
        <v>87</v>
      </c>
      <c r="V94" s="241">
        <v>52</v>
      </c>
      <c r="W94" s="241">
        <v>1</v>
      </c>
      <c r="X94" s="256">
        <v>0.37719232451930973</v>
      </c>
      <c r="Y94" s="256">
        <v>9.851634573258182E-2</v>
      </c>
      <c r="Z94" s="256">
        <v>1.4285300795279852</v>
      </c>
      <c r="AA94" s="256">
        <v>11.279785577536884</v>
      </c>
      <c r="AB94" s="257">
        <v>2100</v>
      </c>
      <c r="AC94" s="257">
        <v>33838.377275088511</v>
      </c>
      <c r="AD94" s="257">
        <v>12763.576182352021</v>
      </c>
      <c r="AE94" s="257">
        <v>1257.4208839647386</v>
      </c>
      <c r="AF94" s="257">
        <v>1000</v>
      </c>
      <c r="AG94" s="257">
        <v>1000</v>
      </c>
      <c r="AH94" s="257">
        <v>377.19232451930975</v>
      </c>
      <c r="AI94" s="258">
        <v>37.159609450020518</v>
      </c>
    </row>
    <row r="95" spans="1:35" x14ac:dyDescent="0.25">
      <c r="A95" s="143">
        <v>2027</v>
      </c>
      <c r="B95" s="143">
        <v>43</v>
      </c>
      <c r="C95" s="143">
        <v>8</v>
      </c>
      <c r="D95" s="143">
        <v>0</v>
      </c>
      <c r="E95" s="144">
        <v>0</v>
      </c>
      <c r="F95" s="144">
        <v>0.843019175422553</v>
      </c>
      <c r="G95" s="144">
        <v>0.52189250088258521</v>
      </c>
      <c r="H95" s="144">
        <v>1.233643125</v>
      </c>
      <c r="I95" s="145">
        <v>15000</v>
      </c>
      <c r="J95" s="145">
        <v>9657.4364355428643</v>
      </c>
      <c r="K95" s="145">
        <v>0</v>
      </c>
      <c r="L95" s="145">
        <v>0</v>
      </c>
      <c r="M95" s="146">
        <v>0.2</v>
      </c>
      <c r="N95" s="145">
        <v>1931.4872871085729</v>
      </c>
      <c r="O95" s="145">
        <v>0</v>
      </c>
      <c r="P95" s="145">
        <v>0</v>
      </c>
      <c r="Q95" s="1"/>
      <c r="R95" s="150"/>
      <c r="T95" s="255">
        <v>2072</v>
      </c>
      <c r="U95" s="241">
        <v>88</v>
      </c>
      <c r="V95" s="241">
        <v>53</v>
      </c>
      <c r="W95" s="241">
        <v>1</v>
      </c>
      <c r="X95" s="256">
        <v>0.34410318346216362</v>
      </c>
      <c r="Y95" s="256">
        <v>9.3825091173887445E-2</v>
      </c>
      <c r="Z95" s="256">
        <v>1.4356727299256249</v>
      </c>
      <c r="AA95" s="256">
        <v>11.843774856413729</v>
      </c>
      <c r="AB95" s="257">
        <v>2100</v>
      </c>
      <c r="AC95" s="257">
        <v>35707.947619537146</v>
      </c>
      <c r="AD95" s="257">
        <v>12287.218450782919</v>
      </c>
      <c r="AE95" s="257">
        <v>1152.8493914181795</v>
      </c>
      <c r="AF95" s="257">
        <v>1000</v>
      </c>
      <c r="AG95" s="257">
        <v>1000</v>
      </c>
      <c r="AH95" s="257">
        <v>344.1031834621636</v>
      </c>
      <c r="AI95" s="258">
        <v>32.28551256156242</v>
      </c>
    </row>
    <row r="96" spans="1:35" x14ac:dyDescent="0.25">
      <c r="A96" s="143">
        <v>2028</v>
      </c>
      <c r="B96" s="143">
        <v>44</v>
      </c>
      <c r="C96" s="143">
        <v>9</v>
      </c>
      <c r="D96" s="143">
        <v>0</v>
      </c>
      <c r="E96" s="144">
        <v>0</v>
      </c>
      <c r="F96" s="144">
        <v>0.8028754051643362</v>
      </c>
      <c r="G96" s="144">
        <v>0.53754927590906276</v>
      </c>
      <c r="H96" s="144">
        <v>1.3169140359374998</v>
      </c>
      <c r="I96" s="145">
        <v>15000</v>
      </c>
      <c r="J96" s="145">
        <v>10618.592796790266</v>
      </c>
      <c r="K96" s="145">
        <v>0</v>
      </c>
      <c r="L96" s="145">
        <v>0</v>
      </c>
      <c r="M96" s="146">
        <v>0.2</v>
      </c>
      <c r="N96" s="145">
        <v>2123.7185593580534</v>
      </c>
      <c r="O96" s="145">
        <v>0</v>
      </c>
      <c r="P96" s="145">
        <v>0</v>
      </c>
      <c r="Q96" s="1"/>
      <c r="R96" s="150"/>
      <c r="T96" s="255">
        <v>2073</v>
      </c>
      <c r="U96" s="241">
        <v>89</v>
      </c>
      <c r="V96" s="241">
        <v>54</v>
      </c>
      <c r="W96" s="241">
        <v>1</v>
      </c>
      <c r="X96" s="256">
        <v>0.31092433288219679</v>
      </c>
      <c r="Y96" s="256">
        <v>8.9357229689416617E-2</v>
      </c>
      <c r="Z96" s="256">
        <v>1.4428510935752528</v>
      </c>
      <c r="AA96" s="256">
        <v>12.435963599234416</v>
      </c>
      <c r="AB96" s="257">
        <v>2100</v>
      </c>
      <c r="AC96" s="257">
        <v>37680.811725516571</v>
      </c>
      <c r="AD96" s="257">
        <v>11715.881248215897</v>
      </c>
      <c r="AE96" s="257">
        <v>1046.898691710757</v>
      </c>
      <c r="AF96" s="257">
        <v>1000</v>
      </c>
      <c r="AG96" s="257">
        <v>1000</v>
      </c>
      <c r="AH96" s="257">
        <v>310.92433288219678</v>
      </c>
      <c r="AI96" s="258">
        <v>27.783337029383091</v>
      </c>
    </row>
    <row r="97" spans="1:35" x14ac:dyDescent="0.25">
      <c r="A97" s="143">
        <v>2029</v>
      </c>
      <c r="B97" s="143">
        <v>45</v>
      </c>
      <c r="C97" s="143">
        <v>10</v>
      </c>
      <c r="D97" s="143">
        <v>0</v>
      </c>
      <c r="E97" s="144">
        <v>0</v>
      </c>
      <c r="F97" s="144">
        <v>0.7646432430136535</v>
      </c>
      <c r="G97" s="144">
        <v>0.55367575418633463</v>
      </c>
      <c r="H97" s="144">
        <v>1.4025134482734372</v>
      </c>
      <c r="I97" s="145">
        <v>15000</v>
      </c>
      <c r="J97" s="145">
        <v>11648.065368439082</v>
      </c>
      <c r="K97" s="145">
        <v>0</v>
      </c>
      <c r="L97" s="145">
        <v>0</v>
      </c>
      <c r="M97" s="146">
        <v>0.2</v>
      </c>
      <c r="N97" s="145">
        <v>2329.6130736878163</v>
      </c>
      <c r="O97" s="145">
        <v>0</v>
      </c>
      <c r="P97" s="145">
        <v>0</v>
      </c>
      <c r="Q97" s="1"/>
      <c r="R97" s="150"/>
      <c r="T97" s="259">
        <v>2074</v>
      </c>
      <c r="U97" s="260">
        <v>90</v>
      </c>
      <c r="V97" s="260">
        <v>55</v>
      </c>
      <c r="W97" s="260">
        <v>1</v>
      </c>
      <c r="X97" s="261">
        <v>0.27786614903500484</v>
      </c>
      <c r="Y97" s="261">
        <v>8.5102123513730102E-2</v>
      </c>
      <c r="Z97" s="261">
        <v>1.4500653490431288</v>
      </c>
      <c r="AA97" s="261">
        <v>13.057761779196138</v>
      </c>
      <c r="AB97" s="262">
        <v>2100</v>
      </c>
      <c r="AC97" s="262">
        <v>39762.676573351353</v>
      </c>
      <c r="AD97" s="262">
        <v>11048.701814761542</v>
      </c>
      <c r="AE97" s="262">
        <v>940.2679865062106</v>
      </c>
      <c r="AF97" s="262">
        <v>1000</v>
      </c>
      <c r="AG97" s="262">
        <v>1000</v>
      </c>
      <c r="AH97" s="262">
        <v>277.86614903500487</v>
      </c>
      <c r="AI97" s="263">
        <v>23.646999335461519</v>
      </c>
    </row>
    <row r="98" spans="1:35" x14ac:dyDescent="0.25">
      <c r="A98" s="143">
        <v>2030</v>
      </c>
      <c r="B98" s="143">
        <v>46</v>
      </c>
      <c r="C98" s="143">
        <v>11</v>
      </c>
      <c r="D98" s="143">
        <v>0</v>
      </c>
      <c r="E98" s="144">
        <v>0</v>
      </c>
      <c r="F98" s="144">
        <v>0.72823166001300332</v>
      </c>
      <c r="G98" s="144">
        <v>0.57028602681192464</v>
      </c>
      <c r="H98" s="144">
        <v>1.4901705387905271</v>
      </c>
      <c r="I98" s="145">
        <v>15000</v>
      </c>
      <c r="J98" s="145">
        <v>12747.351537585522</v>
      </c>
      <c r="K98" s="145">
        <v>0</v>
      </c>
      <c r="L98" s="145">
        <v>0</v>
      </c>
      <c r="M98" s="146">
        <v>0.2</v>
      </c>
      <c r="N98" s="145">
        <v>2549.4703075171046</v>
      </c>
      <c r="O98" s="145">
        <v>0</v>
      </c>
      <c r="P98" s="145">
        <v>0</v>
      </c>
      <c r="Q98" s="1"/>
      <c r="R98" s="150"/>
      <c r="S98" s="241"/>
      <c r="T98" s="241"/>
      <c r="U98" s="241"/>
      <c r="V98" s="241"/>
      <c r="W98" s="241"/>
      <c r="X98" s="241"/>
      <c r="Y98" s="241"/>
      <c r="Z98" s="241"/>
      <c r="AA98" s="241"/>
      <c r="AB98" s="241"/>
      <c r="AC98" s="241"/>
      <c r="AD98" s="241"/>
      <c r="AE98" s="241"/>
      <c r="AF98" s="241"/>
      <c r="AG98" s="241"/>
      <c r="AH98" s="241"/>
    </row>
    <row r="99" spans="1:35" x14ac:dyDescent="0.25">
      <c r="A99" s="143">
        <v>2031</v>
      </c>
      <c r="B99" s="143">
        <v>47</v>
      </c>
      <c r="C99" s="143">
        <v>12</v>
      </c>
      <c r="D99" s="143">
        <v>0</v>
      </c>
      <c r="E99" s="144">
        <v>0</v>
      </c>
      <c r="F99" s="144">
        <v>0.69355396191714602</v>
      </c>
      <c r="G99" s="144">
        <v>0.58739460761628237</v>
      </c>
      <c r="H99" s="144">
        <v>1.5795807711179588</v>
      </c>
      <c r="I99" s="145">
        <v>15000</v>
      </c>
      <c r="J99" s="145">
        <v>13917.558408735873</v>
      </c>
      <c r="K99" s="145">
        <v>0</v>
      </c>
      <c r="L99" s="145">
        <v>0</v>
      </c>
      <c r="M99" s="146">
        <v>0.2</v>
      </c>
      <c r="N99" s="145">
        <v>2783.5116817471749</v>
      </c>
      <c r="O99" s="145">
        <v>0</v>
      </c>
      <c r="P99" s="145">
        <v>0</v>
      </c>
      <c r="Q99" s="1"/>
      <c r="R99" s="150"/>
      <c r="S99" s="241"/>
      <c r="T99" s="240" t="s">
        <v>412</v>
      </c>
      <c r="U99" s="241"/>
      <c r="V99" s="241"/>
      <c r="W99" s="241"/>
      <c r="X99" s="241"/>
      <c r="Y99" s="241"/>
      <c r="Z99" s="241"/>
      <c r="AA99" s="241"/>
      <c r="AB99" s="241"/>
      <c r="AC99" s="241"/>
      <c r="AD99" s="241"/>
      <c r="AE99" s="241"/>
      <c r="AF99" s="241"/>
      <c r="AG99" s="241"/>
      <c r="AH99" s="241"/>
    </row>
    <row r="100" spans="1:35" ht="90" x14ac:dyDescent="0.25">
      <c r="A100" s="143">
        <v>2032</v>
      </c>
      <c r="B100" s="143">
        <v>48</v>
      </c>
      <c r="C100" s="143">
        <v>13</v>
      </c>
      <c r="D100" s="143">
        <v>0</v>
      </c>
      <c r="E100" s="144">
        <v>0</v>
      </c>
      <c r="F100" s="144">
        <v>0.66052758277823431</v>
      </c>
      <c r="G100" s="144">
        <v>0.60501644584477088</v>
      </c>
      <c r="H100" s="144">
        <v>1.6704066654572411</v>
      </c>
      <c r="I100" s="145">
        <v>15000</v>
      </c>
      <c r="J100" s="145">
        <v>15159.352557755328</v>
      </c>
      <c r="K100" s="145">
        <v>0</v>
      </c>
      <c r="L100" s="145">
        <v>0</v>
      </c>
      <c r="M100" s="146">
        <v>0.2</v>
      </c>
      <c r="N100" s="145">
        <v>3031.8705115510656</v>
      </c>
      <c r="O100" s="145">
        <v>0</v>
      </c>
      <c r="P100" s="145">
        <v>0</v>
      </c>
      <c r="Q100" s="1"/>
      <c r="R100" s="150"/>
      <c r="T100" s="251" t="s">
        <v>183</v>
      </c>
      <c r="U100" s="252" t="s">
        <v>263</v>
      </c>
      <c r="V100" s="252" t="s">
        <v>264</v>
      </c>
      <c r="W100" s="252" t="s">
        <v>265</v>
      </c>
      <c r="X100" s="253" t="s">
        <v>266</v>
      </c>
      <c r="Y100" s="252" t="s">
        <v>267</v>
      </c>
      <c r="Z100" s="252" t="s">
        <v>268</v>
      </c>
      <c r="AA100" s="252" t="s">
        <v>269</v>
      </c>
      <c r="AB100" s="252" t="s">
        <v>270</v>
      </c>
      <c r="AC100" s="252" t="s">
        <v>271</v>
      </c>
      <c r="AD100" s="252" t="s">
        <v>272</v>
      </c>
      <c r="AE100" s="252" t="s">
        <v>273</v>
      </c>
      <c r="AF100" s="252" t="s">
        <v>274</v>
      </c>
      <c r="AG100" s="252" t="s">
        <v>275</v>
      </c>
      <c r="AH100" s="252" t="s">
        <v>276</v>
      </c>
      <c r="AI100" s="254" t="s">
        <v>277</v>
      </c>
    </row>
    <row r="101" spans="1:35" x14ac:dyDescent="0.25">
      <c r="A101" s="143">
        <v>2033</v>
      </c>
      <c r="B101" s="143">
        <v>49</v>
      </c>
      <c r="C101" s="143">
        <v>14</v>
      </c>
      <c r="D101" s="143">
        <v>0</v>
      </c>
      <c r="E101" s="144">
        <v>0</v>
      </c>
      <c r="F101" s="144">
        <v>0.62907388836022315</v>
      </c>
      <c r="G101" s="144">
        <v>0.62316693922011401</v>
      </c>
      <c r="H101" s="144">
        <v>1.7622790320573893</v>
      </c>
      <c r="I101" s="145">
        <v>15000</v>
      </c>
      <c r="J101" s="145">
        <v>16472.910456884827</v>
      </c>
      <c r="K101" s="145">
        <v>0</v>
      </c>
      <c r="L101" s="145">
        <v>0</v>
      </c>
      <c r="M101" s="146">
        <v>0.2</v>
      </c>
      <c r="N101" s="145">
        <v>3294.5820913769658</v>
      </c>
      <c r="O101" s="145">
        <v>0</v>
      </c>
      <c r="P101" s="145">
        <v>0</v>
      </c>
      <c r="Q101" s="1"/>
      <c r="R101" s="150"/>
      <c r="T101" s="255">
        <v>2024</v>
      </c>
      <c r="U101" s="241">
        <v>40</v>
      </c>
      <c r="V101" s="241">
        <v>5</v>
      </c>
      <c r="W101" s="241">
        <v>0</v>
      </c>
      <c r="X101" s="256">
        <v>0</v>
      </c>
      <c r="Y101" s="256">
        <v>0.97590007294853309</v>
      </c>
      <c r="Z101" s="256">
        <v>0.47760556926165926</v>
      </c>
      <c r="AA101" s="256">
        <v>1</v>
      </c>
      <c r="AB101" s="257">
        <v>15000</v>
      </c>
      <c r="AC101" s="257">
        <v>7164.0835389248887</v>
      </c>
      <c r="AD101" s="257">
        <v>0</v>
      </c>
      <c r="AE101" s="257">
        <v>0</v>
      </c>
      <c r="AF101" s="264">
        <v>0.2</v>
      </c>
      <c r="AG101" s="257">
        <v>1432.8167077849778</v>
      </c>
      <c r="AH101" s="257">
        <v>0</v>
      </c>
      <c r="AI101" s="258">
        <v>0</v>
      </c>
    </row>
    <row r="102" spans="1:35" x14ac:dyDescent="0.25">
      <c r="A102" s="143">
        <v>2034</v>
      </c>
      <c r="B102" s="143">
        <v>50</v>
      </c>
      <c r="C102" s="143">
        <v>15</v>
      </c>
      <c r="D102" s="143">
        <v>0</v>
      </c>
      <c r="E102" s="144">
        <v>0</v>
      </c>
      <c r="F102" s="144">
        <v>0.59911798891449819</v>
      </c>
      <c r="G102" s="144">
        <v>0.64186194739671742</v>
      </c>
      <c r="H102" s="144">
        <v>1.8547986812404023</v>
      </c>
      <c r="I102" s="145">
        <v>15000</v>
      </c>
      <c r="J102" s="145">
        <v>17857.870403547418</v>
      </c>
      <c r="K102" s="145">
        <v>0</v>
      </c>
      <c r="L102" s="145">
        <v>0</v>
      </c>
      <c r="M102" s="146">
        <v>0.2</v>
      </c>
      <c r="N102" s="145">
        <v>3571.574080709484</v>
      </c>
      <c r="O102" s="145">
        <v>0</v>
      </c>
      <c r="P102" s="145">
        <v>0</v>
      </c>
      <c r="Q102" s="1"/>
      <c r="R102" s="150"/>
      <c r="T102" s="255">
        <v>2025</v>
      </c>
      <c r="U102" s="241">
        <v>41</v>
      </c>
      <c r="V102" s="241">
        <v>6</v>
      </c>
      <c r="W102" s="241">
        <v>0</v>
      </c>
      <c r="X102" s="256">
        <v>0</v>
      </c>
      <c r="Y102" s="256">
        <v>0.92942864090336486</v>
      </c>
      <c r="Z102" s="256">
        <v>0.49193373633950904</v>
      </c>
      <c r="AA102" s="256">
        <v>1.075</v>
      </c>
      <c r="AB102" s="257">
        <v>15000</v>
      </c>
      <c r="AC102" s="257">
        <v>7932.4314984745833</v>
      </c>
      <c r="AD102" s="257">
        <v>0</v>
      </c>
      <c r="AE102" s="257">
        <v>0</v>
      </c>
      <c r="AF102" s="264">
        <v>0.2</v>
      </c>
      <c r="AG102" s="257">
        <v>1586.4862996949169</v>
      </c>
      <c r="AH102" s="257">
        <v>0</v>
      </c>
      <c r="AI102" s="258">
        <v>0</v>
      </c>
    </row>
    <row r="103" spans="1:35" x14ac:dyDescent="0.25">
      <c r="A103" s="143">
        <v>2035</v>
      </c>
      <c r="B103" s="143">
        <v>51</v>
      </c>
      <c r="C103" s="143">
        <v>16</v>
      </c>
      <c r="D103" s="143">
        <v>0</v>
      </c>
      <c r="E103" s="144">
        <v>0</v>
      </c>
      <c r="F103" s="144">
        <v>0.57058856087095067</v>
      </c>
      <c r="G103" s="144">
        <v>0.66111780581861901</v>
      </c>
      <c r="H103" s="144">
        <v>1.9475386153024226</v>
      </c>
      <c r="I103" s="145">
        <v>15000</v>
      </c>
      <c r="J103" s="145">
        <v>19313.286841436537</v>
      </c>
      <c r="K103" s="145">
        <v>0</v>
      </c>
      <c r="L103" s="145">
        <v>0</v>
      </c>
      <c r="M103" s="146">
        <v>0.2</v>
      </c>
      <c r="N103" s="145">
        <v>3862.6573682873077</v>
      </c>
      <c r="O103" s="145">
        <v>0</v>
      </c>
      <c r="P103" s="145">
        <v>0</v>
      </c>
      <c r="Q103" s="1"/>
      <c r="R103" s="150"/>
      <c r="T103" s="255">
        <v>2026</v>
      </c>
      <c r="U103" s="241">
        <v>42</v>
      </c>
      <c r="V103" s="241">
        <v>7</v>
      </c>
      <c r="W103" s="241">
        <v>0</v>
      </c>
      <c r="X103" s="256">
        <v>0</v>
      </c>
      <c r="Y103" s="256">
        <v>0.88517013419368074</v>
      </c>
      <c r="Z103" s="256">
        <v>0.50669174842969433</v>
      </c>
      <c r="AA103" s="256">
        <v>1.1529374999999999</v>
      </c>
      <c r="AB103" s="257">
        <v>15000</v>
      </c>
      <c r="AC103" s="257">
        <v>8762.7587655774114</v>
      </c>
      <c r="AD103" s="257">
        <v>0</v>
      </c>
      <c r="AE103" s="257">
        <v>0</v>
      </c>
      <c r="AF103" s="264">
        <v>0.2</v>
      </c>
      <c r="AG103" s="257">
        <v>1752.5517531154824</v>
      </c>
      <c r="AH103" s="257">
        <v>0</v>
      </c>
      <c r="AI103" s="258">
        <v>0</v>
      </c>
    </row>
    <row r="104" spans="1:35" x14ac:dyDescent="0.25">
      <c r="A104" s="143">
        <v>2036</v>
      </c>
      <c r="B104" s="143">
        <v>52</v>
      </c>
      <c r="C104" s="143">
        <v>17</v>
      </c>
      <c r="D104" s="143">
        <v>0</v>
      </c>
      <c r="E104" s="144">
        <v>0</v>
      </c>
      <c r="F104" s="144">
        <v>0.54341767701995303</v>
      </c>
      <c r="G104" s="144">
        <v>0.68095133999317758</v>
      </c>
      <c r="H104" s="144">
        <v>2.0449155460675437</v>
      </c>
      <c r="I104" s="145">
        <v>15000</v>
      </c>
      <c r="J104" s="145">
        <v>20887.319719013616</v>
      </c>
      <c r="K104" s="145">
        <v>0</v>
      </c>
      <c r="L104" s="145">
        <v>0</v>
      </c>
      <c r="M104" s="146">
        <v>0.2</v>
      </c>
      <c r="N104" s="145">
        <v>4177.4639438027234</v>
      </c>
      <c r="O104" s="145">
        <v>0</v>
      </c>
      <c r="P104" s="145">
        <v>0</v>
      </c>
      <c r="Q104" s="1"/>
      <c r="R104" s="150"/>
      <c r="T104" s="255">
        <v>2027</v>
      </c>
      <c r="U104" s="241">
        <v>43</v>
      </c>
      <c r="V104" s="241">
        <v>8</v>
      </c>
      <c r="W104" s="241">
        <v>0</v>
      </c>
      <c r="X104" s="256">
        <v>0</v>
      </c>
      <c r="Y104" s="256">
        <v>0.843019175422553</v>
      </c>
      <c r="Z104" s="256">
        <v>0.52189250088258521</v>
      </c>
      <c r="AA104" s="256">
        <v>1.233643125</v>
      </c>
      <c r="AB104" s="257">
        <v>15000</v>
      </c>
      <c r="AC104" s="257">
        <v>9657.4364355428643</v>
      </c>
      <c r="AD104" s="257">
        <v>0</v>
      </c>
      <c r="AE104" s="257">
        <v>0</v>
      </c>
      <c r="AF104" s="264">
        <v>0.2</v>
      </c>
      <c r="AG104" s="257">
        <v>1931.4872871085729</v>
      </c>
      <c r="AH104" s="257">
        <v>0</v>
      </c>
      <c r="AI104" s="258">
        <v>0</v>
      </c>
    </row>
    <row r="105" spans="1:35" x14ac:dyDescent="0.25">
      <c r="A105" s="143">
        <v>2037</v>
      </c>
      <c r="B105" s="143">
        <v>53</v>
      </c>
      <c r="C105" s="143">
        <v>18</v>
      </c>
      <c r="D105" s="143">
        <v>0</v>
      </c>
      <c r="E105" s="144">
        <v>0</v>
      </c>
      <c r="F105" s="144">
        <v>0.51754064478090767</v>
      </c>
      <c r="G105" s="144">
        <v>0.70137988019297293</v>
      </c>
      <c r="H105" s="144">
        <v>2.1471613233709208</v>
      </c>
      <c r="I105" s="145">
        <v>15000</v>
      </c>
      <c r="J105" s="145">
        <v>22589.636276113226</v>
      </c>
      <c r="K105" s="145">
        <v>0</v>
      </c>
      <c r="L105" s="145">
        <v>0</v>
      </c>
      <c r="M105" s="146">
        <v>0.2</v>
      </c>
      <c r="N105" s="145">
        <v>4517.9272552226457</v>
      </c>
      <c r="O105" s="145">
        <v>0</v>
      </c>
      <c r="P105" s="145">
        <v>0</v>
      </c>
      <c r="Q105" s="1"/>
      <c r="R105" s="150"/>
      <c r="T105" s="255">
        <v>2028</v>
      </c>
      <c r="U105" s="241">
        <v>44</v>
      </c>
      <c r="V105" s="241">
        <v>9</v>
      </c>
      <c r="W105" s="241">
        <v>0</v>
      </c>
      <c r="X105" s="256">
        <v>0</v>
      </c>
      <c r="Y105" s="256">
        <v>0.8028754051643362</v>
      </c>
      <c r="Z105" s="256">
        <v>0.53754927590906276</v>
      </c>
      <c r="AA105" s="256">
        <v>1.3169140359374998</v>
      </c>
      <c r="AB105" s="257">
        <v>15000</v>
      </c>
      <c r="AC105" s="257">
        <v>10618.592796790266</v>
      </c>
      <c r="AD105" s="257">
        <v>0</v>
      </c>
      <c r="AE105" s="257">
        <v>0</v>
      </c>
      <c r="AF105" s="264">
        <v>0.2</v>
      </c>
      <c r="AG105" s="257">
        <v>2123.7185593580534</v>
      </c>
      <c r="AH105" s="257">
        <v>0</v>
      </c>
      <c r="AI105" s="258">
        <v>0</v>
      </c>
    </row>
    <row r="106" spans="1:35" x14ac:dyDescent="0.25">
      <c r="A106" s="143">
        <v>2038</v>
      </c>
      <c r="B106" s="143">
        <v>54</v>
      </c>
      <c r="C106" s="143">
        <v>19</v>
      </c>
      <c r="D106" s="143">
        <v>0</v>
      </c>
      <c r="E106" s="144">
        <v>0</v>
      </c>
      <c r="F106" s="144">
        <v>0.49289585217229298</v>
      </c>
      <c r="G106" s="144">
        <v>0.7224212765987621</v>
      </c>
      <c r="H106" s="144">
        <v>2.2545193895394671</v>
      </c>
      <c r="I106" s="145">
        <v>15000</v>
      </c>
      <c r="J106" s="145">
        <v>24430.691632616454</v>
      </c>
      <c r="K106" s="145">
        <v>0</v>
      </c>
      <c r="L106" s="145">
        <v>0</v>
      </c>
      <c r="M106" s="146">
        <v>0.2</v>
      </c>
      <c r="N106" s="145">
        <v>4886.1383265232907</v>
      </c>
      <c r="O106" s="145">
        <v>0</v>
      </c>
      <c r="P106" s="145">
        <v>0</v>
      </c>
      <c r="Q106" s="1"/>
      <c r="R106" s="150"/>
      <c r="T106" s="255">
        <v>2029</v>
      </c>
      <c r="U106" s="241">
        <v>45</v>
      </c>
      <c r="V106" s="241">
        <v>10</v>
      </c>
      <c r="W106" s="241">
        <v>0</v>
      </c>
      <c r="X106" s="256">
        <v>0</v>
      </c>
      <c r="Y106" s="256">
        <v>0.7646432430136535</v>
      </c>
      <c r="Z106" s="256">
        <v>0.55367575418633463</v>
      </c>
      <c r="AA106" s="256">
        <v>1.4025134482734372</v>
      </c>
      <c r="AB106" s="257">
        <v>15000</v>
      </c>
      <c r="AC106" s="257">
        <v>11648.065368439082</v>
      </c>
      <c r="AD106" s="257">
        <v>0</v>
      </c>
      <c r="AE106" s="257">
        <v>0</v>
      </c>
      <c r="AF106" s="264">
        <v>0.2</v>
      </c>
      <c r="AG106" s="257">
        <v>2329.6130736878163</v>
      </c>
      <c r="AH106" s="257">
        <v>0</v>
      </c>
      <c r="AI106" s="258">
        <v>0</v>
      </c>
    </row>
    <row r="107" spans="1:35" x14ac:dyDescent="0.25">
      <c r="A107" s="143">
        <v>2039</v>
      </c>
      <c r="B107" s="143">
        <v>55</v>
      </c>
      <c r="C107" s="143">
        <v>20</v>
      </c>
      <c r="D107" s="143">
        <v>1</v>
      </c>
      <c r="E107" s="144">
        <v>8.3657758364132084E-2</v>
      </c>
      <c r="F107" s="144">
        <v>0.46942462111646949</v>
      </c>
      <c r="G107" s="144">
        <v>0.74409391489672494</v>
      </c>
      <c r="H107" s="144">
        <v>2.3672453590164406</v>
      </c>
      <c r="I107" s="145">
        <v>15000</v>
      </c>
      <c r="J107" s="145">
        <v>26421.793000674697</v>
      </c>
      <c r="K107" s="145">
        <v>2210.3879743975604</v>
      </c>
      <c r="L107" s="145">
        <v>1037.6105374019753</v>
      </c>
      <c r="M107" s="146">
        <v>0.2</v>
      </c>
      <c r="N107" s="145">
        <v>5284.3586001349395</v>
      </c>
      <c r="O107" s="145">
        <v>442.07759487951205</v>
      </c>
      <c r="P107" s="145">
        <v>207.52210748039502</v>
      </c>
      <c r="Q107" s="1"/>
      <c r="R107" s="150"/>
      <c r="T107" s="255">
        <v>2030</v>
      </c>
      <c r="U107" s="241">
        <v>46</v>
      </c>
      <c r="V107" s="241">
        <v>11</v>
      </c>
      <c r="W107" s="241">
        <v>0</v>
      </c>
      <c r="X107" s="256">
        <v>0</v>
      </c>
      <c r="Y107" s="256">
        <v>0.72823166001300332</v>
      </c>
      <c r="Z107" s="256">
        <v>0.57028602681192464</v>
      </c>
      <c r="AA107" s="256">
        <v>1.4901705387905271</v>
      </c>
      <c r="AB107" s="257">
        <v>15000</v>
      </c>
      <c r="AC107" s="257">
        <v>12747.351537585522</v>
      </c>
      <c r="AD107" s="257">
        <v>0</v>
      </c>
      <c r="AE107" s="257">
        <v>0</v>
      </c>
      <c r="AF107" s="264">
        <v>0.2</v>
      </c>
      <c r="AG107" s="257">
        <v>2549.4703075171046</v>
      </c>
      <c r="AH107" s="257">
        <v>0</v>
      </c>
      <c r="AI107" s="258">
        <v>0</v>
      </c>
    </row>
    <row r="108" spans="1:35" x14ac:dyDescent="0.25">
      <c r="A108" s="143">
        <v>2040</v>
      </c>
      <c r="B108" s="143">
        <v>56</v>
      </c>
      <c r="C108" s="143">
        <v>21</v>
      </c>
      <c r="D108" s="143">
        <v>1</v>
      </c>
      <c r="E108" s="144">
        <v>8.3436081009928664E-2</v>
      </c>
      <c r="F108" s="144">
        <v>0.44707106772997091</v>
      </c>
      <c r="G108" s="144">
        <v>0.76641673234362673</v>
      </c>
      <c r="H108" s="144">
        <v>2.4856076269672629</v>
      </c>
      <c r="I108" s="145">
        <v>15000</v>
      </c>
      <c r="J108" s="145">
        <v>28575.169130229689</v>
      </c>
      <c r="K108" s="145">
        <v>2384.2001264222572</v>
      </c>
      <c r="L108" s="145">
        <v>1065.9068962015301</v>
      </c>
      <c r="M108" s="146">
        <v>0.2</v>
      </c>
      <c r="N108" s="145">
        <v>5715.0338260459384</v>
      </c>
      <c r="O108" s="145">
        <v>476.84002528445149</v>
      </c>
      <c r="P108" s="145">
        <v>213.18137924030606</v>
      </c>
      <c r="Q108" s="1"/>
      <c r="R108" s="150"/>
      <c r="T108" s="255">
        <v>2031</v>
      </c>
      <c r="U108" s="241">
        <v>47</v>
      </c>
      <c r="V108" s="241">
        <v>12</v>
      </c>
      <c r="W108" s="241">
        <v>0</v>
      </c>
      <c r="X108" s="256">
        <v>0</v>
      </c>
      <c r="Y108" s="256">
        <v>0.69355396191714602</v>
      </c>
      <c r="Z108" s="256">
        <v>0.58739460761628237</v>
      </c>
      <c r="AA108" s="256">
        <v>1.5795807711179588</v>
      </c>
      <c r="AB108" s="257">
        <v>15000</v>
      </c>
      <c r="AC108" s="257">
        <v>13917.558408735873</v>
      </c>
      <c r="AD108" s="257">
        <v>0</v>
      </c>
      <c r="AE108" s="257">
        <v>0</v>
      </c>
      <c r="AF108" s="264">
        <v>0.2</v>
      </c>
      <c r="AG108" s="257">
        <v>2783.5116817471749</v>
      </c>
      <c r="AH108" s="257">
        <v>0</v>
      </c>
      <c r="AI108" s="258">
        <v>0</v>
      </c>
    </row>
    <row r="109" spans="1:35" x14ac:dyDescent="0.25">
      <c r="A109" s="143">
        <v>2041</v>
      </c>
      <c r="B109" s="143">
        <v>57</v>
      </c>
      <c r="C109" s="143">
        <v>22</v>
      </c>
      <c r="D109" s="143">
        <v>1</v>
      </c>
      <c r="E109" s="144">
        <v>8.3189962117090982E-2</v>
      </c>
      <c r="F109" s="144">
        <v>0.42578196926663892</v>
      </c>
      <c r="G109" s="144">
        <v>0.7894092343139355</v>
      </c>
      <c r="H109" s="144">
        <v>2.6098880083156262</v>
      </c>
      <c r="I109" s="145">
        <v>15000</v>
      </c>
      <c r="J109" s="145">
        <v>30904.045414343407</v>
      </c>
      <c r="K109" s="145">
        <v>2570.9063672840875</v>
      </c>
      <c r="L109" s="145">
        <v>1094.6455758623597</v>
      </c>
      <c r="M109" s="146">
        <v>0.2</v>
      </c>
      <c r="N109" s="145">
        <v>6180.8090828686818</v>
      </c>
      <c r="O109" s="145">
        <v>514.18127345681751</v>
      </c>
      <c r="P109" s="145">
        <v>218.92911517247194</v>
      </c>
      <c r="Q109" s="1"/>
      <c r="R109" s="150"/>
      <c r="T109" s="255">
        <v>2032</v>
      </c>
      <c r="U109" s="241">
        <v>48</v>
      </c>
      <c r="V109" s="241">
        <v>13</v>
      </c>
      <c r="W109" s="241">
        <v>0</v>
      </c>
      <c r="X109" s="256">
        <v>0</v>
      </c>
      <c r="Y109" s="256">
        <v>0.66052758277823431</v>
      </c>
      <c r="Z109" s="256">
        <v>0.60501644584477088</v>
      </c>
      <c r="AA109" s="256">
        <v>1.6704066654572411</v>
      </c>
      <c r="AB109" s="257">
        <v>15000</v>
      </c>
      <c r="AC109" s="257">
        <v>15159.352557755328</v>
      </c>
      <c r="AD109" s="257">
        <v>0</v>
      </c>
      <c r="AE109" s="257">
        <v>0</v>
      </c>
      <c r="AF109" s="264">
        <v>0.2</v>
      </c>
      <c r="AG109" s="257">
        <v>3031.8705115510656</v>
      </c>
      <c r="AH109" s="257">
        <v>0</v>
      </c>
      <c r="AI109" s="258">
        <v>0</v>
      </c>
    </row>
    <row r="110" spans="1:35" x14ac:dyDescent="0.25">
      <c r="A110" s="143">
        <v>2042</v>
      </c>
      <c r="B110" s="143">
        <v>58</v>
      </c>
      <c r="C110" s="143">
        <v>23</v>
      </c>
      <c r="D110" s="143">
        <v>1</v>
      </c>
      <c r="E110" s="144">
        <v>8.291961411190274E-2</v>
      </c>
      <c r="F110" s="144">
        <v>0.40550663739679893</v>
      </c>
      <c r="G110" s="144">
        <v>0.81309151134335356</v>
      </c>
      <c r="H110" s="144">
        <v>2.7403824087314077</v>
      </c>
      <c r="I110" s="145">
        <v>15000</v>
      </c>
      <c r="J110" s="145">
        <v>33422.725115612397</v>
      </c>
      <c r="K110" s="145">
        <v>2771.39946915478</v>
      </c>
      <c r="L110" s="145">
        <v>1123.8208796202284</v>
      </c>
      <c r="M110" s="146">
        <v>0.2</v>
      </c>
      <c r="N110" s="145">
        <v>6684.5450231224795</v>
      </c>
      <c r="O110" s="145">
        <v>554.27989383095598</v>
      </c>
      <c r="P110" s="145">
        <v>224.76417592404567</v>
      </c>
      <c r="Q110" s="1"/>
      <c r="R110" s="150"/>
      <c r="T110" s="255">
        <v>2033</v>
      </c>
      <c r="U110" s="241">
        <v>49</v>
      </c>
      <c r="V110" s="241">
        <v>14</v>
      </c>
      <c r="W110" s="241">
        <v>0</v>
      </c>
      <c r="X110" s="256">
        <v>0</v>
      </c>
      <c r="Y110" s="256">
        <v>0.62907388836022315</v>
      </c>
      <c r="Z110" s="256">
        <v>0.62316693922011401</v>
      </c>
      <c r="AA110" s="256">
        <v>1.7622790320573893</v>
      </c>
      <c r="AB110" s="257">
        <v>15000</v>
      </c>
      <c r="AC110" s="257">
        <v>16472.910456884827</v>
      </c>
      <c r="AD110" s="257">
        <v>0</v>
      </c>
      <c r="AE110" s="257">
        <v>0</v>
      </c>
      <c r="AF110" s="264">
        <v>0.2</v>
      </c>
      <c r="AG110" s="257">
        <v>3294.5820913769658</v>
      </c>
      <c r="AH110" s="257">
        <v>0</v>
      </c>
      <c r="AI110" s="258">
        <v>0</v>
      </c>
    </row>
    <row r="111" spans="1:35" x14ac:dyDescent="0.25">
      <c r="A111" s="143">
        <v>2043</v>
      </c>
      <c r="B111" s="143">
        <v>59</v>
      </c>
      <c r="C111" s="143">
        <v>24</v>
      </c>
      <c r="D111" s="143">
        <v>1</v>
      </c>
      <c r="E111" s="144">
        <v>8.2621131741777848E-2</v>
      </c>
      <c r="F111" s="144">
        <v>0.38619679752076086</v>
      </c>
      <c r="G111" s="144">
        <v>0.83748425668365423</v>
      </c>
      <c r="H111" s="144">
        <v>2.8774015291679782</v>
      </c>
      <c r="I111" s="145">
        <v>15000</v>
      </c>
      <c r="J111" s="145">
        <v>36146.677212534814</v>
      </c>
      <c r="K111" s="145">
        <v>2986.4793800043581</v>
      </c>
      <c r="L111" s="145">
        <v>1153.3687724194706</v>
      </c>
      <c r="M111" s="146">
        <v>0.2</v>
      </c>
      <c r="N111" s="145">
        <v>7229.3354425069629</v>
      </c>
      <c r="O111" s="145">
        <v>597.29587600087166</v>
      </c>
      <c r="P111" s="145">
        <v>230.67375448389413</v>
      </c>
      <c r="Q111" s="1"/>
      <c r="R111" s="150"/>
      <c r="T111" s="255">
        <v>2034</v>
      </c>
      <c r="U111" s="241">
        <v>50</v>
      </c>
      <c r="V111" s="241">
        <v>15</v>
      </c>
      <c r="W111" s="241">
        <v>0</v>
      </c>
      <c r="X111" s="256">
        <v>0</v>
      </c>
      <c r="Y111" s="256">
        <v>0.59911798891449819</v>
      </c>
      <c r="Z111" s="256">
        <v>0.64186194739671742</v>
      </c>
      <c r="AA111" s="256">
        <v>1.8547986812404023</v>
      </c>
      <c r="AB111" s="257">
        <v>15000</v>
      </c>
      <c r="AC111" s="257">
        <v>17857.870403547418</v>
      </c>
      <c r="AD111" s="257">
        <v>0</v>
      </c>
      <c r="AE111" s="257">
        <v>0</v>
      </c>
      <c r="AF111" s="264">
        <v>0.2</v>
      </c>
      <c r="AG111" s="257">
        <v>3571.574080709484</v>
      </c>
      <c r="AH111" s="257">
        <v>0</v>
      </c>
      <c r="AI111" s="258">
        <v>0</v>
      </c>
    </row>
    <row r="112" spans="1:35" x14ac:dyDescent="0.25">
      <c r="A112" s="143">
        <v>2044</v>
      </c>
      <c r="B112" s="143">
        <v>60</v>
      </c>
      <c r="C112" s="143">
        <v>25</v>
      </c>
      <c r="D112" s="143">
        <v>1</v>
      </c>
      <c r="E112" s="144">
        <v>8.2290678670606812E-2</v>
      </c>
      <c r="F112" s="144">
        <v>0.36780647382929604</v>
      </c>
      <c r="G112" s="144">
        <v>0.86260878438416388</v>
      </c>
      <c r="H112" s="144">
        <v>3.0212716056263771</v>
      </c>
      <c r="I112" s="145">
        <v>15000</v>
      </c>
      <c r="J112" s="145">
        <v>39092.631405356406</v>
      </c>
      <c r="K112" s="145">
        <v>3216.9591693666562</v>
      </c>
      <c r="L112" s="145">
        <v>1183.2184085375709</v>
      </c>
      <c r="M112" s="146">
        <v>0.2</v>
      </c>
      <c r="N112" s="145">
        <v>7818.5262810712811</v>
      </c>
      <c r="O112" s="145">
        <v>643.39183387333128</v>
      </c>
      <c r="P112" s="145">
        <v>236.64368170751422</v>
      </c>
      <c r="Q112" s="1"/>
      <c r="R112" s="150"/>
      <c r="T112" s="255">
        <v>2035</v>
      </c>
      <c r="U112" s="241">
        <v>51</v>
      </c>
      <c r="V112" s="241">
        <v>16</v>
      </c>
      <c r="W112" s="241">
        <v>0</v>
      </c>
      <c r="X112" s="256">
        <v>0</v>
      </c>
      <c r="Y112" s="256">
        <v>0.57058856087095067</v>
      </c>
      <c r="Z112" s="256">
        <v>0.66111780581861901</v>
      </c>
      <c r="AA112" s="256">
        <v>1.9475386153024226</v>
      </c>
      <c r="AB112" s="257">
        <v>15000</v>
      </c>
      <c r="AC112" s="257">
        <v>19313.286841436537</v>
      </c>
      <c r="AD112" s="257">
        <v>0</v>
      </c>
      <c r="AE112" s="257">
        <v>0</v>
      </c>
      <c r="AF112" s="264">
        <v>0.2</v>
      </c>
      <c r="AG112" s="257">
        <v>3862.6573682873077</v>
      </c>
      <c r="AH112" s="257">
        <v>0</v>
      </c>
      <c r="AI112" s="258">
        <v>0</v>
      </c>
    </row>
    <row r="113" spans="1:35" x14ac:dyDescent="0.25">
      <c r="A113" s="143">
        <v>2045</v>
      </c>
      <c r="B113" s="143">
        <v>61</v>
      </c>
      <c r="C113" s="143">
        <v>26</v>
      </c>
      <c r="D113" s="143">
        <v>1</v>
      </c>
      <c r="E113" s="144">
        <v>8.1924528444045311E-2</v>
      </c>
      <c r="F113" s="144">
        <v>0.35029187983742477</v>
      </c>
      <c r="G113" s="144">
        <v>0.88848704791568878</v>
      </c>
      <c r="H113" s="144">
        <v>3.1723351859076963</v>
      </c>
      <c r="I113" s="145">
        <v>15000</v>
      </c>
      <c r="J113" s="145">
        <v>42278.680864892951</v>
      </c>
      <c r="K113" s="145">
        <v>3463.6609930926365</v>
      </c>
      <c r="L113" s="145">
        <v>1213.2923203899811</v>
      </c>
      <c r="M113" s="146">
        <v>0.2</v>
      </c>
      <c r="N113" s="145">
        <v>8455.7361729785898</v>
      </c>
      <c r="O113" s="145">
        <v>692.73219861852738</v>
      </c>
      <c r="P113" s="145">
        <v>242.65846407799626</v>
      </c>
      <c r="Q113" s="1"/>
      <c r="R113" s="150"/>
      <c r="T113" s="255">
        <v>2036</v>
      </c>
      <c r="U113" s="241">
        <v>52</v>
      </c>
      <c r="V113" s="241">
        <v>17</v>
      </c>
      <c r="W113" s="241">
        <v>0</v>
      </c>
      <c r="X113" s="256">
        <v>0</v>
      </c>
      <c r="Y113" s="256">
        <v>0.54341767701995303</v>
      </c>
      <c r="Z113" s="256">
        <v>0.68095133999317758</v>
      </c>
      <c r="AA113" s="256">
        <v>2.0449155460675437</v>
      </c>
      <c r="AB113" s="257">
        <v>15000</v>
      </c>
      <c r="AC113" s="257">
        <v>20887.319719013616</v>
      </c>
      <c r="AD113" s="257">
        <v>0</v>
      </c>
      <c r="AE113" s="257">
        <v>0</v>
      </c>
      <c r="AF113" s="264">
        <v>0.2</v>
      </c>
      <c r="AG113" s="257">
        <v>4177.4639438027234</v>
      </c>
      <c r="AH113" s="257">
        <v>0</v>
      </c>
      <c r="AI113" s="258">
        <v>0</v>
      </c>
    </row>
    <row r="114" spans="1:35" x14ac:dyDescent="0.25">
      <c r="A114" s="143">
        <v>2046</v>
      </c>
      <c r="B114" s="143">
        <v>62</v>
      </c>
      <c r="C114" s="143">
        <v>27</v>
      </c>
      <c r="D114" s="143">
        <v>1</v>
      </c>
      <c r="E114" s="144">
        <v>0.30155919348843885</v>
      </c>
      <c r="F114" s="144">
        <v>0.33361131413088074</v>
      </c>
      <c r="G114" s="144">
        <v>0.9151416593531595</v>
      </c>
      <c r="H114" s="144">
        <v>3.3309519452030814</v>
      </c>
      <c r="I114" s="145">
        <v>15000</v>
      </c>
      <c r="J114" s="145">
        <v>45724.393355381733</v>
      </c>
      <c r="K114" s="145">
        <v>13788.611182997047</v>
      </c>
      <c r="L114" s="145">
        <v>4600.0366967994032</v>
      </c>
      <c r="M114" s="146">
        <v>0.2</v>
      </c>
      <c r="N114" s="145">
        <v>9144.878671076347</v>
      </c>
      <c r="O114" s="145">
        <v>2757.7222365994098</v>
      </c>
      <c r="P114" s="145">
        <v>920.00733935988069</v>
      </c>
      <c r="Q114" s="1"/>
      <c r="R114" s="150"/>
      <c r="T114" s="255">
        <v>2037</v>
      </c>
      <c r="U114" s="241">
        <v>53</v>
      </c>
      <c r="V114" s="241">
        <v>18</v>
      </c>
      <c r="W114" s="241">
        <v>0</v>
      </c>
      <c r="X114" s="256">
        <v>0</v>
      </c>
      <c r="Y114" s="256">
        <v>0.51754064478090767</v>
      </c>
      <c r="Z114" s="256">
        <v>0.70137988019297293</v>
      </c>
      <c r="AA114" s="256">
        <v>2.1471613233709208</v>
      </c>
      <c r="AB114" s="257">
        <v>15000</v>
      </c>
      <c r="AC114" s="257">
        <v>22589.636276113226</v>
      </c>
      <c r="AD114" s="257">
        <v>0</v>
      </c>
      <c r="AE114" s="257">
        <v>0</v>
      </c>
      <c r="AF114" s="264">
        <v>0.2</v>
      </c>
      <c r="AG114" s="257">
        <v>4517.9272552226457</v>
      </c>
      <c r="AH114" s="257">
        <v>0</v>
      </c>
      <c r="AI114" s="258">
        <v>0</v>
      </c>
    </row>
    <row r="115" spans="1:35" x14ac:dyDescent="0.25">
      <c r="A115" s="143">
        <v>2047</v>
      </c>
      <c r="B115" s="143">
        <v>63</v>
      </c>
      <c r="C115" s="143">
        <v>28</v>
      </c>
      <c r="D115" s="143">
        <v>1</v>
      </c>
      <c r="E115" s="144">
        <v>0.45273876053242179</v>
      </c>
      <c r="F115" s="144">
        <v>0.31772506107702925</v>
      </c>
      <c r="G115" s="144">
        <v>0.94259590913375435</v>
      </c>
      <c r="H115" s="144">
        <v>3.4974995424632356</v>
      </c>
      <c r="I115" s="145">
        <v>15000</v>
      </c>
      <c r="J115" s="145">
        <v>49450.931413845356</v>
      </c>
      <c r="K115" s="145">
        <v>22388.353395478145</v>
      </c>
      <c r="L115" s="145">
        <v>7113.3409499924092</v>
      </c>
      <c r="M115" s="146">
        <v>0.2</v>
      </c>
      <c r="N115" s="145">
        <v>9890.1862827690711</v>
      </c>
      <c r="O115" s="145">
        <v>4477.6706790956296</v>
      </c>
      <c r="P115" s="145">
        <v>1422.6681899984819</v>
      </c>
      <c r="Q115" s="1"/>
      <c r="R115" s="150"/>
      <c r="T115" s="255">
        <v>2038</v>
      </c>
      <c r="U115" s="241">
        <v>54</v>
      </c>
      <c r="V115" s="241">
        <v>19</v>
      </c>
      <c r="W115" s="241">
        <v>0</v>
      </c>
      <c r="X115" s="256">
        <v>0</v>
      </c>
      <c r="Y115" s="256">
        <v>0.49289585217229298</v>
      </c>
      <c r="Z115" s="256">
        <v>0.7224212765987621</v>
      </c>
      <c r="AA115" s="256">
        <v>2.2545193895394671</v>
      </c>
      <c r="AB115" s="257">
        <v>15000</v>
      </c>
      <c r="AC115" s="257">
        <v>24430.691632616454</v>
      </c>
      <c r="AD115" s="257">
        <v>0</v>
      </c>
      <c r="AE115" s="257">
        <v>0</v>
      </c>
      <c r="AF115" s="264">
        <v>0.2</v>
      </c>
      <c r="AG115" s="257">
        <v>4886.1383265232907</v>
      </c>
      <c r="AH115" s="257">
        <v>0</v>
      </c>
      <c r="AI115" s="258">
        <v>0</v>
      </c>
    </row>
    <row r="116" spans="1:35" x14ac:dyDescent="0.25">
      <c r="A116" s="143">
        <v>2048</v>
      </c>
      <c r="B116" s="143">
        <v>64</v>
      </c>
      <c r="C116" s="143">
        <v>29</v>
      </c>
      <c r="D116" s="143">
        <v>1</v>
      </c>
      <c r="E116" s="144">
        <v>0.52068955064672595</v>
      </c>
      <c r="F116" s="144">
        <v>0.30259529626383735</v>
      </c>
      <c r="G116" s="144">
        <v>0.970873786407767</v>
      </c>
      <c r="H116" s="144">
        <v>3.6723745195863975</v>
      </c>
      <c r="I116" s="145">
        <v>15000</v>
      </c>
      <c r="J116" s="145">
        <v>53481.18232407375</v>
      </c>
      <c r="K116" s="145">
        <v>27847.092792377585</v>
      </c>
      <c r="L116" s="145">
        <v>8426.399293596065</v>
      </c>
      <c r="M116" s="146">
        <v>0.2</v>
      </c>
      <c r="N116" s="145">
        <v>10696.23646481475</v>
      </c>
      <c r="O116" s="145">
        <v>5569.4185584755169</v>
      </c>
      <c r="P116" s="145">
        <v>1685.2798587192131</v>
      </c>
      <c r="Q116" s="1"/>
      <c r="R116" s="150"/>
      <c r="T116" s="255">
        <v>2039</v>
      </c>
      <c r="U116" s="241">
        <v>55</v>
      </c>
      <c r="V116" s="241">
        <v>20</v>
      </c>
      <c r="W116" s="241">
        <v>1</v>
      </c>
      <c r="X116" s="256">
        <v>8.3657758364132084E-2</v>
      </c>
      <c r="Y116" s="256">
        <v>0.46942462111646949</v>
      </c>
      <c r="Z116" s="256">
        <v>0.74409391489672494</v>
      </c>
      <c r="AA116" s="256">
        <v>2.3672453590164406</v>
      </c>
      <c r="AB116" s="257">
        <v>15000</v>
      </c>
      <c r="AC116" s="257">
        <v>26421.793000674697</v>
      </c>
      <c r="AD116" s="257">
        <v>2210.3879743975604</v>
      </c>
      <c r="AE116" s="257">
        <v>1037.6105374019753</v>
      </c>
      <c r="AF116" s="264">
        <v>0.2</v>
      </c>
      <c r="AG116" s="257">
        <v>5284.3586001349395</v>
      </c>
      <c r="AH116" s="257">
        <v>442.07759487951205</v>
      </c>
      <c r="AI116" s="258">
        <v>207.52210748039502</v>
      </c>
    </row>
    <row r="117" spans="1:35" x14ac:dyDescent="0.25">
      <c r="A117" s="143">
        <v>2049</v>
      </c>
      <c r="B117" s="143">
        <v>65</v>
      </c>
      <c r="C117" s="143">
        <v>30</v>
      </c>
      <c r="D117" s="143">
        <v>1</v>
      </c>
      <c r="E117" s="144">
        <v>0.79766257984514588</v>
      </c>
      <c r="F117" s="144">
        <v>0.28818599644174986</v>
      </c>
      <c r="G117" s="144">
        <v>1</v>
      </c>
      <c r="H117" s="144">
        <v>3.8559932455657173</v>
      </c>
      <c r="I117" s="145">
        <v>2100</v>
      </c>
      <c r="J117" s="145">
        <v>8097.5858156880067</v>
      </c>
      <c r="K117" s="145">
        <v>6459.1411922591551</v>
      </c>
      <c r="L117" s="145">
        <v>1861.4340406491567</v>
      </c>
      <c r="M117" s="146">
        <v>0.2</v>
      </c>
      <c r="N117" s="145">
        <v>1619.5171631376015</v>
      </c>
      <c r="O117" s="145">
        <v>1291.8282384518313</v>
      </c>
      <c r="P117" s="145">
        <v>372.28680812983146</v>
      </c>
      <c r="Q117" s="1"/>
      <c r="R117" s="150"/>
      <c r="T117" s="255">
        <v>2040</v>
      </c>
      <c r="U117" s="241">
        <v>56</v>
      </c>
      <c r="V117" s="241">
        <v>21</v>
      </c>
      <c r="W117" s="241">
        <v>1</v>
      </c>
      <c r="X117" s="256">
        <v>8.3436081009928664E-2</v>
      </c>
      <c r="Y117" s="256">
        <v>0.44707106772997091</v>
      </c>
      <c r="Z117" s="256">
        <v>0.76641673234362673</v>
      </c>
      <c r="AA117" s="256">
        <v>2.4856076269672629</v>
      </c>
      <c r="AB117" s="257">
        <v>15000</v>
      </c>
      <c r="AC117" s="257">
        <v>28575.169130229689</v>
      </c>
      <c r="AD117" s="257">
        <v>2384.2001264222572</v>
      </c>
      <c r="AE117" s="257">
        <v>1065.9068962015301</v>
      </c>
      <c r="AF117" s="264">
        <v>0.2</v>
      </c>
      <c r="AG117" s="257">
        <v>5715.0338260459384</v>
      </c>
      <c r="AH117" s="257">
        <v>476.84002528445149</v>
      </c>
      <c r="AI117" s="258">
        <v>213.18137924030606</v>
      </c>
    </row>
    <row r="118" spans="1:35" x14ac:dyDescent="0.25">
      <c r="A118" s="143">
        <v>2050</v>
      </c>
      <c r="B118" s="143">
        <v>66</v>
      </c>
      <c r="C118" s="143">
        <v>31</v>
      </c>
      <c r="D118" s="143">
        <v>1</v>
      </c>
      <c r="E118" s="144">
        <v>0.79172098825197978</v>
      </c>
      <c r="F118" s="144">
        <v>0.2744628537540475</v>
      </c>
      <c r="G118" s="144">
        <v>1.0249999999999999</v>
      </c>
      <c r="H118" s="144">
        <v>4.0487929078440033</v>
      </c>
      <c r="I118" s="145">
        <v>2100</v>
      </c>
      <c r="J118" s="145">
        <v>8715.0267341342169</v>
      </c>
      <c r="K118" s="145">
        <v>6899.8695785911659</v>
      </c>
      <c r="L118" s="145">
        <v>1893.7578950708685</v>
      </c>
      <c r="M118" s="146">
        <v>0.2</v>
      </c>
      <c r="N118" s="145">
        <v>1743.0053468268434</v>
      </c>
      <c r="O118" s="145">
        <v>1379.9739157182332</v>
      </c>
      <c r="P118" s="145">
        <v>378.75157901417373</v>
      </c>
      <c r="Q118" s="1"/>
      <c r="R118" s="150"/>
      <c r="T118" s="255">
        <v>2041</v>
      </c>
      <c r="U118" s="241">
        <v>57</v>
      </c>
      <c r="V118" s="241">
        <v>22</v>
      </c>
      <c r="W118" s="241">
        <v>1</v>
      </c>
      <c r="X118" s="256">
        <v>8.3189962117090982E-2</v>
      </c>
      <c r="Y118" s="256">
        <v>0.42578196926663892</v>
      </c>
      <c r="Z118" s="256">
        <v>0.7894092343139355</v>
      </c>
      <c r="AA118" s="256">
        <v>2.6098880083156262</v>
      </c>
      <c r="AB118" s="257">
        <v>15000</v>
      </c>
      <c r="AC118" s="257">
        <v>30904.045414343407</v>
      </c>
      <c r="AD118" s="257">
        <v>2570.9063672840875</v>
      </c>
      <c r="AE118" s="257">
        <v>1094.6455758623597</v>
      </c>
      <c r="AF118" s="264">
        <v>0.2</v>
      </c>
      <c r="AG118" s="257">
        <v>6180.8090828686818</v>
      </c>
      <c r="AH118" s="257">
        <v>514.18127345681751</v>
      </c>
      <c r="AI118" s="258">
        <v>218.92911517247194</v>
      </c>
    </row>
    <row r="119" spans="1:35" x14ac:dyDescent="0.25">
      <c r="A119" s="143">
        <v>2051</v>
      </c>
      <c r="B119" s="143">
        <v>67</v>
      </c>
      <c r="C119" s="143">
        <v>32</v>
      </c>
      <c r="D119" s="143">
        <v>1</v>
      </c>
      <c r="E119" s="144">
        <v>0.78519068500938616</v>
      </c>
      <c r="F119" s="144">
        <v>0.26139319405147382</v>
      </c>
      <c r="G119" s="144">
        <v>1.0506249999999999</v>
      </c>
      <c r="H119" s="144">
        <v>4.2512325532362034</v>
      </c>
      <c r="I119" s="145">
        <v>2100</v>
      </c>
      <c r="J119" s="145">
        <v>9379.5475226119506</v>
      </c>
      <c r="K119" s="145">
        <v>7364.7333443577681</v>
      </c>
      <c r="L119" s="145">
        <v>1925.0911722190699</v>
      </c>
      <c r="M119" s="146">
        <v>0.2</v>
      </c>
      <c r="N119" s="145">
        <v>1875.9095045223903</v>
      </c>
      <c r="O119" s="145">
        <v>1472.9466688715538</v>
      </c>
      <c r="P119" s="145">
        <v>385.01823444381404</v>
      </c>
      <c r="Q119" s="1"/>
      <c r="R119" s="150"/>
      <c r="T119" s="255">
        <v>2042</v>
      </c>
      <c r="U119" s="241">
        <v>58</v>
      </c>
      <c r="V119" s="241">
        <v>23</v>
      </c>
      <c r="W119" s="241">
        <v>1</v>
      </c>
      <c r="X119" s="256">
        <v>8.291961411190274E-2</v>
      </c>
      <c r="Y119" s="256">
        <v>0.40550663739679893</v>
      </c>
      <c r="Z119" s="256">
        <v>0.81309151134335356</v>
      </c>
      <c r="AA119" s="256">
        <v>2.7403824087314077</v>
      </c>
      <c r="AB119" s="257">
        <v>15000</v>
      </c>
      <c r="AC119" s="257">
        <v>33422.725115612397</v>
      </c>
      <c r="AD119" s="257">
        <v>2771.39946915478</v>
      </c>
      <c r="AE119" s="257">
        <v>1123.8208796202284</v>
      </c>
      <c r="AF119" s="264">
        <v>0.2</v>
      </c>
      <c r="AG119" s="257">
        <v>6684.5450231224795</v>
      </c>
      <c r="AH119" s="257">
        <v>554.27989383095598</v>
      </c>
      <c r="AI119" s="258">
        <v>224.76417592404567</v>
      </c>
    </row>
    <row r="120" spans="1:35" x14ac:dyDescent="0.25">
      <c r="A120" s="143">
        <v>2052</v>
      </c>
      <c r="B120" s="143">
        <v>68</v>
      </c>
      <c r="C120" s="143">
        <v>33</v>
      </c>
      <c r="D120" s="143">
        <v>1</v>
      </c>
      <c r="E120" s="144">
        <v>0.77796864595838189</v>
      </c>
      <c r="F120" s="144">
        <v>0.24894589909664172</v>
      </c>
      <c r="G120" s="144">
        <v>1.0768906249999999</v>
      </c>
      <c r="H120" s="144">
        <v>4.4637941808980139</v>
      </c>
      <c r="I120" s="145">
        <v>2100</v>
      </c>
      <c r="J120" s="145">
        <v>10094.738021211113</v>
      </c>
      <c r="K120" s="145">
        <v>7853.389669666205</v>
      </c>
      <c r="L120" s="145">
        <v>1955.0691522713316</v>
      </c>
      <c r="M120" s="146">
        <v>0.2</v>
      </c>
      <c r="N120" s="145">
        <v>2018.9476042422227</v>
      </c>
      <c r="O120" s="145">
        <v>1570.6779339332411</v>
      </c>
      <c r="P120" s="145">
        <v>391.01383045426633</v>
      </c>
      <c r="Q120" s="1"/>
      <c r="R120" s="150"/>
      <c r="T120" s="255">
        <v>2043</v>
      </c>
      <c r="U120" s="241">
        <v>59</v>
      </c>
      <c r="V120" s="241">
        <v>24</v>
      </c>
      <c r="W120" s="241">
        <v>1</v>
      </c>
      <c r="X120" s="256">
        <v>8.2621131741777848E-2</v>
      </c>
      <c r="Y120" s="256">
        <v>0.38619679752076086</v>
      </c>
      <c r="Z120" s="256">
        <v>0.83748425668365423</v>
      </c>
      <c r="AA120" s="256">
        <v>2.8774015291679782</v>
      </c>
      <c r="AB120" s="257">
        <v>15000</v>
      </c>
      <c r="AC120" s="257">
        <v>36146.677212534814</v>
      </c>
      <c r="AD120" s="257">
        <v>2986.4793800043581</v>
      </c>
      <c r="AE120" s="257">
        <v>1153.3687724194706</v>
      </c>
      <c r="AF120" s="264">
        <v>0.2</v>
      </c>
      <c r="AG120" s="257">
        <v>7229.3354425069629</v>
      </c>
      <c r="AH120" s="257">
        <v>597.29587600087166</v>
      </c>
      <c r="AI120" s="258">
        <v>230.67375448389413</v>
      </c>
    </row>
    <row r="121" spans="1:35" x14ac:dyDescent="0.25">
      <c r="A121" s="143">
        <v>2053</v>
      </c>
      <c r="B121" s="143">
        <v>69</v>
      </c>
      <c r="C121" s="143">
        <v>34</v>
      </c>
      <c r="D121" s="143">
        <v>1</v>
      </c>
      <c r="E121" s="144">
        <v>0.76995784382714261</v>
      </c>
      <c r="F121" s="144">
        <v>0.23709133247299211</v>
      </c>
      <c r="G121" s="144">
        <v>1.1038128906249998</v>
      </c>
      <c r="H121" s="144">
        <v>4.6869838899429146</v>
      </c>
      <c r="I121" s="145">
        <v>2100</v>
      </c>
      <c r="J121" s="145">
        <v>10864.46179532846</v>
      </c>
      <c r="K121" s="145">
        <v>8365.1775782734676</v>
      </c>
      <c r="L121" s="145">
        <v>1983.3110984060536</v>
      </c>
      <c r="M121" s="146">
        <v>0.2</v>
      </c>
      <c r="N121" s="145">
        <v>2172.8923590656918</v>
      </c>
      <c r="O121" s="145">
        <v>1673.0355156546934</v>
      </c>
      <c r="P121" s="145">
        <v>396.66221968121073</v>
      </c>
      <c r="Q121" s="1"/>
      <c r="R121" s="150"/>
      <c r="T121" s="255">
        <v>2044</v>
      </c>
      <c r="U121" s="241">
        <v>60</v>
      </c>
      <c r="V121" s="241">
        <v>25</v>
      </c>
      <c r="W121" s="241">
        <v>1</v>
      </c>
      <c r="X121" s="256">
        <v>8.2290678670606812E-2</v>
      </c>
      <c r="Y121" s="256">
        <v>0.36780647382929604</v>
      </c>
      <c r="Z121" s="256">
        <v>0.86260878438416388</v>
      </c>
      <c r="AA121" s="256">
        <v>3.0212716056263771</v>
      </c>
      <c r="AB121" s="257">
        <v>15000</v>
      </c>
      <c r="AC121" s="257">
        <v>39092.631405356406</v>
      </c>
      <c r="AD121" s="257">
        <v>3216.9591693666562</v>
      </c>
      <c r="AE121" s="257">
        <v>1183.2184085375709</v>
      </c>
      <c r="AF121" s="264">
        <v>0.2</v>
      </c>
      <c r="AG121" s="257">
        <v>7818.5262810712811</v>
      </c>
      <c r="AH121" s="257">
        <v>643.39183387333128</v>
      </c>
      <c r="AI121" s="258">
        <v>236.64368170751422</v>
      </c>
    </row>
    <row r="122" spans="1:35" x14ac:dyDescent="0.25">
      <c r="A122" s="143">
        <v>2054</v>
      </c>
      <c r="B122" s="143">
        <v>70</v>
      </c>
      <c r="C122" s="143">
        <v>35</v>
      </c>
      <c r="D122" s="143">
        <v>1</v>
      </c>
      <c r="E122" s="144">
        <v>0.76099099939548975</v>
      </c>
      <c r="F122" s="144">
        <v>0.22580126902189723</v>
      </c>
      <c r="G122" s="144">
        <v>1.1314082128906247</v>
      </c>
      <c r="H122" s="144">
        <v>4.9213330844400609</v>
      </c>
      <c r="I122" s="145">
        <v>2100</v>
      </c>
      <c r="J122" s="145">
        <v>11692.877007222254</v>
      </c>
      <c r="K122" s="145">
        <v>8898.1741595346066</v>
      </c>
      <c r="L122" s="145">
        <v>2009.2190172007681</v>
      </c>
      <c r="M122" s="146">
        <v>0.2</v>
      </c>
      <c r="N122" s="145">
        <v>2338.575401444451</v>
      </c>
      <c r="O122" s="145">
        <v>1779.6348319069214</v>
      </c>
      <c r="P122" s="145">
        <v>401.84380344015364</v>
      </c>
      <c r="Q122" s="1"/>
      <c r="R122" s="150"/>
      <c r="T122" s="255">
        <v>2045</v>
      </c>
      <c r="U122" s="241">
        <v>61</v>
      </c>
      <c r="V122" s="241">
        <v>26</v>
      </c>
      <c r="W122" s="241">
        <v>1</v>
      </c>
      <c r="X122" s="256">
        <v>8.1924528444045311E-2</v>
      </c>
      <c r="Y122" s="256">
        <v>0.35029187983742477</v>
      </c>
      <c r="Z122" s="256">
        <v>0.88848704791568878</v>
      </c>
      <c r="AA122" s="256">
        <v>3.1723351859076963</v>
      </c>
      <c r="AB122" s="257">
        <v>15000</v>
      </c>
      <c r="AC122" s="257">
        <v>42278.680864892951</v>
      </c>
      <c r="AD122" s="257">
        <v>3463.6609930926365</v>
      </c>
      <c r="AE122" s="257">
        <v>1213.2923203899811</v>
      </c>
      <c r="AF122" s="264">
        <v>0.2</v>
      </c>
      <c r="AG122" s="257">
        <v>8455.7361729785898</v>
      </c>
      <c r="AH122" s="257">
        <v>692.73219861852738</v>
      </c>
      <c r="AI122" s="258">
        <v>242.65846407799626</v>
      </c>
    </row>
    <row r="123" spans="1:35" x14ac:dyDescent="0.25">
      <c r="A123" s="143">
        <v>2055</v>
      </c>
      <c r="B123" s="143">
        <v>71</v>
      </c>
      <c r="C123" s="143">
        <v>36</v>
      </c>
      <c r="D123" s="143">
        <v>1</v>
      </c>
      <c r="E123" s="144">
        <v>0.75091190409580877</v>
      </c>
      <c r="F123" s="144">
        <v>0.21504882763990213</v>
      </c>
      <c r="G123" s="144">
        <v>1.1540363771484372</v>
      </c>
      <c r="H123" s="144">
        <v>5.1673997386620645</v>
      </c>
      <c r="I123" s="145">
        <v>2100</v>
      </c>
      <c r="J123" s="145">
        <v>12523.071274735035</v>
      </c>
      <c r="K123" s="145">
        <v>9403.7232960388119</v>
      </c>
      <c r="L123" s="145">
        <v>2022.2596702631829</v>
      </c>
      <c r="M123" s="146">
        <v>0.2</v>
      </c>
      <c r="N123" s="145">
        <v>2504.6142549470073</v>
      </c>
      <c r="O123" s="145">
        <v>1880.7446592077627</v>
      </c>
      <c r="P123" s="145">
        <v>404.4519340526366</v>
      </c>
      <c r="Q123" s="1"/>
      <c r="R123" s="150"/>
      <c r="T123" s="255">
        <v>2046</v>
      </c>
      <c r="U123" s="241">
        <v>62</v>
      </c>
      <c r="V123" s="241">
        <v>27</v>
      </c>
      <c r="W123" s="241">
        <v>1</v>
      </c>
      <c r="X123" s="256">
        <v>0.30155919348843885</v>
      </c>
      <c r="Y123" s="256">
        <v>0.33361131413088074</v>
      </c>
      <c r="Z123" s="256">
        <v>0.9151416593531595</v>
      </c>
      <c r="AA123" s="256">
        <v>3.3309519452030814</v>
      </c>
      <c r="AB123" s="257">
        <v>15000</v>
      </c>
      <c r="AC123" s="257">
        <v>45724.393355381733</v>
      </c>
      <c r="AD123" s="257">
        <v>13788.611182997047</v>
      </c>
      <c r="AE123" s="257">
        <v>4600.0366967994032</v>
      </c>
      <c r="AF123" s="264">
        <v>0.2</v>
      </c>
      <c r="AG123" s="257">
        <v>9144.878671076347</v>
      </c>
      <c r="AH123" s="257">
        <v>2757.7222365994098</v>
      </c>
      <c r="AI123" s="258">
        <v>920.00733935988069</v>
      </c>
    </row>
    <row r="124" spans="1:35" x14ac:dyDescent="0.25">
      <c r="A124" s="143">
        <v>2056</v>
      </c>
      <c r="B124" s="143">
        <v>72</v>
      </c>
      <c r="C124" s="143">
        <v>37</v>
      </c>
      <c r="D124" s="143">
        <v>1</v>
      </c>
      <c r="E124" s="144">
        <v>0.73954118684067538</v>
      </c>
      <c r="F124" s="144">
        <v>0.20480840727609725</v>
      </c>
      <c r="G124" s="144">
        <v>1.177117104691406</v>
      </c>
      <c r="H124" s="144">
        <v>5.4257697255951678</v>
      </c>
      <c r="I124" s="145">
        <v>2100</v>
      </c>
      <c r="J124" s="145">
        <v>13412.209335241223</v>
      </c>
      <c r="K124" s="145">
        <v>9918.8812099398801</v>
      </c>
      <c r="L124" s="145">
        <v>2031.4702625685952</v>
      </c>
      <c r="M124" s="146">
        <v>0.2</v>
      </c>
      <c r="N124" s="145">
        <v>2682.4418670482446</v>
      </c>
      <c r="O124" s="145">
        <v>1983.7762419879759</v>
      </c>
      <c r="P124" s="145">
        <v>406.29405251371907</v>
      </c>
      <c r="Q124" s="1"/>
      <c r="R124" s="150"/>
      <c r="T124" s="255">
        <v>2047</v>
      </c>
      <c r="U124" s="241">
        <v>63</v>
      </c>
      <c r="V124" s="241">
        <v>28</v>
      </c>
      <c r="W124" s="241">
        <v>1</v>
      </c>
      <c r="X124" s="256">
        <v>0.45273876053242179</v>
      </c>
      <c r="Y124" s="256">
        <v>0.31772506107702925</v>
      </c>
      <c r="Z124" s="256">
        <v>0.94259590913375435</v>
      </c>
      <c r="AA124" s="256">
        <v>3.4974995424632356</v>
      </c>
      <c r="AB124" s="257">
        <v>15000</v>
      </c>
      <c r="AC124" s="257">
        <v>49450.931413845356</v>
      </c>
      <c r="AD124" s="257">
        <v>22388.353395478145</v>
      </c>
      <c r="AE124" s="257">
        <v>7113.3409499924092</v>
      </c>
      <c r="AF124" s="264">
        <v>0.2</v>
      </c>
      <c r="AG124" s="257">
        <v>9890.1862827690711</v>
      </c>
      <c r="AH124" s="257">
        <v>4477.6706790956296</v>
      </c>
      <c r="AI124" s="258">
        <v>1422.6681899984819</v>
      </c>
    </row>
    <row r="125" spans="1:35" x14ac:dyDescent="0.25">
      <c r="A125" s="143">
        <v>2057</v>
      </c>
      <c r="B125" s="143">
        <v>73</v>
      </c>
      <c r="C125" s="143">
        <v>38</v>
      </c>
      <c r="D125" s="143">
        <v>1</v>
      </c>
      <c r="E125" s="144">
        <v>0.72671709233030368</v>
      </c>
      <c r="F125" s="144">
        <v>0.19505562597723547</v>
      </c>
      <c r="G125" s="144">
        <v>1.2006594467852341</v>
      </c>
      <c r="H125" s="144">
        <v>5.6970582118749267</v>
      </c>
      <c r="I125" s="145">
        <v>2100</v>
      </c>
      <c r="J125" s="145">
        <v>14364.47619804335</v>
      </c>
      <c r="K125" s="145">
        <v>10438.910375489919</v>
      </c>
      <c r="L125" s="145">
        <v>2036.1681978114443</v>
      </c>
      <c r="M125" s="146">
        <v>0.2</v>
      </c>
      <c r="N125" s="145">
        <v>2872.8952396086702</v>
      </c>
      <c r="O125" s="145">
        <v>2087.782075097984</v>
      </c>
      <c r="P125" s="145">
        <v>407.23363956228889</v>
      </c>
      <c r="Q125" s="1"/>
      <c r="R125" s="150"/>
      <c r="T125" s="255">
        <v>2048</v>
      </c>
      <c r="U125" s="241">
        <v>64</v>
      </c>
      <c r="V125" s="241">
        <v>29</v>
      </c>
      <c r="W125" s="241">
        <v>1</v>
      </c>
      <c r="X125" s="256">
        <v>0.52068955064672595</v>
      </c>
      <c r="Y125" s="256">
        <v>0.30259529626383735</v>
      </c>
      <c r="Z125" s="256">
        <v>0.970873786407767</v>
      </c>
      <c r="AA125" s="256">
        <v>3.6723745195863975</v>
      </c>
      <c r="AB125" s="257">
        <v>15000</v>
      </c>
      <c r="AC125" s="257">
        <v>53481.18232407375</v>
      </c>
      <c r="AD125" s="257">
        <v>27847.092792377585</v>
      </c>
      <c r="AE125" s="257">
        <v>8426.399293596065</v>
      </c>
      <c r="AF125" s="264">
        <v>0.2</v>
      </c>
      <c r="AG125" s="257">
        <v>10696.23646481475</v>
      </c>
      <c r="AH125" s="257">
        <v>5569.4185584755169</v>
      </c>
      <c r="AI125" s="258">
        <v>1685.2798587192131</v>
      </c>
    </row>
    <row r="126" spans="1:35" x14ac:dyDescent="0.25">
      <c r="A126" s="143">
        <v>2058</v>
      </c>
      <c r="B126" s="143">
        <v>74</v>
      </c>
      <c r="C126" s="143">
        <v>39</v>
      </c>
      <c r="D126" s="143">
        <v>1</v>
      </c>
      <c r="E126" s="144">
        <v>0.71233691426354162</v>
      </c>
      <c r="F126" s="144">
        <v>0.18576726283546235</v>
      </c>
      <c r="G126" s="144">
        <v>1.2246726357209388</v>
      </c>
      <c r="H126" s="144">
        <v>5.9819111224686736</v>
      </c>
      <c r="I126" s="145">
        <v>2100</v>
      </c>
      <c r="J126" s="145">
        <v>15384.35400810443</v>
      </c>
      <c r="K126" s="145">
        <v>10958.843262071059</v>
      </c>
      <c r="L126" s="145">
        <v>2035.7943166377902</v>
      </c>
      <c r="M126" s="146">
        <v>0.2</v>
      </c>
      <c r="N126" s="145">
        <v>3076.8708016208861</v>
      </c>
      <c r="O126" s="145">
        <v>2191.7686524142118</v>
      </c>
      <c r="P126" s="145">
        <v>407.15886332755804</v>
      </c>
      <c r="Q126" s="1"/>
      <c r="R126" s="150"/>
      <c r="T126" s="255">
        <v>2049</v>
      </c>
      <c r="U126" s="241">
        <v>65</v>
      </c>
      <c r="V126" s="241">
        <v>30</v>
      </c>
      <c r="W126" s="241">
        <v>1</v>
      </c>
      <c r="X126" s="256">
        <v>0.79766257984514588</v>
      </c>
      <c r="Y126" s="256">
        <v>0.28818599644174986</v>
      </c>
      <c r="Z126" s="256">
        <v>1</v>
      </c>
      <c r="AA126" s="256">
        <v>3.8559932455657173</v>
      </c>
      <c r="AB126" s="257">
        <v>2100</v>
      </c>
      <c r="AC126" s="257">
        <v>8097.5858156880067</v>
      </c>
      <c r="AD126" s="257">
        <v>6459.1411922591551</v>
      </c>
      <c r="AE126" s="257">
        <v>1861.4340406491567</v>
      </c>
      <c r="AF126" s="264">
        <v>0.2</v>
      </c>
      <c r="AG126" s="257">
        <v>1619.5171631376015</v>
      </c>
      <c r="AH126" s="257">
        <v>1291.8282384518313</v>
      </c>
      <c r="AI126" s="258">
        <v>372.28680812983146</v>
      </c>
    </row>
    <row r="127" spans="1:35" x14ac:dyDescent="0.25">
      <c r="A127" s="143">
        <v>2059</v>
      </c>
      <c r="B127" s="143">
        <v>75</v>
      </c>
      <c r="C127" s="143">
        <v>40</v>
      </c>
      <c r="D127" s="143">
        <v>1</v>
      </c>
      <c r="E127" s="144">
        <v>0.69628473000971236</v>
      </c>
      <c r="F127" s="144">
        <v>0.17692120270044032</v>
      </c>
      <c r="G127" s="144">
        <v>1.2491660884353575</v>
      </c>
      <c r="H127" s="144">
        <v>6.2810066785921075</v>
      </c>
      <c r="I127" s="145">
        <v>2100</v>
      </c>
      <c r="J127" s="145">
        <v>16476.643142679844</v>
      </c>
      <c r="K127" s="145">
        <v>11472.435022067215</v>
      </c>
      <c r="L127" s="145">
        <v>2029.7170020067842</v>
      </c>
      <c r="M127" s="146">
        <v>0.2</v>
      </c>
      <c r="N127" s="145">
        <v>3295.3286285359691</v>
      </c>
      <c r="O127" s="145">
        <v>2294.4870044134427</v>
      </c>
      <c r="P127" s="145">
        <v>405.94340040135677</v>
      </c>
      <c r="Q127" s="1"/>
      <c r="R127" s="150"/>
      <c r="T127" s="255">
        <v>2050</v>
      </c>
      <c r="U127" s="241">
        <v>66</v>
      </c>
      <c r="V127" s="241">
        <v>31</v>
      </c>
      <c r="W127" s="241">
        <v>1</v>
      </c>
      <c r="X127" s="256">
        <v>0.79172098825197978</v>
      </c>
      <c r="Y127" s="256">
        <v>0.2744628537540475</v>
      </c>
      <c r="Z127" s="256">
        <v>1.0249999999999999</v>
      </c>
      <c r="AA127" s="256">
        <v>4.0487929078440033</v>
      </c>
      <c r="AB127" s="257">
        <v>2100</v>
      </c>
      <c r="AC127" s="257">
        <v>8715.0267341342169</v>
      </c>
      <c r="AD127" s="257">
        <v>6899.8695785911659</v>
      </c>
      <c r="AE127" s="257">
        <v>1893.7578950708685</v>
      </c>
      <c r="AF127" s="264">
        <v>0.2</v>
      </c>
      <c r="AG127" s="257">
        <v>1743.0053468268434</v>
      </c>
      <c r="AH127" s="257">
        <v>1379.9739157182332</v>
      </c>
      <c r="AI127" s="258">
        <v>378.75157901417373</v>
      </c>
    </row>
    <row r="128" spans="1:35" x14ac:dyDescent="0.25">
      <c r="A128" s="143">
        <v>2060</v>
      </c>
      <c r="B128" s="143">
        <v>76</v>
      </c>
      <c r="C128" s="143">
        <v>41</v>
      </c>
      <c r="D128" s="143">
        <v>1</v>
      </c>
      <c r="E128" s="144">
        <v>0.67847337196075141</v>
      </c>
      <c r="F128" s="144">
        <v>0.16849638352422885</v>
      </c>
      <c r="G128" s="144">
        <v>1.2679035797618876</v>
      </c>
      <c r="H128" s="144">
        <v>6.5950570125217132</v>
      </c>
      <c r="I128" s="145">
        <v>2100</v>
      </c>
      <c r="J128" s="145">
        <v>17559.982429311043</v>
      </c>
      <c r="K128" s="145">
        <v>11913.980490386211</v>
      </c>
      <c r="L128" s="145">
        <v>2007.4626260082953</v>
      </c>
      <c r="M128" s="146">
        <v>0.2</v>
      </c>
      <c r="N128" s="145">
        <v>3511.9964858622088</v>
      </c>
      <c r="O128" s="145">
        <v>2382.7960980772423</v>
      </c>
      <c r="P128" s="145">
        <v>401.49252520165902</v>
      </c>
      <c r="Q128" s="1"/>
      <c r="R128" s="150"/>
      <c r="T128" s="255">
        <v>2051</v>
      </c>
      <c r="U128" s="241">
        <v>67</v>
      </c>
      <c r="V128" s="241">
        <v>32</v>
      </c>
      <c r="W128" s="241">
        <v>1</v>
      </c>
      <c r="X128" s="256">
        <v>0.78519068500938616</v>
      </c>
      <c r="Y128" s="256">
        <v>0.26139319405147382</v>
      </c>
      <c r="Z128" s="256">
        <v>1.0506249999999999</v>
      </c>
      <c r="AA128" s="256">
        <v>4.2512325532362034</v>
      </c>
      <c r="AB128" s="257">
        <v>2100</v>
      </c>
      <c r="AC128" s="257">
        <v>9379.5475226119506</v>
      </c>
      <c r="AD128" s="257">
        <v>7364.7333443577681</v>
      </c>
      <c r="AE128" s="257">
        <v>1925.0911722190699</v>
      </c>
      <c r="AF128" s="264">
        <v>0.2</v>
      </c>
      <c r="AG128" s="257">
        <v>1875.9095045223903</v>
      </c>
      <c r="AH128" s="257">
        <v>1472.9466688715538</v>
      </c>
      <c r="AI128" s="258">
        <v>385.01823444381404</v>
      </c>
    </row>
    <row r="129" spans="1:35" x14ac:dyDescent="0.25">
      <c r="A129" s="143">
        <v>2061</v>
      </c>
      <c r="B129" s="143">
        <v>77</v>
      </c>
      <c r="C129" s="143">
        <v>42</v>
      </c>
      <c r="D129" s="143">
        <v>1</v>
      </c>
      <c r="E129" s="144">
        <v>0.65884793814485254</v>
      </c>
      <c r="F129" s="144">
        <v>0.16047274621355129</v>
      </c>
      <c r="G129" s="144">
        <v>1.2869221334583159</v>
      </c>
      <c r="H129" s="144">
        <v>6.9248098631477992</v>
      </c>
      <c r="I129" s="145">
        <v>2100</v>
      </c>
      <c r="J129" s="145">
        <v>18714.551274038244</v>
      </c>
      <c r="K129" s="145">
        <v>12330.04352020622</v>
      </c>
      <c r="L129" s="145">
        <v>1978.6359446200952</v>
      </c>
      <c r="M129" s="146">
        <v>0.2</v>
      </c>
      <c r="N129" s="145">
        <v>3742.9102548076489</v>
      </c>
      <c r="O129" s="145">
        <v>2466.0087040412441</v>
      </c>
      <c r="P129" s="145">
        <v>395.72718892401906</v>
      </c>
      <c r="Q129" s="1"/>
      <c r="R129" s="150"/>
      <c r="T129" s="255">
        <v>2052</v>
      </c>
      <c r="U129" s="241">
        <v>68</v>
      </c>
      <c r="V129" s="241">
        <v>33</v>
      </c>
      <c r="W129" s="241">
        <v>1</v>
      </c>
      <c r="X129" s="256">
        <v>0.77796864595838189</v>
      </c>
      <c r="Y129" s="256">
        <v>0.24894589909664172</v>
      </c>
      <c r="Z129" s="256">
        <v>1.0768906249999999</v>
      </c>
      <c r="AA129" s="256">
        <v>4.4637941808980139</v>
      </c>
      <c r="AB129" s="257">
        <v>2100</v>
      </c>
      <c r="AC129" s="257">
        <v>10094.738021211113</v>
      </c>
      <c r="AD129" s="257">
        <v>7853.389669666205</v>
      </c>
      <c r="AE129" s="257">
        <v>1955.0691522713316</v>
      </c>
      <c r="AF129" s="264">
        <v>0.2</v>
      </c>
      <c r="AG129" s="257">
        <v>2018.9476042422227</v>
      </c>
      <c r="AH129" s="257">
        <v>1570.6779339332411</v>
      </c>
      <c r="AI129" s="258">
        <v>391.01383045426633</v>
      </c>
    </row>
    <row r="130" spans="1:35" x14ac:dyDescent="0.25">
      <c r="A130" s="143">
        <v>2062</v>
      </c>
      <c r="B130" s="143">
        <v>78</v>
      </c>
      <c r="C130" s="143">
        <v>43</v>
      </c>
      <c r="D130" s="143">
        <v>1</v>
      </c>
      <c r="E130" s="144">
        <v>0.63738901021444172</v>
      </c>
      <c r="F130" s="144">
        <v>0.15283118687004885</v>
      </c>
      <c r="G130" s="144">
        <v>1.3062259654601904</v>
      </c>
      <c r="H130" s="144">
        <v>7.2710503563051896</v>
      </c>
      <c r="I130" s="145">
        <v>2100</v>
      </c>
      <c r="J130" s="145">
        <v>19945.033020306255</v>
      </c>
      <c r="K130" s="145">
        <v>12712.744855507361</v>
      </c>
      <c r="L130" s="145">
        <v>1942.9038846432975</v>
      </c>
      <c r="M130" s="146">
        <v>0.2</v>
      </c>
      <c r="N130" s="145">
        <v>3989.006604061251</v>
      </c>
      <c r="O130" s="145">
        <v>2542.548971101472</v>
      </c>
      <c r="P130" s="145">
        <v>388.58077692865947</v>
      </c>
      <c r="Q130" s="1"/>
      <c r="R130" s="150"/>
      <c r="T130" s="255">
        <v>2053</v>
      </c>
      <c r="U130" s="241">
        <v>69</v>
      </c>
      <c r="V130" s="241">
        <v>34</v>
      </c>
      <c r="W130" s="241">
        <v>1</v>
      </c>
      <c r="X130" s="256">
        <v>0.76995784382714261</v>
      </c>
      <c r="Y130" s="256">
        <v>0.23709133247299211</v>
      </c>
      <c r="Z130" s="256">
        <v>1.1038128906249998</v>
      </c>
      <c r="AA130" s="256">
        <v>4.6869838899429146</v>
      </c>
      <c r="AB130" s="257">
        <v>2100</v>
      </c>
      <c r="AC130" s="257">
        <v>10864.46179532846</v>
      </c>
      <c r="AD130" s="257">
        <v>8365.1775782734676</v>
      </c>
      <c r="AE130" s="257">
        <v>1983.3110984060536</v>
      </c>
      <c r="AF130" s="264">
        <v>0.2</v>
      </c>
      <c r="AG130" s="257">
        <v>2172.8923590656918</v>
      </c>
      <c r="AH130" s="257">
        <v>1673.0355156546934</v>
      </c>
      <c r="AI130" s="258">
        <v>396.66221968121073</v>
      </c>
    </row>
    <row r="131" spans="1:35" x14ac:dyDescent="0.25">
      <c r="A131" s="143">
        <v>2063</v>
      </c>
      <c r="B131" s="143">
        <v>79</v>
      </c>
      <c r="C131" s="143">
        <v>44</v>
      </c>
      <c r="D131" s="143">
        <v>1</v>
      </c>
      <c r="E131" s="144">
        <v>0.61414668724683197</v>
      </c>
      <c r="F131" s="144">
        <v>0.14555351130480843</v>
      </c>
      <c r="G131" s="144">
        <v>1.3258193549420931</v>
      </c>
      <c r="H131" s="144">
        <v>7.634602874120449</v>
      </c>
      <c r="I131" s="145">
        <v>2100</v>
      </c>
      <c r="J131" s="145">
        <v>21256.418941391392</v>
      </c>
      <c r="K131" s="145">
        <v>13054.559275586334</v>
      </c>
      <c r="L131" s="145">
        <v>1900.1369410983473</v>
      </c>
      <c r="M131" s="146">
        <v>0.2</v>
      </c>
      <c r="N131" s="145">
        <v>4251.2837882782787</v>
      </c>
      <c r="O131" s="145">
        <v>2610.9118551172669</v>
      </c>
      <c r="P131" s="145">
        <v>380.02738821966943</v>
      </c>
      <c r="Q131" s="1"/>
      <c r="R131" s="150"/>
      <c r="T131" s="255">
        <v>2054</v>
      </c>
      <c r="U131" s="241">
        <v>70</v>
      </c>
      <c r="V131" s="241">
        <v>35</v>
      </c>
      <c r="W131" s="241">
        <v>1</v>
      </c>
      <c r="X131" s="256">
        <v>0.76099099939548975</v>
      </c>
      <c r="Y131" s="256">
        <v>0.22580126902189723</v>
      </c>
      <c r="Z131" s="256">
        <v>1.1314082128906247</v>
      </c>
      <c r="AA131" s="256">
        <v>4.9213330844400609</v>
      </c>
      <c r="AB131" s="257">
        <v>2100</v>
      </c>
      <c r="AC131" s="257">
        <v>11692.877007222254</v>
      </c>
      <c r="AD131" s="257">
        <v>8898.1741595346066</v>
      </c>
      <c r="AE131" s="257">
        <v>2009.2190172007681</v>
      </c>
      <c r="AF131" s="264">
        <v>0.2</v>
      </c>
      <c r="AG131" s="257">
        <v>2338.575401444451</v>
      </c>
      <c r="AH131" s="257">
        <v>1779.6348319069214</v>
      </c>
      <c r="AI131" s="258">
        <v>401.84380344015364</v>
      </c>
    </row>
    <row r="132" spans="1:35" x14ac:dyDescent="0.25">
      <c r="A132" s="143">
        <v>2064</v>
      </c>
      <c r="B132" s="143">
        <v>80</v>
      </c>
      <c r="C132" s="143">
        <v>45</v>
      </c>
      <c r="D132" s="143">
        <v>1</v>
      </c>
      <c r="E132" s="144">
        <v>0.58917743669067546</v>
      </c>
      <c r="F132" s="144">
        <v>0.13862239171886517</v>
      </c>
      <c r="G132" s="144">
        <v>1.3457066452662243</v>
      </c>
      <c r="H132" s="144">
        <v>8.0163330178264722</v>
      </c>
      <c r="I132" s="145">
        <v>2100</v>
      </c>
      <c r="J132" s="145">
        <v>22654.028486787869</v>
      </c>
      <c r="K132" s="145">
        <v>13347.242434563219</v>
      </c>
      <c r="L132" s="145">
        <v>1850.2266691306822</v>
      </c>
      <c r="M132" s="146">
        <v>0.2</v>
      </c>
      <c r="N132" s="145">
        <v>4530.805697357574</v>
      </c>
      <c r="O132" s="145">
        <v>2669.4484869126436</v>
      </c>
      <c r="P132" s="145">
        <v>370.04533382613641</v>
      </c>
      <c r="Q132" s="1"/>
      <c r="R132" s="150"/>
      <c r="T132" s="255">
        <v>2055</v>
      </c>
      <c r="U132" s="241">
        <v>71</v>
      </c>
      <c r="V132" s="241">
        <v>36</v>
      </c>
      <c r="W132" s="241">
        <v>1</v>
      </c>
      <c r="X132" s="256">
        <v>0.75091190409580877</v>
      </c>
      <c r="Y132" s="256">
        <v>0.21504882763990213</v>
      </c>
      <c r="Z132" s="256">
        <v>1.1540363771484372</v>
      </c>
      <c r="AA132" s="256">
        <v>5.1673997386620645</v>
      </c>
      <c r="AB132" s="257">
        <v>2100</v>
      </c>
      <c r="AC132" s="257">
        <v>12523.071274735035</v>
      </c>
      <c r="AD132" s="257">
        <v>9403.7232960388119</v>
      </c>
      <c r="AE132" s="257">
        <v>2022.2596702631829</v>
      </c>
      <c r="AF132" s="264">
        <v>0.2</v>
      </c>
      <c r="AG132" s="257">
        <v>2504.6142549470073</v>
      </c>
      <c r="AH132" s="257">
        <v>1880.7446592077627</v>
      </c>
      <c r="AI132" s="258">
        <v>404.4519340526366</v>
      </c>
    </row>
    <row r="133" spans="1:35" x14ac:dyDescent="0.25">
      <c r="A133" s="143">
        <v>2065</v>
      </c>
      <c r="B133" s="143">
        <v>81</v>
      </c>
      <c r="C133" s="143">
        <v>46</v>
      </c>
      <c r="D133" s="143">
        <v>1</v>
      </c>
      <c r="E133" s="144">
        <v>0.5625186945210614</v>
      </c>
      <c r="F133" s="144">
        <v>0.13202132544653825</v>
      </c>
      <c r="G133" s="144">
        <v>1.3591637117188866</v>
      </c>
      <c r="H133" s="144">
        <v>8.417149668717796</v>
      </c>
      <c r="I133" s="145">
        <v>2100</v>
      </c>
      <c r="J133" s="145">
        <v>24024.597210238542</v>
      </c>
      <c r="K133" s="145">
        <v>13514.285059097718</v>
      </c>
      <c r="L133" s="145">
        <v>1784.1738259644292</v>
      </c>
      <c r="M133" s="146">
        <v>0.2</v>
      </c>
      <c r="N133" s="145">
        <v>4804.9194420477088</v>
      </c>
      <c r="O133" s="145">
        <v>2702.8570118195439</v>
      </c>
      <c r="P133" s="145">
        <v>356.83476519288587</v>
      </c>
      <c r="Q133" s="1"/>
      <c r="R133" s="150"/>
      <c r="T133" s="255">
        <v>2056</v>
      </c>
      <c r="U133" s="241">
        <v>72</v>
      </c>
      <c r="V133" s="241">
        <v>37</v>
      </c>
      <c r="W133" s="241">
        <v>1</v>
      </c>
      <c r="X133" s="256">
        <v>0.73954118684067538</v>
      </c>
      <c r="Y133" s="256">
        <v>0.20480840727609725</v>
      </c>
      <c r="Z133" s="256">
        <v>1.177117104691406</v>
      </c>
      <c r="AA133" s="256">
        <v>5.4257697255951678</v>
      </c>
      <c r="AB133" s="257">
        <v>2100</v>
      </c>
      <c r="AC133" s="257">
        <v>13412.209335241223</v>
      </c>
      <c r="AD133" s="257">
        <v>9918.8812099398801</v>
      </c>
      <c r="AE133" s="257">
        <v>2031.4702625685952</v>
      </c>
      <c r="AF133" s="264">
        <v>0.2</v>
      </c>
      <c r="AG133" s="257">
        <v>2682.4418670482446</v>
      </c>
      <c r="AH133" s="257">
        <v>1983.7762419879759</v>
      </c>
      <c r="AI133" s="258">
        <v>406.29405251371907</v>
      </c>
    </row>
    <row r="134" spans="1:35" x14ac:dyDescent="0.25">
      <c r="A134" s="143">
        <v>2066</v>
      </c>
      <c r="B134" s="143">
        <v>82</v>
      </c>
      <c r="C134" s="143">
        <v>47</v>
      </c>
      <c r="D134" s="143">
        <v>1</v>
      </c>
      <c r="E134" s="144">
        <v>0.534314615711035</v>
      </c>
      <c r="F134" s="144">
        <v>0.12573459566336975</v>
      </c>
      <c r="G134" s="144">
        <v>1.3727553488360755</v>
      </c>
      <c r="H134" s="144">
        <v>8.8380071521536863</v>
      </c>
      <c r="I134" s="145">
        <v>2100</v>
      </c>
      <c r="J134" s="145">
        <v>25478.085341457976</v>
      </c>
      <c r="K134" s="145">
        <v>13613.313378274073</v>
      </c>
      <c r="L134" s="145">
        <v>1711.6644532560326</v>
      </c>
      <c r="M134" s="146">
        <v>0.2</v>
      </c>
      <c r="N134" s="145">
        <v>5095.6170682915954</v>
      </c>
      <c r="O134" s="145">
        <v>2722.6626756548144</v>
      </c>
      <c r="P134" s="145">
        <v>342.33289065120653</v>
      </c>
      <c r="Q134" s="1"/>
      <c r="R134" s="150"/>
      <c r="T134" s="255">
        <v>2057</v>
      </c>
      <c r="U134" s="241">
        <v>73</v>
      </c>
      <c r="V134" s="241">
        <v>38</v>
      </c>
      <c r="W134" s="241">
        <v>1</v>
      </c>
      <c r="X134" s="256">
        <v>0.72671709233030368</v>
      </c>
      <c r="Y134" s="256">
        <v>0.19505562597723547</v>
      </c>
      <c r="Z134" s="256">
        <v>1.2006594467852341</v>
      </c>
      <c r="AA134" s="256">
        <v>5.6970582118749267</v>
      </c>
      <c r="AB134" s="257">
        <v>2100</v>
      </c>
      <c r="AC134" s="257">
        <v>14364.47619804335</v>
      </c>
      <c r="AD134" s="257">
        <v>10438.910375489919</v>
      </c>
      <c r="AE134" s="257">
        <v>2036.1681978114443</v>
      </c>
      <c r="AF134" s="264">
        <v>0.2</v>
      </c>
      <c r="AG134" s="257">
        <v>2872.8952396086702</v>
      </c>
      <c r="AH134" s="257">
        <v>2087.782075097984</v>
      </c>
      <c r="AI134" s="258">
        <v>407.23363956228889</v>
      </c>
    </row>
    <row r="135" spans="1:35" x14ac:dyDescent="0.25">
      <c r="A135" s="143">
        <v>2067</v>
      </c>
      <c r="B135" s="143">
        <v>83</v>
      </c>
      <c r="C135" s="143">
        <v>48</v>
      </c>
      <c r="D135" s="143">
        <v>1</v>
      </c>
      <c r="E135" s="144">
        <v>0.50475262858610526</v>
      </c>
      <c r="F135" s="144">
        <v>0.11974723396511404</v>
      </c>
      <c r="G135" s="144">
        <v>1.3864829023244363</v>
      </c>
      <c r="H135" s="144">
        <v>9.2799075097613706</v>
      </c>
      <c r="I135" s="145">
        <v>2100</v>
      </c>
      <c r="J135" s="145">
        <v>27019.509504616184</v>
      </c>
      <c r="K135" s="145">
        <v>13638.168445562274</v>
      </c>
      <c r="L135" s="145">
        <v>1633.1329477063814</v>
      </c>
      <c r="M135" s="146">
        <v>0.2</v>
      </c>
      <c r="N135" s="145">
        <v>5403.901900923237</v>
      </c>
      <c r="O135" s="145">
        <v>2727.6336891124547</v>
      </c>
      <c r="P135" s="145">
        <v>326.62658954127625</v>
      </c>
      <c r="Q135" s="1"/>
      <c r="R135" s="150"/>
      <c r="T135" s="255">
        <v>2058</v>
      </c>
      <c r="U135" s="241">
        <v>74</v>
      </c>
      <c r="V135" s="241">
        <v>39</v>
      </c>
      <c r="W135" s="241">
        <v>1</v>
      </c>
      <c r="X135" s="256">
        <v>0.71233691426354162</v>
      </c>
      <c r="Y135" s="256">
        <v>0.18576726283546235</v>
      </c>
      <c r="Z135" s="256">
        <v>1.2246726357209388</v>
      </c>
      <c r="AA135" s="256">
        <v>5.9819111224686736</v>
      </c>
      <c r="AB135" s="257">
        <v>2100</v>
      </c>
      <c r="AC135" s="257">
        <v>15384.35400810443</v>
      </c>
      <c r="AD135" s="257">
        <v>10958.843262071059</v>
      </c>
      <c r="AE135" s="257">
        <v>2035.7943166377902</v>
      </c>
      <c r="AF135" s="264">
        <v>0.2</v>
      </c>
      <c r="AG135" s="257">
        <v>3076.8708016208861</v>
      </c>
      <c r="AH135" s="257">
        <v>2191.7686524142118</v>
      </c>
      <c r="AI135" s="258">
        <v>407.15886332755804</v>
      </c>
    </row>
    <row r="136" spans="1:35" x14ac:dyDescent="0.25">
      <c r="A136" s="143">
        <v>2068</v>
      </c>
      <c r="B136" s="143">
        <v>84</v>
      </c>
      <c r="C136" s="143">
        <v>49</v>
      </c>
      <c r="D136" s="143">
        <v>1</v>
      </c>
      <c r="E136" s="144">
        <v>0.47403099591910092</v>
      </c>
      <c r="F136" s="144">
        <v>0.11404498472868004</v>
      </c>
      <c r="G136" s="144">
        <v>1.4003477313476806</v>
      </c>
      <c r="H136" s="144">
        <v>9.7439028852494403</v>
      </c>
      <c r="I136" s="145">
        <v>2100</v>
      </c>
      <c r="J136" s="145">
        <v>28654.189829645464</v>
      </c>
      <c r="K136" s="145">
        <v>13582.974142201812</v>
      </c>
      <c r="L136" s="145">
        <v>1549.0700786174614</v>
      </c>
      <c r="M136" s="146">
        <v>0.2</v>
      </c>
      <c r="N136" s="145">
        <v>5730.8379659290931</v>
      </c>
      <c r="O136" s="145">
        <v>2716.5948284403626</v>
      </c>
      <c r="P136" s="145">
        <v>309.81401572349233</v>
      </c>
      <c r="Q136" s="1"/>
      <c r="R136" s="150"/>
      <c r="T136" s="255">
        <v>2059</v>
      </c>
      <c r="U136" s="241">
        <v>75</v>
      </c>
      <c r="V136" s="241">
        <v>40</v>
      </c>
      <c r="W136" s="241">
        <v>1</v>
      </c>
      <c r="X136" s="256">
        <v>0.69628473000971236</v>
      </c>
      <c r="Y136" s="256">
        <v>0.17692120270044032</v>
      </c>
      <c r="Z136" s="256">
        <v>1.2491660884353575</v>
      </c>
      <c r="AA136" s="256">
        <v>6.2810066785921075</v>
      </c>
      <c r="AB136" s="257">
        <v>2100</v>
      </c>
      <c r="AC136" s="257">
        <v>16476.643142679844</v>
      </c>
      <c r="AD136" s="257">
        <v>11472.435022067215</v>
      </c>
      <c r="AE136" s="257">
        <v>2029.7170020067842</v>
      </c>
      <c r="AF136" s="264">
        <v>0.2</v>
      </c>
      <c r="AG136" s="257">
        <v>3295.3286285359691</v>
      </c>
      <c r="AH136" s="257">
        <v>2294.4870044134427</v>
      </c>
      <c r="AI136" s="258">
        <v>405.94340040135677</v>
      </c>
    </row>
    <row r="137" spans="1:35" x14ac:dyDescent="0.25">
      <c r="A137" s="143">
        <v>2069</v>
      </c>
      <c r="B137" s="143">
        <v>85</v>
      </c>
      <c r="C137" s="143">
        <v>50</v>
      </c>
      <c r="D137" s="143">
        <v>1</v>
      </c>
      <c r="E137" s="144">
        <v>0.44238966442216721</v>
      </c>
      <c r="F137" s="144">
        <v>0.10861427117017146</v>
      </c>
      <c r="G137" s="144">
        <v>1.4143512086611574</v>
      </c>
      <c r="H137" s="144">
        <v>10.231098029511912</v>
      </c>
      <c r="I137" s="145">
        <v>2100</v>
      </c>
      <c r="J137" s="145">
        <v>30387.768314339013</v>
      </c>
      <c r="K137" s="145">
        <v>13443.234627119002</v>
      </c>
      <c r="L137" s="145">
        <v>1460.1271311941421</v>
      </c>
      <c r="M137" s="146">
        <v>0.2</v>
      </c>
      <c r="N137" s="145">
        <v>6077.5536628678028</v>
      </c>
      <c r="O137" s="145">
        <v>2688.6469254238004</v>
      </c>
      <c r="P137" s="145">
        <v>292.0254262388284</v>
      </c>
      <c r="Q137" s="1"/>
      <c r="R137" s="150"/>
      <c r="T137" s="255">
        <v>2060</v>
      </c>
      <c r="U137" s="241">
        <v>76</v>
      </c>
      <c r="V137" s="241">
        <v>41</v>
      </c>
      <c r="W137" s="241">
        <v>1</v>
      </c>
      <c r="X137" s="256">
        <v>0.67847337196075141</v>
      </c>
      <c r="Y137" s="256">
        <v>0.16849638352422885</v>
      </c>
      <c r="Z137" s="256">
        <v>1.2679035797618876</v>
      </c>
      <c r="AA137" s="256">
        <v>6.5950570125217132</v>
      </c>
      <c r="AB137" s="257">
        <v>2100</v>
      </c>
      <c r="AC137" s="257">
        <v>17559.982429311043</v>
      </c>
      <c r="AD137" s="257">
        <v>11913.980490386211</v>
      </c>
      <c r="AE137" s="257">
        <v>2007.4626260082953</v>
      </c>
      <c r="AF137" s="264">
        <v>0.2</v>
      </c>
      <c r="AG137" s="257">
        <v>3511.9964858622088</v>
      </c>
      <c r="AH137" s="257">
        <v>2382.7960980772423</v>
      </c>
      <c r="AI137" s="258">
        <v>401.49252520165902</v>
      </c>
    </row>
    <row r="138" spans="1:35" x14ac:dyDescent="0.25">
      <c r="A138" s="143">
        <v>2070</v>
      </c>
      <c r="B138" s="143">
        <v>86</v>
      </c>
      <c r="C138" s="143">
        <v>51</v>
      </c>
      <c r="D138" s="143">
        <v>1</v>
      </c>
      <c r="E138" s="144">
        <v>0.41003829342478615</v>
      </c>
      <c r="F138" s="144">
        <v>0.10344216301921091</v>
      </c>
      <c r="G138" s="144">
        <v>1.4214229647044629</v>
      </c>
      <c r="H138" s="144">
        <v>10.742652930987509</v>
      </c>
      <c r="I138" s="145">
        <v>2100</v>
      </c>
      <c r="J138" s="145">
        <v>32066.692513706243</v>
      </c>
      <c r="K138" s="145">
        <v>13148.571874097473</v>
      </c>
      <c r="L138" s="145">
        <v>1360.1167152702023</v>
      </c>
      <c r="M138" s="146">
        <v>0.2</v>
      </c>
      <c r="N138" s="145">
        <v>6413.3385027412487</v>
      </c>
      <c r="O138" s="145">
        <v>2629.7143748194949</v>
      </c>
      <c r="P138" s="145">
        <v>272.02334305404048</v>
      </c>
      <c r="Q138" s="1"/>
      <c r="R138" s="150"/>
      <c r="T138" s="255">
        <v>2061</v>
      </c>
      <c r="U138" s="241">
        <v>77</v>
      </c>
      <c r="V138" s="241">
        <v>42</v>
      </c>
      <c r="W138" s="241">
        <v>1</v>
      </c>
      <c r="X138" s="256">
        <v>0.65884793814485254</v>
      </c>
      <c r="Y138" s="256">
        <v>0.16047274621355129</v>
      </c>
      <c r="Z138" s="256">
        <v>1.2869221334583159</v>
      </c>
      <c r="AA138" s="256">
        <v>6.9248098631477992</v>
      </c>
      <c r="AB138" s="257">
        <v>2100</v>
      </c>
      <c r="AC138" s="257">
        <v>18714.551274038244</v>
      </c>
      <c r="AD138" s="257">
        <v>12330.04352020622</v>
      </c>
      <c r="AE138" s="257">
        <v>1978.6359446200952</v>
      </c>
      <c r="AF138" s="264">
        <v>0.2</v>
      </c>
      <c r="AG138" s="257">
        <v>3742.9102548076489</v>
      </c>
      <c r="AH138" s="257">
        <v>2466.0087040412441</v>
      </c>
      <c r="AI138" s="258">
        <v>395.72718892401906</v>
      </c>
    </row>
    <row r="139" spans="1:35" x14ac:dyDescent="0.25">
      <c r="A139" s="143">
        <v>2071</v>
      </c>
      <c r="B139" s="143">
        <v>87</v>
      </c>
      <c r="C139" s="143">
        <v>52</v>
      </c>
      <c r="D139" s="143">
        <v>1</v>
      </c>
      <c r="E139" s="144">
        <v>0.37719232451930973</v>
      </c>
      <c r="F139" s="144">
        <v>9.851634573258182E-2</v>
      </c>
      <c r="G139" s="144">
        <v>1.4285300795279852</v>
      </c>
      <c r="H139" s="144">
        <v>11.279785577536884</v>
      </c>
      <c r="I139" s="145">
        <v>2100</v>
      </c>
      <c r="J139" s="145">
        <v>33838.377275088511</v>
      </c>
      <c r="K139" s="145">
        <v>12763.576182352021</v>
      </c>
      <c r="L139" s="145">
        <v>1257.4208839647386</v>
      </c>
      <c r="M139" s="146">
        <v>0.2</v>
      </c>
      <c r="N139" s="145">
        <v>6767.6754550177029</v>
      </c>
      <c r="O139" s="145">
        <v>2552.7152364704048</v>
      </c>
      <c r="P139" s="145">
        <v>251.48417679294775</v>
      </c>
      <c r="Q139" s="1"/>
      <c r="R139" s="150"/>
      <c r="T139" s="255">
        <v>2062</v>
      </c>
      <c r="U139" s="241">
        <v>78</v>
      </c>
      <c r="V139" s="241">
        <v>43</v>
      </c>
      <c r="W139" s="241">
        <v>1</v>
      </c>
      <c r="X139" s="256">
        <v>0.63738901021444172</v>
      </c>
      <c r="Y139" s="256">
        <v>0.15283118687004885</v>
      </c>
      <c r="Z139" s="256">
        <v>1.3062259654601904</v>
      </c>
      <c r="AA139" s="256">
        <v>7.2710503563051896</v>
      </c>
      <c r="AB139" s="257">
        <v>2100</v>
      </c>
      <c r="AC139" s="257">
        <v>19945.033020306255</v>
      </c>
      <c r="AD139" s="257">
        <v>12712.744855507361</v>
      </c>
      <c r="AE139" s="257">
        <v>1942.9038846432975</v>
      </c>
      <c r="AF139" s="264">
        <v>0.2</v>
      </c>
      <c r="AG139" s="257">
        <v>3989.006604061251</v>
      </c>
      <c r="AH139" s="257">
        <v>2542.548971101472</v>
      </c>
      <c r="AI139" s="258">
        <v>388.58077692865947</v>
      </c>
    </row>
    <row r="140" spans="1:35" x14ac:dyDescent="0.25">
      <c r="A140" s="143">
        <v>2072</v>
      </c>
      <c r="B140" s="143">
        <v>88</v>
      </c>
      <c r="C140" s="143">
        <v>53</v>
      </c>
      <c r="D140" s="143">
        <v>1</v>
      </c>
      <c r="E140" s="144">
        <v>0.34410318346216362</v>
      </c>
      <c r="F140" s="144">
        <v>9.3825091173887445E-2</v>
      </c>
      <c r="G140" s="144">
        <v>1.4356727299256249</v>
      </c>
      <c r="H140" s="144">
        <v>11.843774856413729</v>
      </c>
      <c r="I140" s="145">
        <v>2100</v>
      </c>
      <c r="J140" s="145">
        <v>35707.947619537146</v>
      </c>
      <c r="K140" s="145">
        <v>12287.218450782919</v>
      </c>
      <c r="L140" s="145">
        <v>1152.8493914181795</v>
      </c>
      <c r="M140" s="146">
        <v>0.2</v>
      </c>
      <c r="N140" s="145">
        <v>7141.5895239074298</v>
      </c>
      <c r="O140" s="145">
        <v>2457.4436901565841</v>
      </c>
      <c r="P140" s="145">
        <v>230.56987828363592</v>
      </c>
      <c r="Q140" s="1"/>
      <c r="R140" s="150"/>
      <c r="T140" s="255">
        <v>2063</v>
      </c>
      <c r="U140" s="241">
        <v>79</v>
      </c>
      <c r="V140" s="241">
        <v>44</v>
      </c>
      <c r="W140" s="241">
        <v>1</v>
      </c>
      <c r="X140" s="256">
        <v>0.61414668724683197</v>
      </c>
      <c r="Y140" s="256">
        <v>0.14555351130480843</v>
      </c>
      <c r="Z140" s="256">
        <v>1.3258193549420931</v>
      </c>
      <c r="AA140" s="256">
        <v>7.634602874120449</v>
      </c>
      <c r="AB140" s="257">
        <v>2100</v>
      </c>
      <c r="AC140" s="257">
        <v>21256.418941391392</v>
      </c>
      <c r="AD140" s="257">
        <v>13054.559275586334</v>
      </c>
      <c r="AE140" s="257">
        <v>1900.1369410983473</v>
      </c>
      <c r="AF140" s="264">
        <v>0.2</v>
      </c>
      <c r="AG140" s="257">
        <v>4251.2837882782787</v>
      </c>
      <c r="AH140" s="257">
        <v>2610.9118551172669</v>
      </c>
      <c r="AI140" s="258">
        <v>380.02738821966943</v>
      </c>
    </row>
    <row r="141" spans="1:35" x14ac:dyDescent="0.25">
      <c r="A141" s="143">
        <v>2073</v>
      </c>
      <c r="B141" s="143">
        <v>89</v>
      </c>
      <c r="C141" s="143">
        <v>54</v>
      </c>
      <c r="D141" s="143">
        <v>1</v>
      </c>
      <c r="E141" s="144">
        <v>0.31092433288219679</v>
      </c>
      <c r="F141" s="144">
        <v>8.9357229689416617E-2</v>
      </c>
      <c r="G141" s="144">
        <v>1.4428510935752528</v>
      </c>
      <c r="H141" s="144">
        <v>12.435963599234416</v>
      </c>
      <c r="I141" s="145">
        <v>2100</v>
      </c>
      <c r="J141" s="145">
        <v>37680.811725516571</v>
      </c>
      <c r="K141" s="145">
        <v>11715.881248215897</v>
      </c>
      <c r="L141" s="145">
        <v>1046.898691710757</v>
      </c>
      <c r="M141" s="146">
        <v>0.2</v>
      </c>
      <c r="N141" s="145">
        <v>7536.1623451033147</v>
      </c>
      <c r="O141" s="145">
        <v>2343.1762496431797</v>
      </c>
      <c r="P141" s="145">
        <v>209.37973834215143</v>
      </c>
      <c r="Q141" s="1"/>
      <c r="R141" s="150"/>
      <c r="T141" s="255">
        <v>2064</v>
      </c>
      <c r="U141" s="241">
        <v>80</v>
      </c>
      <c r="V141" s="241">
        <v>45</v>
      </c>
      <c r="W141" s="241">
        <v>1</v>
      </c>
      <c r="X141" s="256">
        <v>0.58917743669067546</v>
      </c>
      <c r="Y141" s="256">
        <v>0.13862239171886517</v>
      </c>
      <c r="Z141" s="256">
        <v>1.3457066452662243</v>
      </c>
      <c r="AA141" s="256">
        <v>8.0163330178264722</v>
      </c>
      <c r="AB141" s="257">
        <v>2100</v>
      </c>
      <c r="AC141" s="257">
        <v>22654.028486787869</v>
      </c>
      <c r="AD141" s="257">
        <v>13347.242434563219</v>
      </c>
      <c r="AE141" s="257">
        <v>1850.2266691306822</v>
      </c>
      <c r="AF141" s="264">
        <v>0.2</v>
      </c>
      <c r="AG141" s="257">
        <v>4530.805697357574</v>
      </c>
      <c r="AH141" s="257">
        <v>2669.4484869126436</v>
      </c>
      <c r="AI141" s="258">
        <v>370.04533382613641</v>
      </c>
    </row>
    <row r="142" spans="1:35" x14ac:dyDescent="0.25">
      <c r="A142" s="143">
        <v>2074</v>
      </c>
      <c r="B142" s="143">
        <v>90</v>
      </c>
      <c r="C142" s="143">
        <v>55</v>
      </c>
      <c r="D142" s="143">
        <v>1</v>
      </c>
      <c r="E142" s="144">
        <v>0.27786614903500484</v>
      </c>
      <c r="F142" s="144">
        <v>8.5102123513730102E-2</v>
      </c>
      <c r="G142" s="144">
        <v>1.4500653490431288</v>
      </c>
      <c r="H142" s="144">
        <v>13.057761779196138</v>
      </c>
      <c r="I142" s="145">
        <v>2100</v>
      </c>
      <c r="J142" s="145">
        <v>39762.676573351353</v>
      </c>
      <c r="K142" s="145">
        <v>11048.701814761542</v>
      </c>
      <c r="L142" s="145">
        <v>940.2679865062106</v>
      </c>
      <c r="M142" s="146">
        <v>0.2</v>
      </c>
      <c r="N142" s="145">
        <v>7952.535314670271</v>
      </c>
      <c r="O142" s="145">
        <v>2209.7403629523087</v>
      </c>
      <c r="P142" s="145">
        <v>188.05359730124215</v>
      </c>
      <c r="Q142" s="1"/>
      <c r="R142" s="150"/>
      <c r="T142" s="255">
        <v>2065</v>
      </c>
      <c r="U142" s="241">
        <v>81</v>
      </c>
      <c r="V142" s="241">
        <v>46</v>
      </c>
      <c r="W142" s="241">
        <v>1</v>
      </c>
      <c r="X142" s="256">
        <v>0.5625186945210614</v>
      </c>
      <c r="Y142" s="256">
        <v>0.13202132544653825</v>
      </c>
      <c r="Z142" s="256">
        <v>1.3591637117188866</v>
      </c>
      <c r="AA142" s="256">
        <v>8.417149668717796</v>
      </c>
      <c r="AB142" s="257">
        <v>2100</v>
      </c>
      <c r="AC142" s="257">
        <v>24024.597210238542</v>
      </c>
      <c r="AD142" s="257">
        <v>13514.285059097718</v>
      </c>
      <c r="AE142" s="257">
        <v>1784.1738259644292</v>
      </c>
      <c r="AF142" s="264">
        <v>0.2</v>
      </c>
      <c r="AG142" s="257">
        <v>4804.9194420477088</v>
      </c>
      <c r="AH142" s="257">
        <v>2702.8570118195439</v>
      </c>
      <c r="AI142" s="258">
        <v>356.83476519288587</v>
      </c>
    </row>
    <row r="143" spans="1:35" x14ac:dyDescent="0.25">
      <c r="A143" s="5"/>
      <c r="B143" s="5"/>
      <c r="C143" s="5"/>
      <c r="D143" s="5"/>
      <c r="E143" s="5"/>
      <c r="F143" s="5"/>
      <c r="G143" s="5"/>
      <c r="H143" s="5"/>
      <c r="I143" s="5"/>
      <c r="J143" s="5"/>
      <c r="K143" s="5"/>
      <c r="L143" s="5"/>
      <c r="M143" s="5"/>
      <c r="N143" s="5"/>
      <c r="O143" s="5"/>
      <c r="P143" s="1"/>
      <c r="Q143" s="1"/>
      <c r="R143" s="150"/>
      <c r="T143" s="255">
        <v>2066</v>
      </c>
      <c r="U143" s="241">
        <v>82</v>
      </c>
      <c r="V143" s="241">
        <v>47</v>
      </c>
      <c r="W143" s="241">
        <v>1</v>
      </c>
      <c r="X143" s="256">
        <v>0.534314615711035</v>
      </c>
      <c r="Y143" s="256">
        <v>0.12573459566336975</v>
      </c>
      <c r="Z143" s="256">
        <v>1.3727553488360755</v>
      </c>
      <c r="AA143" s="256">
        <v>8.8380071521536863</v>
      </c>
      <c r="AB143" s="257">
        <v>2100</v>
      </c>
      <c r="AC143" s="257">
        <v>25478.085341457976</v>
      </c>
      <c r="AD143" s="257">
        <v>13613.313378274073</v>
      </c>
      <c r="AE143" s="257">
        <v>1711.6644532560326</v>
      </c>
      <c r="AF143" s="264">
        <v>0.2</v>
      </c>
      <c r="AG143" s="257">
        <v>5095.6170682915954</v>
      </c>
      <c r="AH143" s="257">
        <v>2722.6626756548144</v>
      </c>
      <c r="AI143" s="258">
        <v>342.33289065120653</v>
      </c>
    </row>
    <row r="144" spans="1:35" x14ac:dyDescent="0.25">
      <c r="A144" s="91" t="s">
        <v>295</v>
      </c>
      <c r="B144" s="5"/>
      <c r="C144" s="5"/>
      <c r="D144" s="5"/>
      <c r="E144" s="5"/>
      <c r="F144" s="5"/>
      <c r="G144" s="5"/>
      <c r="H144" s="5"/>
      <c r="I144" s="5"/>
      <c r="J144" s="5"/>
      <c r="K144" s="5"/>
      <c r="L144" s="5"/>
      <c r="M144" s="5"/>
      <c r="N144" s="5"/>
      <c r="O144" s="5"/>
      <c r="P144" s="1"/>
      <c r="Q144" s="1"/>
      <c r="R144" s="150"/>
      <c r="T144" s="255">
        <v>2067</v>
      </c>
      <c r="U144" s="241">
        <v>83</v>
      </c>
      <c r="V144" s="241">
        <v>48</v>
      </c>
      <c r="W144" s="241">
        <v>1</v>
      </c>
      <c r="X144" s="256">
        <v>0.50475262858610526</v>
      </c>
      <c r="Y144" s="256">
        <v>0.11974723396511404</v>
      </c>
      <c r="Z144" s="256">
        <v>1.3864829023244363</v>
      </c>
      <c r="AA144" s="256">
        <v>9.2799075097613706</v>
      </c>
      <c r="AB144" s="257">
        <v>2100</v>
      </c>
      <c r="AC144" s="257">
        <v>27019.509504616184</v>
      </c>
      <c r="AD144" s="257">
        <v>13638.168445562274</v>
      </c>
      <c r="AE144" s="257">
        <v>1633.1329477063814</v>
      </c>
      <c r="AF144" s="264">
        <v>0.2</v>
      </c>
      <c r="AG144" s="257">
        <v>5403.901900923237</v>
      </c>
      <c r="AH144" s="257">
        <v>2727.6336891124547</v>
      </c>
      <c r="AI144" s="258">
        <v>326.62658954127625</v>
      </c>
    </row>
    <row r="145" spans="1:35" ht="78.75" x14ac:dyDescent="0.25">
      <c r="A145" s="142" t="s">
        <v>183</v>
      </c>
      <c r="B145" s="142" t="s">
        <v>263</v>
      </c>
      <c r="C145" s="142" t="s">
        <v>264</v>
      </c>
      <c r="D145" s="142" t="s">
        <v>265</v>
      </c>
      <c r="E145" s="142" t="s">
        <v>266</v>
      </c>
      <c r="F145" s="142" t="s">
        <v>267</v>
      </c>
      <c r="G145" s="142" t="s">
        <v>268</v>
      </c>
      <c r="H145" s="142" t="s">
        <v>269</v>
      </c>
      <c r="I145" s="142" t="s">
        <v>270</v>
      </c>
      <c r="J145" s="142" t="s">
        <v>271</v>
      </c>
      <c r="K145" s="142" t="s">
        <v>272</v>
      </c>
      <c r="L145" s="142" t="s">
        <v>273</v>
      </c>
      <c r="M145" s="142" t="s">
        <v>274</v>
      </c>
      <c r="N145" s="142" t="s">
        <v>275</v>
      </c>
      <c r="O145" s="142" t="s">
        <v>276</v>
      </c>
      <c r="P145" s="142" t="s">
        <v>277</v>
      </c>
      <c r="Q145" s="1"/>
      <c r="R145" s="150"/>
      <c r="T145" s="255">
        <v>2068</v>
      </c>
      <c r="U145" s="241">
        <v>84</v>
      </c>
      <c r="V145" s="241">
        <v>49</v>
      </c>
      <c r="W145" s="241">
        <v>1</v>
      </c>
      <c r="X145" s="256">
        <v>0.47403099591910092</v>
      </c>
      <c r="Y145" s="256">
        <v>0.11404498472868004</v>
      </c>
      <c r="Z145" s="256">
        <v>1.4003477313476806</v>
      </c>
      <c r="AA145" s="256">
        <v>9.7439028852494403</v>
      </c>
      <c r="AB145" s="257">
        <v>2100</v>
      </c>
      <c r="AC145" s="257">
        <v>28654.189829645464</v>
      </c>
      <c r="AD145" s="257">
        <v>13582.974142201812</v>
      </c>
      <c r="AE145" s="257">
        <v>1549.0700786174614</v>
      </c>
      <c r="AF145" s="264">
        <v>0.2</v>
      </c>
      <c r="AG145" s="257">
        <v>5730.8379659290931</v>
      </c>
      <c r="AH145" s="257">
        <v>2716.5948284403626</v>
      </c>
      <c r="AI145" s="258">
        <v>309.81401572349233</v>
      </c>
    </row>
    <row r="146" spans="1:35" x14ac:dyDescent="0.25">
      <c r="A146" s="143">
        <v>2024</v>
      </c>
      <c r="B146" s="143">
        <v>40</v>
      </c>
      <c r="C146" s="143">
        <v>5</v>
      </c>
      <c r="D146" s="143">
        <v>0</v>
      </c>
      <c r="E146" s="144">
        <v>0</v>
      </c>
      <c r="F146" s="144">
        <v>0.97590007294853309</v>
      </c>
      <c r="G146" s="144">
        <v>0.47760556926165926</v>
      </c>
      <c r="H146" s="144">
        <v>1</v>
      </c>
      <c r="I146" s="145">
        <v>15000</v>
      </c>
      <c r="J146" s="145">
        <v>7164.0835389248887</v>
      </c>
      <c r="K146" s="145">
        <v>0</v>
      </c>
      <c r="L146" s="145">
        <v>0</v>
      </c>
      <c r="M146" s="145">
        <v>3500</v>
      </c>
      <c r="N146" s="145">
        <v>3500</v>
      </c>
      <c r="O146" s="145">
        <v>0</v>
      </c>
      <c r="P146" s="145">
        <v>0</v>
      </c>
      <c r="Q146" s="1"/>
      <c r="R146" s="150"/>
      <c r="T146" s="255">
        <v>2069</v>
      </c>
      <c r="U146" s="241">
        <v>85</v>
      </c>
      <c r="V146" s="241">
        <v>50</v>
      </c>
      <c r="W146" s="241">
        <v>1</v>
      </c>
      <c r="X146" s="256">
        <v>0.44238966442216721</v>
      </c>
      <c r="Y146" s="256">
        <v>0.10861427117017146</v>
      </c>
      <c r="Z146" s="256">
        <v>1.4143512086611574</v>
      </c>
      <c r="AA146" s="256">
        <v>10.231098029511912</v>
      </c>
      <c r="AB146" s="257">
        <v>2100</v>
      </c>
      <c r="AC146" s="257">
        <v>30387.768314339013</v>
      </c>
      <c r="AD146" s="257">
        <v>13443.234627119002</v>
      </c>
      <c r="AE146" s="257">
        <v>1460.1271311941421</v>
      </c>
      <c r="AF146" s="264">
        <v>0.2</v>
      </c>
      <c r="AG146" s="257">
        <v>6077.5536628678028</v>
      </c>
      <c r="AH146" s="257">
        <v>2688.6469254238004</v>
      </c>
      <c r="AI146" s="258">
        <v>292.0254262388284</v>
      </c>
    </row>
    <row r="147" spans="1:35" x14ac:dyDescent="0.25">
      <c r="A147" s="143">
        <v>2025</v>
      </c>
      <c r="B147" s="143">
        <v>41</v>
      </c>
      <c r="C147" s="143">
        <v>6</v>
      </c>
      <c r="D147" s="143">
        <v>0</v>
      </c>
      <c r="E147" s="144">
        <v>0</v>
      </c>
      <c r="F147" s="144">
        <v>0.92942864090336486</v>
      </c>
      <c r="G147" s="144">
        <v>0.49193373633950904</v>
      </c>
      <c r="H147" s="144">
        <v>1.0549999999999999</v>
      </c>
      <c r="I147" s="145">
        <v>15000</v>
      </c>
      <c r="J147" s="145">
        <v>7784.8513775727297</v>
      </c>
      <c r="K147" s="145">
        <v>0</v>
      </c>
      <c r="L147" s="145">
        <v>0</v>
      </c>
      <c r="M147" s="145">
        <v>3500</v>
      </c>
      <c r="N147" s="145">
        <v>3500</v>
      </c>
      <c r="O147" s="145">
        <v>0</v>
      </c>
      <c r="P147" s="145">
        <v>0</v>
      </c>
      <c r="Q147" s="1"/>
      <c r="R147" s="150"/>
      <c r="T147" s="255">
        <v>2070</v>
      </c>
      <c r="U147" s="241">
        <v>86</v>
      </c>
      <c r="V147" s="241">
        <v>51</v>
      </c>
      <c r="W147" s="241">
        <v>1</v>
      </c>
      <c r="X147" s="256">
        <v>0.41003829342478615</v>
      </c>
      <c r="Y147" s="256">
        <v>0.10344216301921091</v>
      </c>
      <c r="Z147" s="256">
        <v>1.4214229647044629</v>
      </c>
      <c r="AA147" s="256">
        <v>10.742652930987509</v>
      </c>
      <c r="AB147" s="257">
        <v>2100</v>
      </c>
      <c r="AC147" s="257">
        <v>32066.692513706243</v>
      </c>
      <c r="AD147" s="257">
        <v>13148.571874097473</v>
      </c>
      <c r="AE147" s="257">
        <v>1360.1167152702023</v>
      </c>
      <c r="AF147" s="264">
        <v>0.2</v>
      </c>
      <c r="AG147" s="257">
        <v>6413.3385027412487</v>
      </c>
      <c r="AH147" s="257">
        <v>2629.7143748194949</v>
      </c>
      <c r="AI147" s="258">
        <v>272.02334305404048</v>
      </c>
    </row>
    <row r="148" spans="1:35" x14ac:dyDescent="0.25">
      <c r="A148" s="143">
        <v>2026</v>
      </c>
      <c r="B148" s="143">
        <v>42</v>
      </c>
      <c r="C148" s="143">
        <v>7</v>
      </c>
      <c r="D148" s="143">
        <v>0</v>
      </c>
      <c r="E148" s="144">
        <v>0</v>
      </c>
      <c r="F148" s="144">
        <v>0.88517013419368074</v>
      </c>
      <c r="G148" s="144">
        <v>0.50669174842969433</v>
      </c>
      <c r="H148" s="144">
        <v>1.1103874999999999</v>
      </c>
      <c r="I148" s="145">
        <v>15000</v>
      </c>
      <c r="J148" s="145">
        <v>8439.3627571421566</v>
      </c>
      <c r="K148" s="145">
        <v>0</v>
      </c>
      <c r="L148" s="145">
        <v>0</v>
      </c>
      <c r="M148" s="145">
        <v>3500</v>
      </c>
      <c r="N148" s="145">
        <v>3500</v>
      </c>
      <c r="O148" s="145">
        <v>0</v>
      </c>
      <c r="P148" s="145">
        <v>0</v>
      </c>
      <c r="Q148" s="1"/>
      <c r="R148" s="150"/>
      <c r="T148" s="255">
        <v>2071</v>
      </c>
      <c r="U148" s="241">
        <v>87</v>
      </c>
      <c r="V148" s="241">
        <v>52</v>
      </c>
      <c r="W148" s="241">
        <v>1</v>
      </c>
      <c r="X148" s="256">
        <v>0.37719232451930973</v>
      </c>
      <c r="Y148" s="256">
        <v>9.851634573258182E-2</v>
      </c>
      <c r="Z148" s="256">
        <v>1.4285300795279852</v>
      </c>
      <c r="AA148" s="256">
        <v>11.279785577536884</v>
      </c>
      <c r="AB148" s="257">
        <v>2100</v>
      </c>
      <c r="AC148" s="257">
        <v>33838.377275088511</v>
      </c>
      <c r="AD148" s="257">
        <v>12763.576182352021</v>
      </c>
      <c r="AE148" s="257">
        <v>1257.4208839647386</v>
      </c>
      <c r="AF148" s="264">
        <v>0.2</v>
      </c>
      <c r="AG148" s="257">
        <v>6767.6754550177029</v>
      </c>
      <c r="AH148" s="257">
        <v>2552.7152364704048</v>
      </c>
      <c r="AI148" s="258">
        <v>251.48417679294775</v>
      </c>
    </row>
    <row r="149" spans="1:35" x14ac:dyDescent="0.25">
      <c r="A149" s="143">
        <v>2027</v>
      </c>
      <c r="B149" s="143">
        <v>43</v>
      </c>
      <c r="C149" s="143">
        <v>8</v>
      </c>
      <c r="D149" s="143">
        <v>0</v>
      </c>
      <c r="E149" s="144">
        <v>0</v>
      </c>
      <c r="F149" s="144">
        <v>0.843019175422553</v>
      </c>
      <c r="G149" s="144">
        <v>0.52189250088258521</v>
      </c>
      <c r="H149" s="144">
        <v>1.1659068749999999</v>
      </c>
      <c r="I149" s="145">
        <v>15000</v>
      </c>
      <c r="J149" s="145">
        <v>9127.170821849244</v>
      </c>
      <c r="K149" s="145">
        <v>0</v>
      </c>
      <c r="L149" s="145">
        <v>0</v>
      </c>
      <c r="M149" s="145">
        <v>3500</v>
      </c>
      <c r="N149" s="145">
        <v>3500</v>
      </c>
      <c r="O149" s="145">
        <v>0</v>
      </c>
      <c r="P149" s="145">
        <v>0</v>
      </c>
      <c r="Q149" s="1"/>
      <c r="R149" s="150"/>
      <c r="T149" s="255">
        <v>2072</v>
      </c>
      <c r="U149" s="241">
        <v>88</v>
      </c>
      <c r="V149" s="241">
        <v>53</v>
      </c>
      <c r="W149" s="241">
        <v>1</v>
      </c>
      <c r="X149" s="256">
        <v>0.34410318346216362</v>
      </c>
      <c r="Y149" s="256">
        <v>9.3825091173887445E-2</v>
      </c>
      <c r="Z149" s="256">
        <v>1.4356727299256249</v>
      </c>
      <c r="AA149" s="256">
        <v>11.843774856413729</v>
      </c>
      <c r="AB149" s="257">
        <v>2100</v>
      </c>
      <c r="AC149" s="257">
        <v>35707.947619537146</v>
      </c>
      <c r="AD149" s="257">
        <v>12287.218450782919</v>
      </c>
      <c r="AE149" s="257">
        <v>1152.8493914181795</v>
      </c>
      <c r="AF149" s="264">
        <v>0.2</v>
      </c>
      <c r="AG149" s="257">
        <v>7141.5895239074298</v>
      </c>
      <c r="AH149" s="257">
        <v>2457.4436901565841</v>
      </c>
      <c r="AI149" s="258">
        <v>230.56987828363592</v>
      </c>
    </row>
    <row r="150" spans="1:35" x14ac:dyDescent="0.25">
      <c r="A150" s="143">
        <v>2028</v>
      </c>
      <c r="B150" s="143">
        <v>44</v>
      </c>
      <c r="C150" s="143">
        <v>9</v>
      </c>
      <c r="D150" s="143">
        <v>0</v>
      </c>
      <c r="E150" s="144">
        <v>0</v>
      </c>
      <c r="F150" s="144">
        <v>0.8028754051643362</v>
      </c>
      <c r="G150" s="144">
        <v>0.53754927590906276</v>
      </c>
      <c r="H150" s="144">
        <v>1.2212874515624998</v>
      </c>
      <c r="I150" s="145">
        <v>15000</v>
      </c>
      <c r="J150" s="145">
        <v>9847.5327789636958</v>
      </c>
      <c r="K150" s="145">
        <v>0</v>
      </c>
      <c r="L150" s="145">
        <v>0</v>
      </c>
      <c r="M150" s="145">
        <v>3500</v>
      </c>
      <c r="N150" s="145">
        <v>3500</v>
      </c>
      <c r="O150" s="145">
        <v>0</v>
      </c>
      <c r="P150" s="145">
        <v>0</v>
      </c>
      <c r="Q150" s="1"/>
      <c r="R150" s="150"/>
      <c r="T150" s="255">
        <v>2073</v>
      </c>
      <c r="U150" s="241">
        <v>89</v>
      </c>
      <c r="V150" s="241">
        <v>54</v>
      </c>
      <c r="W150" s="241">
        <v>1</v>
      </c>
      <c r="X150" s="256">
        <v>0.31092433288219679</v>
      </c>
      <c r="Y150" s="256">
        <v>8.9357229689416617E-2</v>
      </c>
      <c r="Z150" s="256">
        <v>1.4428510935752528</v>
      </c>
      <c r="AA150" s="256">
        <v>12.435963599234416</v>
      </c>
      <c r="AB150" s="257">
        <v>2100</v>
      </c>
      <c r="AC150" s="257">
        <v>37680.811725516571</v>
      </c>
      <c r="AD150" s="257">
        <v>11715.881248215897</v>
      </c>
      <c r="AE150" s="257">
        <v>1046.898691710757</v>
      </c>
      <c r="AF150" s="264">
        <v>0.2</v>
      </c>
      <c r="AG150" s="257">
        <v>7536.1623451033147</v>
      </c>
      <c r="AH150" s="257">
        <v>2343.1762496431797</v>
      </c>
      <c r="AI150" s="258">
        <v>209.37973834215143</v>
      </c>
    </row>
    <row r="151" spans="1:35" x14ac:dyDescent="0.25">
      <c r="A151" s="143">
        <v>2029</v>
      </c>
      <c r="B151" s="143">
        <v>45</v>
      </c>
      <c r="C151" s="143">
        <v>10</v>
      </c>
      <c r="D151" s="143">
        <v>0</v>
      </c>
      <c r="E151" s="144">
        <v>0</v>
      </c>
      <c r="F151" s="144">
        <v>0.7646432430136535</v>
      </c>
      <c r="G151" s="144">
        <v>0.55367575418633463</v>
      </c>
      <c r="H151" s="144">
        <v>1.2762453868828123</v>
      </c>
      <c r="I151" s="145">
        <v>15000</v>
      </c>
      <c r="J151" s="145">
        <v>10599.391906637573</v>
      </c>
      <c r="K151" s="145">
        <v>0</v>
      </c>
      <c r="L151" s="145">
        <v>0</v>
      </c>
      <c r="M151" s="145">
        <v>3500</v>
      </c>
      <c r="N151" s="145">
        <v>3500</v>
      </c>
      <c r="O151" s="145">
        <v>0</v>
      </c>
      <c r="P151" s="145">
        <v>0</v>
      </c>
      <c r="Q151" s="1"/>
      <c r="R151" s="150"/>
      <c r="T151" s="259">
        <v>2074</v>
      </c>
      <c r="U151" s="260">
        <v>90</v>
      </c>
      <c r="V151" s="260">
        <v>55</v>
      </c>
      <c r="W151" s="260">
        <v>1</v>
      </c>
      <c r="X151" s="261">
        <v>0.27786614903500484</v>
      </c>
      <c r="Y151" s="261">
        <v>8.5102123513730102E-2</v>
      </c>
      <c r="Z151" s="261">
        <v>1.4500653490431288</v>
      </c>
      <c r="AA151" s="261">
        <v>13.057761779196138</v>
      </c>
      <c r="AB151" s="262">
        <v>2100</v>
      </c>
      <c r="AC151" s="262">
        <v>39762.676573351353</v>
      </c>
      <c r="AD151" s="262">
        <v>11048.701814761542</v>
      </c>
      <c r="AE151" s="262">
        <v>940.2679865062106</v>
      </c>
      <c r="AF151" s="265">
        <v>0.2</v>
      </c>
      <c r="AG151" s="262">
        <v>7952.535314670271</v>
      </c>
      <c r="AH151" s="262">
        <v>2209.7403629523087</v>
      </c>
      <c r="AI151" s="263">
        <v>188.05359730124215</v>
      </c>
    </row>
    <row r="152" spans="1:35" x14ac:dyDescent="0.25">
      <c r="A152" s="143">
        <v>2030</v>
      </c>
      <c r="B152" s="143">
        <v>46</v>
      </c>
      <c r="C152" s="143">
        <v>11</v>
      </c>
      <c r="D152" s="143">
        <v>0</v>
      </c>
      <c r="E152" s="144">
        <v>0</v>
      </c>
      <c r="F152" s="144">
        <v>0.72823166001300332</v>
      </c>
      <c r="G152" s="144">
        <v>0.57028602681192464</v>
      </c>
      <c r="H152" s="144">
        <v>1.3304858158253319</v>
      </c>
      <c r="I152" s="145">
        <v>15000</v>
      </c>
      <c r="J152" s="145">
        <v>11381.362044549758</v>
      </c>
      <c r="K152" s="145">
        <v>0</v>
      </c>
      <c r="L152" s="145">
        <v>0</v>
      </c>
      <c r="M152" s="145">
        <v>3500</v>
      </c>
      <c r="N152" s="145">
        <v>3500</v>
      </c>
      <c r="O152" s="145">
        <v>0</v>
      </c>
      <c r="P152" s="145">
        <v>0</v>
      </c>
      <c r="Q152" s="1"/>
      <c r="R152" s="150"/>
      <c r="S152" s="241"/>
      <c r="T152" s="241"/>
      <c r="U152" s="241"/>
      <c r="V152" s="241"/>
      <c r="W152" s="241"/>
      <c r="X152" s="241"/>
      <c r="Y152" s="241"/>
      <c r="Z152" s="241"/>
      <c r="AA152" s="241"/>
      <c r="AB152" s="241"/>
      <c r="AC152" s="241"/>
      <c r="AD152" s="241"/>
      <c r="AE152" s="241"/>
      <c r="AF152" s="241"/>
      <c r="AG152" s="241"/>
      <c r="AH152" s="241"/>
    </row>
    <row r="153" spans="1:35" x14ac:dyDescent="0.25">
      <c r="A153" s="143">
        <v>2031</v>
      </c>
      <c r="B153" s="143">
        <v>47</v>
      </c>
      <c r="C153" s="143">
        <v>12</v>
      </c>
      <c r="D153" s="143">
        <v>0</v>
      </c>
      <c r="E153" s="144">
        <v>0</v>
      </c>
      <c r="F153" s="144">
        <v>0.69355396191714602</v>
      </c>
      <c r="G153" s="144">
        <v>0.58739460761628237</v>
      </c>
      <c r="H153" s="144">
        <v>1.3837052484583452</v>
      </c>
      <c r="I153" s="145">
        <v>15000</v>
      </c>
      <c r="J153" s="145">
        <v>12191.715022121702</v>
      </c>
      <c r="K153" s="145">
        <v>0</v>
      </c>
      <c r="L153" s="145">
        <v>0</v>
      </c>
      <c r="M153" s="145">
        <v>3500</v>
      </c>
      <c r="N153" s="145">
        <v>3500</v>
      </c>
      <c r="O153" s="145">
        <v>0</v>
      </c>
      <c r="P153" s="145">
        <v>0</v>
      </c>
      <c r="Q153" s="1"/>
      <c r="R153" s="150"/>
      <c r="S153" s="241"/>
      <c r="T153" s="240" t="s">
        <v>413</v>
      </c>
      <c r="U153" s="241"/>
      <c r="V153" s="241"/>
      <c r="W153" s="241"/>
      <c r="X153" s="241"/>
      <c r="Y153" s="241"/>
      <c r="Z153" s="241"/>
      <c r="AA153" s="241"/>
      <c r="AB153" s="241"/>
      <c r="AC153" s="241"/>
      <c r="AD153" s="241"/>
      <c r="AE153" s="241"/>
      <c r="AF153" s="241"/>
      <c r="AG153" s="241"/>
      <c r="AH153" s="241"/>
    </row>
    <row r="154" spans="1:35" ht="90" x14ac:dyDescent="0.25">
      <c r="A154" s="143">
        <v>2032</v>
      </c>
      <c r="B154" s="143">
        <v>48</v>
      </c>
      <c r="C154" s="143">
        <v>13</v>
      </c>
      <c r="D154" s="143">
        <v>0</v>
      </c>
      <c r="E154" s="144">
        <v>0</v>
      </c>
      <c r="F154" s="144">
        <v>0.66052758277823431</v>
      </c>
      <c r="G154" s="144">
        <v>0.60501644584477088</v>
      </c>
      <c r="H154" s="144">
        <v>1.4355941952755333</v>
      </c>
      <c r="I154" s="145">
        <v>15000</v>
      </c>
      <c r="J154" s="145">
        <v>13028.371465514807</v>
      </c>
      <c r="K154" s="145">
        <v>0</v>
      </c>
      <c r="L154" s="145">
        <v>0</v>
      </c>
      <c r="M154" s="145">
        <v>3500</v>
      </c>
      <c r="N154" s="145">
        <v>3500</v>
      </c>
      <c r="O154" s="145">
        <v>0</v>
      </c>
      <c r="P154" s="145">
        <v>0</v>
      </c>
      <c r="Q154" s="1"/>
      <c r="R154" s="150"/>
      <c r="T154" s="251" t="s">
        <v>183</v>
      </c>
      <c r="U154" s="252" t="s">
        <v>263</v>
      </c>
      <c r="V154" s="252" t="s">
        <v>264</v>
      </c>
      <c r="W154" s="252" t="s">
        <v>265</v>
      </c>
      <c r="X154" s="253" t="s">
        <v>266</v>
      </c>
      <c r="Y154" s="252" t="s">
        <v>267</v>
      </c>
      <c r="Z154" s="252" t="s">
        <v>268</v>
      </c>
      <c r="AA154" s="252" t="s">
        <v>269</v>
      </c>
      <c r="AB154" s="252" t="s">
        <v>270</v>
      </c>
      <c r="AC154" s="252" t="s">
        <v>271</v>
      </c>
      <c r="AD154" s="252" t="s">
        <v>272</v>
      </c>
      <c r="AE154" s="252" t="s">
        <v>273</v>
      </c>
      <c r="AF154" s="252" t="s">
        <v>274</v>
      </c>
      <c r="AG154" s="252" t="s">
        <v>275</v>
      </c>
      <c r="AH154" s="252" t="s">
        <v>276</v>
      </c>
      <c r="AI154" s="254" t="s">
        <v>277</v>
      </c>
    </row>
    <row r="155" spans="1:35" x14ac:dyDescent="0.25">
      <c r="A155" s="143">
        <v>2033</v>
      </c>
      <c r="B155" s="143">
        <v>49</v>
      </c>
      <c r="C155" s="143">
        <v>14</v>
      </c>
      <c r="D155" s="143">
        <v>0</v>
      </c>
      <c r="E155" s="144">
        <v>0</v>
      </c>
      <c r="F155" s="144">
        <v>0.62907388836022315</v>
      </c>
      <c r="G155" s="144">
        <v>0.62316693922011401</v>
      </c>
      <c r="H155" s="144">
        <v>1.4858399921101768</v>
      </c>
      <c r="I155" s="145">
        <v>15000</v>
      </c>
      <c r="J155" s="145">
        <v>13888.895400812058</v>
      </c>
      <c r="K155" s="145">
        <v>0</v>
      </c>
      <c r="L155" s="145">
        <v>0</v>
      </c>
      <c r="M155" s="145">
        <v>3500</v>
      </c>
      <c r="N155" s="145">
        <v>3500</v>
      </c>
      <c r="O155" s="145">
        <v>0</v>
      </c>
      <c r="P155" s="145">
        <v>0</v>
      </c>
      <c r="Q155" s="1"/>
      <c r="R155" s="150"/>
      <c r="T155" s="255">
        <v>2024</v>
      </c>
      <c r="U155" s="241">
        <v>40</v>
      </c>
      <c r="V155" s="241">
        <v>5</v>
      </c>
      <c r="W155" s="241">
        <v>0</v>
      </c>
      <c r="X155" s="256">
        <v>0</v>
      </c>
      <c r="Y155" s="256">
        <v>0.97590007294853309</v>
      </c>
      <c r="Z155" s="256">
        <v>0.47760556926165926</v>
      </c>
      <c r="AA155" s="256">
        <v>1</v>
      </c>
      <c r="AB155" s="257">
        <v>15000</v>
      </c>
      <c r="AC155" s="257">
        <v>7164.0835389248887</v>
      </c>
      <c r="AD155" s="257">
        <v>0</v>
      </c>
      <c r="AE155" s="257">
        <v>0</v>
      </c>
      <c r="AF155" s="257">
        <v>3500</v>
      </c>
      <c r="AG155" s="257">
        <v>3500</v>
      </c>
      <c r="AH155" s="257">
        <v>0</v>
      </c>
      <c r="AI155" s="258">
        <v>0</v>
      </c>
    </row>
    <row r="156" spans="1:35" x14ac:dyDescent="0.25">
      <c r="A156" s="143">
        <v>2034</v>
      </c>
      <c r="B156" s="143">
        <v>50</v>
      </c>
      <c r="C156" s="143">
        <v>15</v>
      </c>
      <c r="D156" s="143">
        <v>0</v>
      </c>
      <c r="E156" s="144">
        <v>0</v>
      </c>
      <c r="F156" s="144">
        <v>0.59911798891449819</v>
      </c>
      <c r="G156" s="144">
        <v>0.64186194739671742</v>
      </c>
      <c r="H156" s="144">
        <v>1.5341297918537575</v>
      </c>
      <c r="I156" s="145">
        <v>15000</v>
      </c>
      <c r="J156" s="145">
        <v>14770.493036378604</v>
      </c>
      <c r="K156" s="145">
        <v>0</v>
      </c>
      <c r="L156" s="145">
        <v>0</v>
      </c>
      <c r="M156" s="145">
        <v>3500</v>
      </c>
      <c r="N156" s="145">
        <v>3500</v>
      </c>
      <c r="O156" s="145">
        <v>0</v>
      </c>
      <c r="P156" s="145">
        <v>0</v>
      </c>
      <c r="Q156" s="1"/>
      <c r="R156" s="150"/>
      <c r="T156" s="255">
        <v>2025</v>
      </c>
      <c r="U156" s="241">
        <v>41</v>
      </c>
      <c r="V156" s="241">
        <v>6</v>
      </c>
      <c r="W156" s="241">
        <v>0</v>
      </c>
      <c r="X156" s="256">
        <v>0</v>
      </c>
      <c r="Y156" s="256">
        <v>0.92942864090336486</v>
      </c>
      <c r="Z156" s="256">
        <v>0.49193373633950904</v>
      </c>
      <c r="AA156" s="256">
        <v>1.0549999999999999</v>
      </c>
      <c r="AB156" s="257">
        <v>15000</v>
      </c>
      <c r="AC156" s="257">
        <v>7784.8513775727297</v>
      </c>
      <c r="AD156" s="257">
        <v>0</v>
      </c>
      <c r="AE156" s="257">
        <v>0</v>
      </c>
      <c r="AF156" s="257">
        <v>3500</v>
      </c>
      <c r="AG156" s="257">
        <v>3500</v>
      </c>
      <c r="AH156" s="257">
        <v>0</v>
      </c>
      <c r="AI156" s="258">
        <v>0</v>
      </c>
    </row>
    <row r="157" spans="1:35" x14ac:dyDescent="0.25">
      <c r="A157" s="143">
        <v>2035</v>
      </c>
      <c r="B157" s="143">
        <v>51</v>
      </c>
      <c r="C157" s="143">
        <v>16</v>
      </c>
      <c r="D157" s="143">
        <v>0</v>
      </c>
      <c r="E157" s="144">
        <v>0</v>
      </c>
      <c r="F157" s="144">
        <v>0.57058856087095067</v>
      </c>
      <c r="G157" s="144">
        <v>0.66111780581861901</v>
      </c>
      <c r="H157" s="144">
        <v>1.5801536856093703</v>
      </c>
      <c r="I157" s="145">
        <v>15000</v>
      </c>
      <c r="J157" s="145">
        <v>15670.016062294062</v>
      </c>
      <c r="K157" s="145">
        <v>0</v>
      </c>
      <c r="L157" s="145">
        <v>0</v>
      </c>
      <c r="M157" s="145">
        <v>3500</v>
      </c>
      <c r="N157" s="145">
        <v>3500</v>
      </c>
      <c r="O157" s="145">
        <v>0</v>
      </c>
      <c r="P157" s="145">
        <v>0</v>
      </c>
      <c r="Q157" s="1"/>
      <c r="R157" s="150"/>
      <c r="T157" s="255">
        <v>2026</v>
      </c>
      <c r="U157" s="241">
        <v>42</v>
      </c>
      <c r="V157" s="241">
        <v>7</v>
      </c>
      <c r="W157" s="241">
        <v>0</v>
      </c>
      <c r="X157" s="256">
        <v>0</v>
      </c>
      <c r="Y157" s="256">
        <v>0.88517013419368074</v>
      </c>
      <c r="Z157" s="256">
        <v>0.50669174842969433</v>
      </c>
      <c r="AA157" s="256">
        <v>1.1103874999999999</v>
      </c>
      <c r="AB157" s="257">
        <v>15000</v>
      </c>
      <c r="AC157" s="257">
        <v>8439.3627571421566</v>
      </c>
      <c r="AD157" s="257">
        <v>0</v>
      </c>
      <c r="AE157" s="257">
        <v>0</v>
      </c>
      <c r="AF157" s="257">
        <v>3500</v>
      </c>
      <c r="AG157" s="257">
        <v>3500</v>
      </c>
      <c r="AH157" s="257">
        <v>0</v>
      </c>
      <c r="AI157" s="258">
        <v>0</v>
      </c>
    </row>
    <row r="158" spans="1:35" x14ac:dyDescent="0.25">
      <c r="A158" s="143">
        <v>2036</v>
      </c>
      <c r="B158" s="143">
        <v>52</v>
      </c>
      <c r="C158" s="143">
        <v>17</v>
      </c>
      <c r="D158" s="143">
        <v>0</v>
      </c>
      <c r="E158" s="144">
        <v>0</v>
      </c>
      <c r="F158" s="144">
        <v>0.54341767701995303</v>
      </c>
      <c r="G158" s="144">
        <v>0.68095133999317758</v>
      </c>
      <c r="H158" s="144">
        <v>1.6275582961776514</v>
      </c>
      <c r="I158" s="145">
        <v>15000</v>
      </c>
      <c r="J158" s="145">
        <v>16624.320040487772</v>
      </c>
      <c r="K158" s="145">
        <v>0</v>
      </c>
      <c r="L158" s="145">
        <v>0</v>
      </c>
      <c r="M158" s="145">
        <v>3500</v>
      </c>
      <c r="N158" s="145">
        <v>3500</v>
      </c>
      <c r="O158" s="145">
        <v>0</v>
      </c>
      <c r="P158" s="145">
        <v>0</v>
      </c>
      <c r="Q158" s="1"/>
      <c r="R158" s="150"/>
      <c r="T158" s="255">
        <v>2027</v>
      </c>
      <c r="U158" s="241">
        <v>43</v>
      </c>
      <c r="V158" s="241">
        <v>8</v>
      </c>
      <c r="W158" s="241">
        <v>0</v>
      </c>
      <c r="X158" s="256">
        <v>0</v>
      </c>
      <c r="Y158" s="256">
        <v>0.843019175422553</v>
      </c>
      <c r="Z158" s="256">
        <v>0.52189250088258521</v>
      </c>
      <c r="AA158" s="256">
        <v>1.1659068749999999</v>
      </c>
      <c r="AB158" s="257">
        <v>15000</v>
      </c>
      <c r="AC158" s="257">
        <v>9127.170821849244</v>
      </c>
      <c r="AD158" s="257">
        <v>0</v>
      </c>
      <c r="AE158" s="257">
        <v>0</v>
      </c>
      <c r="AF158" s="257">
        <v>3500</v>
      </c>
      <c r="AG158" s="257">
        <v>3500</v>
      </c>
      <c r="AH158" s="257">
        <v>0</v>
      </c>
      <c r="AI158" s="258">
        <v>0</v>
      </c>
    </row>
    <row r="159" spans="1:35" x14ac:dyDescent="0.25">
      <c r="A159" s="143">
        <v>2037</v>
      </c>
      <c r="B159" s="143">
        <v>53</v>
      </c>
      <c r="C159" s="143">
        <v>18</v>
      </c>
      <c r="D159" s="143">
        <v>0</v>
      </c>
      <c r="E159" s="144">
        <v>0</v>
      </c>
      <c r="F159" s="144">
        <v>0.51754064478090767</v>
      </c>
      <c r="G159" s="144">
        <v>0.70137988019297293</v>
      </c>
      <c r="H159" s="144">
        <v>1.6763850450629809</v>
      </c>
      <c r="I159" s="145">
        <v>15000</v>
      </c>
      <c r="J159" s="145">
        <v>17636.741130953476</v>
      </c>
      <c r="K159" s="145">
        <v>0</v>
      </c>
      <c r="L159" s="145">
        <v>0</v>
      </c>
      <c r="M159" s="145">
        <v>3500</v>
      </c>
      <c r="N159" s="145">
        <v>3500</v>
      </c>
      <c r="O159" s="145">
        <v>0</v>
      </c>
      <c r="P159" s="145">
        <v>0</v>
      </c>
      <c r="Q159" s="1"/>
      <c r="R159" s="150"/>
      <c r="T159" s="255">
        <v>2028</v>
      </c>
      <c r="U159" s="241">
        <v>44</v>
      </c>
      <c r="V159" s="241">
        <v>9</v>
      </c>
      <c r="W159" s="241">
        <v>0</v>
      </c>
      <c r="X159" s="256">
        <v>0</v>
      </c>
      <c r="Y159" s="256">
        <v>0.8028754051643362</v>
      </c>
      <c r="Z159" s="256">
        <v>0.53754927590906276</v>
      </c>
      <c r="AA159" s="256">
        <v>1.2212874515624998</v>
      </c>
      <c r="AB159" s="257">
        <v>15000</v>
      </c>
      <c r="AC159" s="257">
        <v>9847.5327789636958</v>
      </c>
      <c r="AD159" s="257">
        <v>0</v>
      </c>
      <c r="AE159" s="257">
        <v>0</v>
      </c>
      <c r="AF159" s="257">
        <v>3500</v>
      </c>
      <c r="AG159" s="257">
        <v>3500</v>
      </c>
      <c r="AH159" s="257">
        <v>0</v>
      </c>
      <c r="AI159" s="258">
        <v>0</v>
      </c>
    </row>
    <row r="160" spans="1:35" x14ac:dyDescent="0.25">
      <c r="A160" s="143">
        <v>2038</v>
      </c>
      <c r="B160" s="143">
        <v>54</v>
      </c>
      <c r="C160" s="143">
        <v>19</v>
      </c>
      <c r="D160" s="143">
        <v>0</v>
      </c>
      <c r="E160" s="144">
        <v>0</v>
      </c>
      <c r="F160" s="144">
        <v>0.49289585217229298</v>
      </c>
      <c r="G160" s="144">
        <v>0.7224212765987621</v>
      </c>
      <c r="H160" s="144">
        <v>1.7266765964148705</v>
      </c>
      <c r="I160" s="145">
        <v>15000</v>
      </c>
      <c r="J160" s="145">
        <v>18710.818665828545</v>
      </c>
      <c r="K160" s="145">
        <v>0</v>
      </c>
      <c r="L160" s="145">
        <v>0</v>
      </c>
      <c r="M160" s="145">
        <v>3500</v>
      </c>
      <c r="N160" s="145">
        <v>3500</v>
      </c>
      <c r="O160" s="145">
        <v>0</v>
      </c>
      <c r="P160" s="145">
        <v>0</v>
      </c>
      <c r="Q160" s="1"/>
      <c r="R160" s="150"/>
      <c r="T160" s="255">
        <v>2029</v>
      </c>
      <c r="U160" s="241">
        <v>45</v>
      </c>
      <c r="V160" s="241">
        <v>10</v>
      </c>
      <c r="W160" s="241">
        <v>0</v>
      </c>
      <c r="X160" s="256">
        <v>0</v>
      </c>
      <c r="Y160" s="256">
        <v>0.7646432430136535</v>
      </c>
      <c r="Z160" s="256">
        <v>0.55367575418633463</v>
      </c>
      <c r="AA160" s="256">
        <v>1.2762453868828123</v>
      </c>
      <c r="AB160" s="257">
        <v>15000</v>
      </c>
      <c r="AC160" s="257">
        <v>10599.391906637573</v>
      </c>
      <c r="AD160" s="257">
        <v>0</v>
      </c>
      <c r="AE160" s="257">
        <v>0</v>
      </c>
      <c r="AF160" s="257">
        <v>3500</v>
      </c>
      <c r="AG160" s="257">
        <v>3500</v>
      </c>
      <c r="AH160" s="257">
        <v>0</v>
      </c>
      <c r="AI160" s="258">
        <v>0</v>
      </c>
    </row>
    <row r="161" spans="1:35" x14ac:dyDescent="0.25">
      <c r="A161" s="143">
        <v>2039</v>
      </c>
      <c r="B161" s="143">
        <v>55</v>
      </c>
      <c r="C161" s="143">
        <v>20</v>
      </c>
      <c r="D161" s="143">
        <v>1</v>
      </c>
      <c r="E161" s="144">
        <v>8.3657758364132084E-2</v>
      </c>
      <c r="F161" s="144">
        <v>0.46942462111646949</v>
      </c>
      <c r="G161" s="144">
        <v>0.74409391489672494</v>
      </c>
      <c r="H161" s="144">
        <v>1.7784768943073166</v>
      </c>
      <c r="I161" s="145">
        <v>15000</v>
      </c>
      <c r="J161" s="145">
        <v>19850.307522577499</v>
      </c>
      <c r="K161" s="145">
        <v>1660.6322301775019</v>
      </c>
      <c r="L161" s="145">
        <v>779.54165546487161</v>
      </c>
      <c r="M161" s="145">
        <v>3500</v>
      </c>
      <c r="N161" s="145">
        <v>3500</v>
      </c>
      <c r="O161" s="145">
        <v>292.80215427446228</v>
      </c>
      <c r="P161" s="145">
        <v>137.4485403323755</v>
      </c>
      <c r="Q161" s="1"/>
      <c r="R161" s="150"/>
      <c r="T161" s="255">
        <v>2030</v>
      </c>
      <c r="U161" s="241">
        <v>46</v>
      </c>
      <c r="V161" s="241">
        <v>11</v>
      </c>
      <c r="W161" s="241">
        <v>0</v>
      </c>
      <c r="X161" s="256">
        <v>0</v>
      </c>
      <c r="Y161" s="256">
        <v>0.72823166001300332</v>
      </c>
      <c r="Z161" s="256">
        <v>0.57028602681192464</v>
      </c>
      <c r="AA161" s="256">
        <v>1.3304858158253319</v>
      </c>
      <c r="AB161" s="257">
        <v>15000</v>
      </c>
      <c r="AC161" s="257">
        <v>11381.362044549758</v>
      </c>
      <c r="AD161" s="257">
        <v>0</v>
      </c>
      <c r="AE161" s="257">
        <v>0</v>
      </c>
      <c r="AF161" s="257">
        <v>3500</v>
      </c>
      <c r="AG161" s="257">
        <v>3500</v>
      </c>
      <c r="AH161" s="257">
        <v>0</v>
      </c>
      <c r="AI161" s="258">
        <v>0</v>
      </c>
    </row>
    <row r="162" spans="1:35" x14ac:dyDescent="0.25">
      <c r="A162" s="143">
        <v>2040</v>
      </c>
      <c r="B162" s="143">
        <v>56</v>
      </c>
      <c r="C162" s="143">
        <v>21</v>
      </c>
      <c r="D162" s="143">
        <v>1</v>
      </c>
      <c r="E162" s="144">
        <v>8.3436081009928664E-2</v>
      </c>
      <c r="F162" s="144">
        <v>0.44707106772997091</v>
      </c>
      <c r="G162" s="144">
        <v>0.76641673234362673</v>
      </c>
      <c r="H162" s="144">
        <v>1.8318312011365361</v>
      </c>
      <c r="I162" s="145">
        <v>15000</v>
      </c>
      <c r="J162" s="145">
        <v>21059.191250702472</v>
      </c>
      <c r="K162" s="145">
        <v>1757.0963871971924</v>
      </c>
      <c r="L162" s="145">
        <v>785.54695792872315</v>
      </c>
      <c r="M162" s="145">
        <v>3500</v>
      </c>
      <c r="N162" s="145">
        <v>3500</v>
      </c>
      <c r="O162" s="145">
        <v>292.02628353475035</v>
      </c>
      <c r="P162" s="145">
        <v>130.55650238509605</v>
      </c>
      <c r="Q162" s="1"/>
      <c r="R162" s="150"/>
      <c r="T162" s="255">
        <v>2031</v>
      </c>
      <c r="U162" s="241">
        <v>47</v>
      </c>
      <c r="V162" s="241">
        <v>12</v>
      </c>
      <c r="W162" s="241">
        <v>0</v>
      </c>
      <c r="X162" s="256">
        <v>0</v>
      </c>
      <c r="Y162" s="256">
        <v>0.69355396191714602</v>
      </c>
      <c r="Z162" s="256">
        <v>0.58739460761628237</v>
      </c>
      <c r="AA162" s="256">
        <v>1.3837052484583452</v>
      </c>
      <c r="AB162" s="257">
        <v>15000</v>
      </c>
      <c r="AC162" s="257">
        <v>12191.715022121702</v>
      </c>
      <c r="AD162" s="257">
        <v>0</v>
      </c>
      <c r="AE162" s="257">
        <v>0</v>
      </c>
      <c r="AF162" s="257">
        <v>3500</v>
      </c>
      <c r="AG162" s="257">
        <v>3500</v>
      </c>
      <c r="AH162" s="257">
        <v>0</v>
      </c>
      <c r="AI162" s="258">
        <v>0</v>
      </c>
    </row>
    <row r="163" spans="1:35" x14ac:dyDescent="0.25">
      <c r="A163" s="143">
        <v>2041</v>
      </c>
      <c r="B163" s="143">
        <v>57</v>
      </c>
      <c r="C163" s="143">
        <v>22</v>
      </c>
      <c r="D163" s="143">
        <v>1</v>
      </c>
      <c r="E163" s="144">
        <v>8.3189962117090982E-2</v>
      </c>
      <c r="F163" s="144">
        <v>0.42578196926663892</v>
      </c>
      <c r="G163" s="144">
        <v>0.7894092343139355</v>
      </c>
      <c r="H163" s="144">
        <v>1.8867861371706323</v>
      </c>
      <c r="I163" s="145">
        <v>15000</v>
      </c>
      <c r="J163" s="145">
        <v>22341.695997870254</v>
      </c>
      <c r="K163" s="145">
        <v>1858.6048436943897</v>
      </c>
      <c r="L163" s="145">
        <v>791.36043043671089</v>
      </c>
      <c r="M163" s="145">
        <v>3500</v>
      </c>
      <c r="N163" s="145">
        <v>3500</v>
      </c>
      <c r="O163" s="145">
        <v>291.16486740981844</v>
      </c>
      <c r="P163" s="145">
        <v>123.97275062701232</v>
      </c>
      <c r="Q163" s="1"/>
      <c r="R163" s="150"/>
      <c r="T163" s="255">
        <v>2032</v>
      </c>
      <c r="U163" s="241">
        <v>48</v>
      </c>
      <c r="V163" s="241">
        <v>13</v>
      </c>
      <c r="W163" s="241">
        <v>0</v>
      </c>
      <c r="X163" s="256">
        <v>0</v>
      </c>
      <c r="Y163" s="256">
        <v>0.66052758277823431</v>
      </c>
      <c r="Z163" s="256">
        <v>0.60501644584477088</v>
      </c>
      <c r="AA163" s="256">
        <v>1.4355941952755333</v>
      </c>
      <c r="AB163" s="257">
        <v>15000</v>
      </c>
      <c r="AC163" s="257">
        <v>13028.371465514807</v>
      </c>
      <c r="AD163" s="257">
        <v>0</v>
      </c>
      <c r="AE163" s="257">
        <v>0</v>
      </c>
      <c r="AF163" s="257">
        <v>3500</v>
      </c>
      <c r="AG163" s="257">
        <v>3500</v>
      </c>
      <c r="AH163" s="257">
        <v>0</v>
      </c>
      <c r="AI163" s="258">
        <v>0</v>
      </c>
    </row>
    <row r="164" spans="1:35" x14ac:dyDescent="0.25">
      <c r="A164" s="143">
        <v>2042</v>
      </c>
      <c r="B164" s="143">
        <v>58</v>
      </c>
      <c r="C164" s="143">
        <v>23</v>
      </c>
      <c r="D164" s="143">
        <v>1</v>
      </c>
      <c r="E164" s="144">
        <v>8.291961411190274E-2</v>
      </c>
      <c r="F164" s="144">
        <v>0.40550663739679893</v>
      </c>
      <c r="G164" s="144">
        <v>0.81309151134335356</v>
      </c>
      <c r="H164" s="144">
        <v>1.9433897212857514</v>
      </c>
      <c r="I164" s="145">
        <v>15000</v>
      </c>
      <c r="J164" s="145">
        <v>23702.305284140555</v>
      </c>
      <c r="K164" s="145">
        <v>1965.3860077234481</v>
      </c>
      <c r="L164" s="145">
        <v>796.97707117865457</v>
      </c>
      <c r="M164" s="145">
        <v>3500</v>
      </c>
      <c r="N164" s="145">
        <v>3500</v>
      </c>
      <c r="O164" s="145">
        <v>290.2186493916596</v>
      </c>
      <c r="P164" s="145">
        <v>117.68558862465242</v>
      </c>
      <c r="Q164" s="1"/>
      <c r="R164" s="150"/>
      <c r="T164" s="255">
        <v>2033</v>
      </c>
      <c r="U164" s="241">
        <v>49</v>
      </c>
      <c r="V164" s="241">
        <v>14</v>
      </c>
      <c r="W164" s="241">
        <v>0</v>
      </c>
      <c r="X164" s="256">
        <v>0</v>
      </c>
      <c r="Y164" s="256">
        <v>0.62907388836022315</v>
      </c>
      <c r="Z164" s="256">
        <v>0.62316693922011401</v>
      </c>
      <c r="AA164" s="256">
        <v>1.4858399921101768</v>
      </c>
      <c r="AB164" s="257">
        <v>15000</v>
      </c>
      <c r="AC164" s="257">
        <v>13888.895400812058</v>
      </c>
      <c r="AD164" s="257">
        <v>0</v>
      </c>
      <c r="AE164" s="257">
        <v>0</v>
      </c>
      <c r="AF164" s="257">
        <v>3500</v>
      </c>
      <c r="AG164" s="257">
        <v>3500</v>
      </c>
      <c r="AH164" s="257">
        <v>0</v>
      </c>
      <c r="AI164" s="258">
        <v>0</v>
      </c>
    </row>
    <row r="165" spans="1:35" x14ac:dyDescent="0.25">
      <c r="A165" s="143">
        <v>2043</v>
      </c>
      <c r="B165" s="143">
        <v>59</v>
      </c>
      <c r="C165" s="143">
        <v>24</v>
      </c>
      <c r="D165" s="143">
        <v>1</v>
      </c>
      <c r="E165" s="144">
        <v>8.2621131741777848E-2</v>
      </c>
      <c r="F165" s="144">
        <v>0.38619679752076086</v>
      </c>
      <c r="G165" s="144">
        <v>0.83748425668365423</v>
      </c>
      <c r="H165" s="144">
        <v>2.0016914129243242</v>
      </c>
      <c r="I165" s="145">
        <v>15000</v>
      </c>
      <c r="J165" s="145">
        <v>25145.775675944718</v>
      </c>
      <c r="K165" s="145">
        <v>2077.5724448714213</v>
      </c>
      <c r="L165" s="145">
        <v>802.35182482672042</v>
      </c>
      <c r="M165" s="145">
        <v>3500</v>
      </c>
      <c r="N165" s="145">
        <v>3500</v>
      </c>
      <c r="O165" s="145">
        <v>289.17396109622246</v>
      </c>
      <c r="P165" s="145">
        <v>111.6780577017542</v>
      </c>
      <c r="Q165" s="1"/>
      <c r="R165" s="150"/>
      <c r="T165" s="255">
        <v>2034</v>
      </c>
      <c r="U165" s="241">
        <v>50</v>
      </c>
      <c r="V165" s="241">
        <v>15</v>
      </c>
      <c r="W165" s="241">
        <v>0</v>
      </c>
      <c r="X165" s="256">
        <v>0</v>
      </c>
      <c r="Y165" s="256">
        <v>0.59911798891449819</v>
      </c>
      <c r="Z165" s="256">
        <v>0.64186194739671742</v>
      </c>
      <c r="AA165" s="256">
        <v>1.5341297918537575</v>
      </c>
      <c r="AB165" s="257">
        <v>15000</v>
      </c>
      <c r="AC165" s="257">
        <v>14770.493036378604</v>
      </c>
      <c r="AD165" s="257">
        <v>0</v>
      </c>
      <c r="AE165" s="257">
        <v>0</v>
      </c>
      <c r="AF165" s="257">
        <v>3500</v>
      </c>
      <c r="AG165" s="257">
        <v>3500</v>
      </c>
      <c r="AH165" s="257">
        <v>0</v>
      </c>
      <c r="AI165" s="258">
        <v>0</v>
      </c>
    </row>
    <row r="166" spans="1:35" x14ac:dyDescent="0.25">
      <c r="A166" s="143">
        <v>2044</v>
      </c>
      <c r="B166" s="143">
        <v>60</v>
      </c>
      <c r="C166" s="143">
        <v>25</v>
      </c>
      <c r="D166" s="143">
        <v>1</v>
      </c>
      <c r="E166" s="144">
        <v>8.2290678670606812E-2</v>
      </c>
      <c r="F166" s="144">
        <v>0.36780647382929604</v>
      </c>
      <c r="G166" s="144">
        <v>0.86260878438416388</v>
      </c>
      <c r="H166" s="144">
        <v>2.0617421553120541</v>
      </c>
      <c r="I166" s="145">
        <v>15000</v>
      </c>
      <c r="J166" s="145">
        <v>26677.153414609755</v>
      </c>
      <c r="K166" s="145">
        <v>2195.2810594881325</v>
      </c>
      <c r="L166" s="145">
        <v>807.43858555457109</v>
      </c>
      <c r="M166" s="145">
        <v>3500</v>
      </c>
      <c r="N166" s="145">
        <v>3500</v>
      </c>
      <c r="O166" s="145">
        <v>288.01737534712385</v>
      </c>
      <c r="P166" s="145">
        <v>105.93465522799444</v>
      </c>
      <c r="Q166" s="1"/>
      <c r="R166" s="150"/>
      <c r="T166" s="255">
        <v>2035</v>
      </c>
      <c r="U166" s="241">
        <v>51</v>
      </c>
      <c r="V166" s="241">
        <v>16</v>
      </c>
      <c r="W166" s="241">
        <v>0</v>
      </c>
      <c r="X166" s="256">
        <v>0</v>
      </c>
      <c r="Y166" s="256">
        <v>0.57058856087095067</v>
      </c>
      <c r="Z166" s="256">
        <v>0.66111780581861901</v>
      </c>
      <c r="AA166" s="256">
        <v>1.5801536856093703</v>
      </c>
      <c r="AB166" s="257">
        <v>15000</v>
      </c>
      <c r="AC166" s="257">
        <v>15670.016062294062</v>
      </c>
      <c r="AD166" s="257">
        <v>0</v>
      </c>
      <c r="AE166" s="257">
        <v>0</v>
      </c>
      <c r="AF166" s="257">
        <v>3500</v>
      </c>
      <c r="AG166" s="257">
        <v>3500</v>
      </c>
      <c r="AH166" s="257">
        <v>0</v>
      </c>
      <c r="AI166" s="258">
        <v>0</v>
      </c>
    </row>
    <row r="167" spans="1:35" x14ac:dyDescent="0.25">
      <c r="A167" s="143">
        <v>2045</v>
      </c>
      <c r="B167" s="143">
        <v>61</v>
      </c>
      <c r="C167" s="143">
        <v>26</v>
      </c>
      <c r="D167" s="143">
        <v>1</v>
      </c>
      <c r="E167" s="144">
        <v>8.1924528444045311E-2</v>
      </c>
      <c r="F167" s="144">
        <v>0.35029187983742477</v>
      </c>
      <c r="G167" s="144">
        <v>0.88848704791568878</v>
      </c>
      <c r="H167" s="144">
        <v>2.1235944199714156</v>
      </c>
      <c r="I167" s="145">
        <v>15000</v>
      </c>
      <c r="J167" s="145">
        <v>28301.792057559487</v>
      </c>
      <c r="K167" s="145">
        <v>2318.6109684369881</v>
      </c>
      <c r="L167" s="145">
        <v>812.19059474546452</v>
      </c>
      <c r="M167" s="145">
        <v>3500</v>
      </c>
      <c r="N167" s="145">
        <v>3500</v>
      </c>
      <c r="O167" s="145">
        <v>286.73584955415856</v>
      </c>
      <c r="P167" s="145">
        <v>100.44123975710721</v>
      </c>
      <c r="Q167" s="1"/>
      <c r="R167" s="150"/>
      <c r="T167" s="255">
        <v>2036</v>
      </c>
      <c r="U167" s="241">
        <v>52</v>
      </c>
      <c r="V167" s="241">
        <v>17</v>
      </c>
      <c r="W167" s="241">
        <v>0</v>
      </c>
      <c r="X167" s="256">
        <v>0</v>
      </c>
      <c r="Y167" s="256">
        <v>0.54341767701995303</v>
      </c>
      <c r="Z167" s="256">
        <v>0.68095133999317758</v>
      </c>
      <c r="AA167" s="256">
        <v>1.6275582961776514</v>
      </c>
      <c r="AB167" s="257">
        <v>15000</v>
      </c>
      <c r="AC167" s="257">
        <v>16624.320040487772</v>
      </c>
      <c r="AD167" s="257">
        <v>0</v>
      </c>
      <c r="AE167" s="257">
        <v>0</v>
      </c>
      <c r="AF167" s="257">
        <v>3500</v>
      </c>
      <c r="AG167" s="257">
        <v>3500</v>
      </c>
      <c r="AH167" s="257">
        <v>0</v>
      </c>
      <c r="AI167" s="258">
        <v>0</v>
      </c>
    </row>
    <row r="168" spans="1:35" x14ac:dyDescent="0.25">
      <c r="A168" s="143">
        <v>2046</v>
      </c>
      <c r="B168" s="143">
        <v>62</v>
      </c>
      <c r="C168" s="143">
        <v>27</v>
      </c>
      <c r="D168" s="143">
        <v>1</v>
      </c>
      <c r="E168" s="144">
        <v>0.30155919348843885</v>
      </c>
      <c r="F168" s="144">
        <v>0.33361131413088074</v>
      </c>
      <c r="G168" s="144">
        <v>0.9151416593531595</v>
      </c>
      <c r="H168" s="144">
        <v>2.1873022525705581</v>
      </c>
      <c r="I168" s="145">
        <v>15000</v>
      </c>
      <c r="J168" s="145">
        <v>30025.371193864863</v>
      </c>
      <c r="K168" s="145">
        <v>9054.4267214128922</v>
      </c>
      <c r="L168" s="145">
        <v>3020.6591972323172</v>
      </c>
      <c r="M168" s="145">
        <v>3500</v>
      </c>
      <c r="N168" s="145">
        <v>3500</v>
      </c>
      <c r="O168" s="145">
        <v>1055.457177209536</v>
      </c>
      <c r="P168" s="145">
        <v>352.11245589774319</v>
      </c>
      <c r="Q168" s="1"/>
      <c r="R168" s="150"/>
      <c r="T168" s="255">
        <v>2037</v>
      </c>
      <c r="U168" s="241">
        <v>53</v>
      </c>
      <c r="V168" s="241">
        <v>18</v>
      </c>
      <c r="W168" s="241">
        <v>0</v>
      </c>
      <c r="X168" s="256">
        <v>0</v>
      </c>
      <c r="Y168" s="256">
        <v>0.51754064478090767</v>
      </c>
      <c r="Z168" s="256">
        <v>0.70137988019297293</v>
      </c>
      <c r="AA168" s="256">
        <v>1.6763850450629809</v>
      </c>
      <c r="AB168" s="257">
        <v>15000</v>
      </c>
      <c r="AC168" s="257">
        <v>17636.741130953476</v>
      </c>
      <c r="AD168" s="257">
        <v>0</v>
      </c>
      <c r="AE168" s="257">
        <v>0</v>
      </c>
      <c r="AF168" s="257">
        <v>3500</v>
      </c>
      <c r="AG168" s="257">
        <v>3500</v>
      </c>
      <c r="AH168" s="257">
        <v>0</v>
      </c>
      <c r="AI168" s="258">
        <v>0</v>
      </c>
    </row>
    <row r="169" spans="1:35" x14ac:dyDescent="0.25">
      <c r="A169" s="143">
        <v>2047</v>
      </c>
      <c r="B169" s="143">
        <v>63</v>
      </c>
      <c r="C169" s="143">
        <v>28</v>
      </c>
      <c r="D169" s="143">
        <v>1</v>
      </c>
      <c r="E169" s="144">
        <v>0.45273876053242179</v>
      </c>
      <c r="F169" s="144">
        <v>0.31772506107702925</v>
      </c>
      <c r="G169" s="144">
        <v>0.94259590913375435</v>
      </c>
      <c r="H169" s="144">
        <v>2.2529213201476748</v>
      </c>
      <c r="I169" s="145">
        <v>15000</v>
      </c>
      <c r="J169" s="145">
        <v>31853.916299571232</v>
      </c>
      <c r="K169" s="145">
        <v>14421.502583571388</v>
      </c>
      <c r="L169" s="145">
        <v>4582.0727891877541</v>
      </c>
      <c r="M169" s="145">
        <v>3500</v>
      </c>
      <c r="N169" s="145">
        <v>3500</v>
      </c>
      <c r="O169" s="145">
        <v>1584.5856618634762</v>
      </c>
      <c r="P169" s="145">
        <v>503.46257619735781</v>
      </c>
      <c r="Q169" s="1"/>
      <c r="R169" s="150"/>
      <c r="T169" s="255">
        <v>2038</v>
      </c>
      <c r="U169" s="241">
        <v>54</v>
      </c>
      <c r="V169" s="241">
        <v>19</v>
      </c>
      <c r="W169" s="241">
        <v>0</v>
      </c>
      <c r="X169" s="256">
        <v>0</v>
      </c>
      <c r="Y169" s="256">
        <v>0.49289585217229298</v>
      </c>
      <c r="Z169" s="256">
        <v>0.7224212765987621</v>
      </c>
      <c r="AA169" s="256">
        <v>1.7266765964148705</v>
      </c>
      <c r="AB169" s="257">
        <v>15000</v>
      </c>
      <c r="AC169" s="257">
        <v>18710.818665828545</v>
      </c>
      <c r="AD169" s="257">
        <v>0</v>
      </c>
      <c r="AE169" s="257">
        <v>0</v>
      </c>
      <c r="AF169" s="257">
        <v>3500</v>
      </c>
      <c r="AG169" s="257">
        <v>3500</v>
      </c>
      <c r="AH169" s="257">
        <v>0</v>
      </c>
      <c r="AI169" s="258">
        <v>0</v>
      </c>
    </row>
    <row r="170" spans="1:35" x14ac:dyDescent="0.25">
      <c r="A170" s="143">
        <v>2048</v>
      </c>
      <c r="B170" s="143">
        <v>64</v>
      </c>
      <c r="C170" s="143">
        <v>29</v>
      </c>
      <c r="D170" s="143">
        <v>1</v>
      </c>
      <c r="E170" s="144">
        <v>0.52068955064672595</v>
      </c>
      <c r="F170" s="144">
        <v>0.30259529626383735</v>
      </c>
      <c r="G170" s="144">
        <v>0.970873786407767</v>
      </c>
      <c r="H170" s="144">
        <v>2.3205089597521051</v>
      </c>
      <c r="I170" s="145">
        <v>15000</v>
      </c>
      <c r="J170" s="145">
        <v>33793.819802215119</v>
      </c>
      <c r="K170" s="145">
        <v>17596.088847451818</v>
      </c>
      <c r="L170" s="145">
        <v>5324.4937178794871</v>
      </c>
      <c r="M170" s="145">
        <v>3500</v>
      </c>
      <c r="N170" s="145">
        <v>3500</v>
      </c>
      <c r="O170" s="145">
        <v>1822.4134272635408</v>
      </c>
      <c r="P170" s="145">
        <v>551.45373093800629</v>
      </c>
      <c r="Q170" s="1"/>
      <c r="R170" s="150"/>
      <c r="T170" s="255">
        <v>2039</v>
      </c>
      <c r="U170" s="241">
        <v>55</v>
      </c>
      <c r="V170" s="241">
        <v>20</v>
      </c>
      <c r="W170" s="241">
        <v>1</v>
      </c>
      <c r="X170" s="256">
        <v>8.3657758364132084E-2</v>
      </c>
      <c r="Y170" s="256">
        <v>0.46942462111646949</v>
      </c>
      <c r="Z170" s="256">
        <v>0.74409391489672494</v>
      </c>
      <c r="AA170" s="256">
        <v>1.7784768943073166</v>
      </c>
      <c r="AB170" s="257">
        <v>15000</v>
      </c>
      <c r="AC170" s="257">
        <v>19850.307522577499</v>
      </c>
      <c r="AD170" s="257">
        <v>1660.6322301775019</v>
      </c>
      <c r="AE170" s="257">
        <v>779.54165546487161</v>
      </c>
      <c r="AF170" s="257">
        <v>3500</v>
      </c>
      <c r="AG170" s="257">
        <v>3500</v>
      </c>
      <c r="AH170" s="257">
        <v>292.80215427446228</v>
      </c>
      <c r="AI170" s="258">
        <v>137.4485403323755</v>
      </c>
    </row>
    <row r="171" spans="1:35" x14ac:dyDescent="0.25">
      <c r="A171" s="143">
        <v>2049</v>
      </c>
      <c r="B171" s="143">
        <v>65</v>
      </c>
      <c r="C171" s="143">
        <v>30</v>
      </c>
      <c r="D171" s="143">
        <v>1</v>
      </c>
      <c r="E171" s="144">
        <v>0.79766257984514588</v>
      </c>
      <c r="F171" s="144">
        <v>0.28818599644174986</v>
      </c>
      <c r="G171" s="144">
        <v>1</v>
      </c>
      <c r="H171" s="144">
        <v>2.3901242285446682</v>
      </c>
      <c r="I171" s="145">
        <v>2100</v>
      </c>
      <c r="J171" s="145">
        <v>5019.260879943803</v>
      </c>
      <c r="K171" s="145">
        <v>4003.6765824117911</v>
      </c>
      <c r="L171" s="145">
        <v>1153.8035253328417</v>
      </c>
      <c r="M171" s="145">
        <v>1000</v>
      </c>
      <c r="N171" s="145">
        <v>1000</v>
      </c>
      <c r="O171" s="145">
        <v>797.66257984514584</v>
      </c>
      <c r="P171" s="145">
        <v>229.87518539697021</v>
      </c>
      <c r="Q171" s="1"/>
      <c r="R171" s="150"/>
      <c r="T171" s="255">
        <v>2040</v>
      </c>
      <c r="U171" s="241">
        <v>56</v>
      </c>
      <c r="V171" s="241">
        <v>21</v>
      </c>
      <c r="W171" s="241">
        <v>1</v>
      </c>
      <c r="X171" s="256">
        <v>8.3436081009928664E-2</v>
      </c>
      <c r="Y171" s="256">
        <v>0.44707106772997091</v>
      </c>
      <c r="Z171" s="256">
        <v>0.76641673234362673</v>
      </c>
      <c r="AA171" s="256">
        <v>1.8318312011365361</v>
      </c>
      <c r="AB171" s="257">
        <v>15000</v>
      </c>
      <c r="AC171" s="257">
        <v>21059.191250702472</v>
      </c>
      <c r="AD171" s="257">
        <v>1757.0963871971924</v>
      </c>
      <c r="AE171" s="257">
        <v>785.54695792872315</v>
      </c>
      <c r="AF171" s="257">
        <v>3500</v>
      </c>
      <c r="AG171" s="257">
        <v>3500</v>
      </c>
      <c r="AH171" s="257">
        <v>292.02628353475035</v>
      </c>
      <c r="AI171" s="258">
        <v>130.55650238509605</v>
      </c>
    </row>
    <row r="172" spans="1:35" x14ac:dyDescent="0.25">
      <c r="A172" s="143">
        <v>2050</v>
      </c>
      <c r="B172" s="143">
        <v>66</v>
      </c>
      <c r="C172" s="143">
        <v>31</v>
      </c>
      <c r="D172" s="143">
        <v>1</v>
      </c>
      <c r="E172" s="144">
        <v>0.79172098825197978</v>
      </c>
      <c r="F172" s="144">
        <v>0.2744628537540475</v>
      </c>
      <c r="G172" s="144">
        <v>1.0249999999999999</v>
      </c>
      <c r="H172" s="144">
        <v>2.4618279554010085</v>
      </c>
      <c r="I172" s="145">
        <v>2100</v>
      </c>
      <c r="J172" s="145">
        <v>5299.08467400067</v>
      </c>
      <c r="K172" s="145">
        <v>4195.3965549307304</v>
      </c>
      <c r="L172" s="145">
        <v>1151.4805110961877</v>
      </c>
      <c r="M172" s="145">
        <v>1000</v>
      </c>
      <c r="N172" s="145">
        <v>1000</v>
      </c>
      <c r="O172" s="145">
        <v>791.72098825197975</v>
      </c>
      <c r="P172" s="145">
        <v>217.29800181261308</v>
      </c>
      <c r="Q172" s="1"/>
      <c r="R172" s="150"/>
      <c r="T172" s="255">
        <v>2041</v>
      </c>
      <c r="U172" s="241">
        <v>57</v>
      </c>
      <c r="V172" s="241">
        <v>22</v>
      </c>
      <c r="W172" s="241">
        <v>1</v>
      </c>
      <c r="X172" s="256">
        <v>8.3189962117090982E-2</v>
      </c>
      <c r="Y172" s="256">
        <v>0.42578196926663892</v>
      </c>
      <c r="Z172" s="256">
        <v>0.7894092343139355</v>
      </c>
      <c r="AA172" s="256">
        <v>1.8867861371706323</v>
      </c>
      <c r="AB172" s="257">
        <v>15000</v>
      </c>
      <c r="AC172" s="257">
        <v>22341.695997870254</v>
      </c>
      <c r="AD172" s="257">
        <v>1858.6048436943897</v>
      </c>
      <c r="AE172" s="257">
        <v>791.36043043671089</v>
      </c>
      <c r="AF172" s="257">
        <v>3500</v>
      </c>
      <c r="AG172" s="257">
        <v>3500</v>
      </c>
      <c r="AH172" s="257">
        <v>291.16486740981844</v>
      </c>
      <c r="AI172" s="258">
        <v>123.97275062701232</v>
      </c>
    </row>
    <row r="173" spans="1:35" x14ac:dyDescent="0.25">
      <c r="A173" s="143">
        <v>2051</v>
      </c>
      <c r="B173" s="143">
        <v>67</v>
      </c>
      <c r="C173" s="143">
        <v>32</v>
      </c>
      <c r="D173" s="143">
        <v>1</v>
      </c>
      <c r="E173" s="144">
        <v>0.78519068500938616</v>
      </c>
      <c r="F173" s="144">
        <v>0.26139319405147382</v>
      </c>
      <c r="G173" s="144">
        <v>1.0506249999999999</v>
      </c>
      <c r="H173" s="144">
        <v>2.5356827940630389</v>
      </c>
      <c r="I173" s="145">
        <v>2100</v>
      </c>
      <c r="J173" s="145">
        <v>5594.5086445762081</v>
      </c>
      <c r="K173" s="145">
        <v>4392.7560749257254</v>
      </c>
      <c r="L173" s="145">
        <v>1148.2365411138505</v>
      </c>
      <c r="M173" s="145">
        <v>1000</v>
      </c>
      <c r="N173" s="145">
        <v>1000</v>
      </c>
      <c r="O173" s="145">
        <v>785.19068500938613</v>
      </c>
      <c r="P173" s="145">
        <v>205.24350109406814</v>
      </c>
      <c r="Q173" s="1"/>
      <c r="R173" s="150"/>
      <c r="T173" s="255">
        <v>2042</v>
      </c>
      <c r="U173" s="241">
        <v>58</v>
      </c>
      <c r="V173" s="241">
        <v>23</v>
      </c>
      <c r="W173" s="241">
        <v>1</v>
      </c>
      <c r="X173" s="256">
        <v>8.291961411190274E-2</v>
      </c>
      <c r="Y173" s="256">
        <v>0.40550663739679893</v>
      </c>
      <c r="Z173" s="256">
        <v>0.81309151134335356</v>
      </c>
      <c r="AA173" s="256">
        <v>1.9433897212857514</v>
      </c>
      <c r="AB173" s="257">
        <v>15000</v>
      </c>
      <c r="AC173" s="257">
        <v>23702.305284140555</v>
      </c>
      <c r="AD173" s="257">
        <v>1965.3860077234481</v>
      </c>
      <c r="AE173" s="257">
        <v>796.97707117865457</v>
      </c>
      <c r="AF173" s="257">
        <v>3500</v>
      </c>
      <c r="AG173" s="257">
        <v>3500</v>
      </c>
      <c r="AH173" s="257">
        <v>290.2186493916596</v>
      </c>
      <c r="AI173" s="258">
        <v>117.68558862465242</v>
      </c>
    </row>
    <row r="174" spans="1:35" x14ac:dyDescent="0.25">
      <c r="A174" s="143">
        <v>2052</v>
      </c>
      <c r="B174" s="143">
        <v>68</v>
      </c>
      <c r="C174" s="143">
        <v>33</v>
      </c>
      <c r="D174" s="143">
        <v>1</v>
      </c>
      <c r="E174" s="144">
        <v>0.77796864595838189</v>
      </c>
      <c r="F174" s="144">
        <v>0.24894589909664172</v>
      </c>
      <c r="G174" s="144">
        <v>1.0768906249999999</v>
      </c>
      <c r="H174" s="144">
        <v>2.6117532778849299</v>
      </c>
      <c r="I174" s="145">
        <v>2100</v>
      </c>
      <c r="J174" s="145">
        <v>5906.4025015113311</v>
      </c>
      <c r="K174" s="145">
        <v>4594.9959565859699</v>
      </c>
      <c r="L174" s="145">
        <v>1143.9053997577275</v>
      </c>
      <c r="M174" s="145">
        <v>1000</v>
      </c>
      <c r="N174" s="145">
        <v>1000</v>
      </c>
      <c r="O174" s="145">
        <v>777.9686459583819</v>
      </c>
      <c r="P174" s="145">
        <v>193.67210403710632</v>
      </c>
      <c r="Q174" s="1"/>
      <c r="R174" s="150"/>
      <c r="T174" s="255">
        <v>2043</v>
      </c>
      <c r="U174" s="241">
        <v>59</v>
      </c>
      <c r="V174" s="241">
        <v>24</v>
      </c>
      <c r="W174" s="241">
        <v>1</v>
      </c>
      <c r="X174" s="256">
        <v>8.2621131741777848E-2</v>
      </c>
      <c r="Y174" s="256">
        <v>0.38619679752076086</v>
      </c>
      <c r="Z174" s="256">
        <v>0.83748425668365423</v>
      </c>
      <c r="AA174" s="256">
        <v>2.0016914129243242</v>
      </c>
      <c r="AB174" s="257">
        <v>15000</v>
      </c>
      <c r="AC174" s="257">
        <v>25145.775675944718</v>
      </c>
      <c r="AD174" s="257">
        <v>2077.5724448714213</v>
      </c>
      <c r="AE174" s="257">
        <v>802.35182482672042</v>
      </c>
      <c r="AF174" s="257">
        <v>3500</v>
      </c>
      <c r="AG174" s="257">
        <v>3500</v>
      </c>
      <c r="AH174" s="257">
        <v>289.17396109622246</v>
      </c>
      <c r="AI174" s="258">
        <v>111.6780577017542</v>
      </c>
    </row>
    <row r="175" spans="1:35" x14ac:dyDescent="0.25">
      <c r="A175" s="143">
        <v>2053</v>
      </c>
      <c r="B175" s="143">
        <v>69</v>
      </c>
      <c r="C175" s="143">
        <v>34</v>
      </c>
      <c r="D175" s="143">
        <v>1</v>
      </c>
      <c r="E175" s="144">
        <v>0.76995784382714261</v>
      </c>
      <c r="F175" s="144">
        <v>0.23709133247299211</v>
      </c>
      <c r="G175" s="144">
        <v>1.1038128906249998</v>
      </c>
      <c r="H175" s="144">
        <v>2.690105876221478</v>
      </c>
      <c r="I175" s="145">
        <v>2100</v>
      </c>
      <c r="J175" s="145">
        <v>6235.6844409705873</v>
      </c>
      <c r="K175" s="145">
        <v>4801.2141469561748</v>
      </c>
      <c r="L175" s="145">
        <v>1138.3262595900196</v>
      </c>
      <c r="M175" s="145">
        <v>1000</v>
      </c>
      <c r="N175" s="145">
        <v>1000</v>
      </c>
      <c r="O175" s="145">
        <v>769.9578438271426</v>
      </c>
      <c r="P175" s="145">
        <v>182.5503311410092</v>
      </c>
      <c r="Q175" s="1"/>
      <c r="R175" s="150"/>
      <c r="T175" s="255">
        <v>2044</v>
      </c>
      <c r="U175" s="241">
        <v>60</v>
      </c>
      <c r="V175" s="241">
        <v>25</v>
      </c>
      <c r="W175" s="241">
        <v>1</v>
      </c>
      <c r="X175" s="256">
        <v>8.2290678670606812E-2</v>
      </c>
      <c r="Y175" s="256">
        <v>0.36780647382929604</v>
      </c>
      <c r="Z175" s="256">
        <v>0.86260878438416388</v>
      </c>
      <c r="AA175" s="256">
        <v>2.0617421553120541</v>
      </c>
      <c r="AB175" s="257">
        <v>15000</v>
      </c>
      <c r="AC175" s="257">
        <v>26677.153414609755</v>
      </c>
      <c r="AD175" s="257">
        <v>2195.2810594881325</v>
      </c>
      <c r="AE175" s="257">
        <v>807.43858555457109</v>
      </c>
      <c r="AF175" s="257">
        <v>3500</v>
      </c>
      <c r="AG175" s="257">
        <v>3500</v>
      </c>
      <c r="AH175" s="257">
        <v>288.01737534712385</v>
      </c>
      <c r="AI175" s="258">
        <v>105.93465522799444</v>
      </c>
    </row>
    <row r="176" spans="1:35" x14ac:dyDescent="0.25">
      <c r="A176" s="143">
        <v>2054</v>
      </c>
      <c r="B176" s="143">
        <v>70</v>
      </c>
      <c r="C176" s="143">
        <v>35</v>
      </c>
      <c r="D176" s="143">
        <v>1</v>
      </c>
      <c r="E176" s="144">
        <v>0.76099099939548975</v>
      </c>
      <c r="F176" s="144">
        <v>0.22580126902189723</v>
      </c>
      <c r="G176" s="144">
        <v>1.1314082128906247</v>
      </c>
      <c r="H176" s="144">
        <v>2.7708090525081226</v>
      </c>
      <c r="I176" s="145">
        <v>2100</v>
      </c>
      <c r="J176" s="145">
        <v>6583.3238485546972</v>
      </c>
      <c r="K176" s="145">
        <v>5009.8501948558005</v>
      </c>
      <c r="L176" s="145">
        <v>1131.230531608039</v>
      </c>
      <c r="M176" s="145">
        <v>1000</v>
      </c>
      <c r="N176" s="145">
        <v>1000</v>
      </c>
      <c r="O176" s="145">
        <v>760.99099939548978</v>
      </c>
      <c r="P176" s="145">
        <v>171.83273337774341</v>
      </c>
      <c r="Q176" s="1"/>
      <c r="R176" s="150"/>
      <c r="T176" s="255">
        <v>2045</v>
      </c>
      <c r="U176" s="241">
        <v>61</v>
      </c>
      <c r="V176" s="241">
        <v>26</v>
      </c>
      <c r="W176" s="241">
        <v>1</v>
      </c>
      <c r="X176" s="256">
        <v>8.1924528444045311E-2</v>
      </c>
      <c r="Y176" s="256">
        <v>0.35029187983742477</v>
      </c>
      <c r="Z176" s="256">
        <v>0.88848704791568878</v>
      </c>
      <c r="AA176" s="256">
        <v>2.1235944199714156</v>
      </c>
      <c r="AB176" s="257">
        <v>15000</v>
      </c>
      <c r="AC176" s="257">
        <v>28301.792057559487</v>
      </c>
      <c r="AD176" s="257">
        <v>2318.6109684369881</v>
      </c>
      <c r="AE176" s="257">
        <v>812.19059474546452</v>
      </c>
      <c r="AF176" s="257">
        <v>3500</v>
      </c>
      <c r="AG176" s="257">
        <v>3500</v>
      </c>
      <c r="AH176" s="257">
        <v>286.73584955415856</v>
      </c>
      <c r="AI176" s="258">
        <v>100.44123975710721</v>
      </c>
    </row>
    <row r="177" spans="1:35" x14ac:dyDescent="0.25">
      <c r="A177" s="143">
        <v>2055</v>
      </c>
      <c r="B177" s="143">
        <v>71</v>
      </c>
      <c r="C177" s="143">
        <v>36</v>
      </c>
      <c r="D177" s="143">
        <v>1</v>
      </c>
      <c r="E177" s="144">
        <v>0.75091190409580877</v>
      </c>
      <c r="F177" s="144">
        <v>0.21504882763990213</v>
      </c>
      <c r="G177" s="144">
        <v>1.1540363771484372</v>
      </c>
      <c r="H177" s="144">
        <v>2.8539333240833664</v>
      </c>
      <c r="I177" s="145">
        <v>2100</v>
      </c>
      <c r="J177" s="145">
        <v>6916.4400352915663</v>
      </c>
      <c r="K177" s="145">
        <v>5193.6371564652727</v>
      </c>
      <c r="L177" s="145">
        <v>1116.8855816848918</v>
      </c>
      <c r="M177" s="145">
        <v>1000</v>
      </c>
      <c r="N177" s="145">
        <v>1000</v>
      </c>
      <c r="O177" s="145">
        <v>750.91190409580872</v>
      </c>
      <c r="P177" s="145">
        <v>161.48272463665029</v>
      </c>
      <c r="Q177" s="1"/>
      <c r="R177" s="150"/>
      <c r="T177" s="255">
        <v>2046</v>
      </c>
      <c r="U177" s="241">
        <v>62</v>
      </c>
      <c r="V177" s="241">
        <v>27</v>
      </c>
      <c r="W177" s="241">
        <v>1</v>
      </c>
      <c r="X177" s="256">
        <v>0.30155919348843885</v>
      </c>
      <c r="Y177" s="256">
        <v>0.33361131413088074</v>
      </c>
      <c r="Z177" s="256">
        <v>0.9151416593531595</v>
      </c>
      <c r="AA177" s="256">
        <v>2.1873022525705581</v>
      </c>
      <c r="AB177" s="257">
        <v>15000</v>
      </c>
      <c r="AC177" s="257">
        <v>30025.371193864863</v>
      </c>
      <c r="AD177" s="257">
        <v>9054.4267214128922</v>
      </c>
      <c r="AE177" s="257">
        <v>3020.6591972323172</v>
      </c>
      <c r="AF177" s="257">
        <v>3500</v>
      </c>
      <c r="AG177" s="257">
        <v>3500</v>
      </c>
      <c r="AH177" s="257">
        <v>1055.457177209536</v>
      </c>
      <c r="AI177" s="258">
        <v>352.11245589774319</v>
      </c>
    </row>
    <row r="178" spans="1:35" x14ac:dyDescent="0.25">
      <c r="A178" s="143">
        <v>2056</v>
      </c>
      <c r="B178" s="143">
        <v>72</v>
      </c>
      <c r="C178" s="143">
        <v>37</v>
      </c>
      <c r="D178" s="143">
        <v>1</v>
      </c>
      <c r="E178" s="144">
        <v>0.73954118684067538</v>
      </c>
      <c r="F178" s="144">
        <v>0.20480840727609725</v>
      </c>
      <c r="G178" s="144">
        <v>1.177117104691406</v>
      </c>
      <c r="H178" s="144">
        <v>2.9395513238058677</v>
      </c>
      <c r="I178" s="145">
        <v>2100</v>
      </c>
      <c r="J178" s="145">
        <v>7266.4119010773202</v>
      </c>
      <c r="K178" s="145">
        <v>5373.8108813959298</v>
      </c>
      <c r="L178" s="145">
        <v>1100.6016476216607</v>
      </c>
      <c r="M178" s="145">
        <v>1000</v>
      </c>
      <c r="N178" s="145">
        <v>1000</v>
      </c>
      <c r="O178" s="145">
        <v>739.54118684067544</v>
      </c>
      <c r="P178" s="145">
        <v>151.46425259191338</v>
      </c>
      <c r="Q178" s="1"/>
      <c r="R178" s="150"/>
      <c r="T178" s="255">
        <v>2047</v>
      </c>
      <c r="U178" s="241">
        <v>63</v>
      </c>
      <c r="V178" s="241">
        <v>28</v>
      </c>
      <c r="W178" s="241">
        <v>1</v>
      </c>
      <c r="X178" s="256">
        <v>0.45273876053242179</v>
      </c>
      <c r="Y178" s="256">
        <v>0.31772506107702925</v>
      </c>
      <c r="Z178" s="256">
        <v>0.94259590913375435</v>
      </c>
      <c r="AA178" s="256">
        <v>2.2529213201476748</v>
      </c>
      <c r="AB178" s="257">
        <v>15000</v>
      </c>
      <c r="AC178" s="257">
        <v>31853.916299571232</v>
      </c>
      <c r="AD178" s="257">
        <v>14421.502583571388</v>
      </c>
      <c r="AE178" s="257">
        <v>4582.0727891877541</v>
      </c>
      <c r="AF178" s="257">
        <v>3500</v>
      </c>
      <c r="AG178" s="257">
        <v>3500</v>
      </c>
      <c r="AH178" s="257">
        <v>1584.5856618634762</v>
      </c>
      <c r="AI178" s="258">
        <v>503.46257619735781</v>
      </c>
    </row>
    <row r="179" spans="1:35" x14ac:dyDescent="0.25">
      <c r="A179" s="143">
        <v>2057</v>
      </c>
      <c r="B179" s="143">
        <v>73</v>
      </c>
      <c r="C179" s="143">
        <v>38</v>
      </c>
      <c r="D179" s="143">
        <v>1</v>
      </c>
      <c r="E179" s="144">
        <v>0.72671709233030368</v>
      </c>
      <c r="F179" s="144">
        <v>0.19505562597723547</v>
      </c>
      <c r="G179" s="144">
        <v>1.2006594467852341</v>
      </c>
      <c r="H179" s="144">
        <v>3.0277378635200436</v>
      </c>
      <c r="I179" s="145">
        <v>2100</v>
      </c>
      <c r="J179" s="145">
        <v>7634.0923432718319</v>
      </c>
      <c r="K179" s="145">
        <v>5547.8253902835404</v>
      </c>
      <c r="L179" s="145">
        <v>1082.1345543141567</v>
      </c>
      <c r="M179" s="145">
        <v>1000</v>
      </c>
      <c r="N179" s="145">
        <v>1000</v>
      </c>
      <c r="O179" s="145">
        <v>726.71709233030367</v>
      </c>
      <c r="P179" s="145">
        <v>141.75025735284382</v>
      </c>
      <c r="Q179" s="1"/>
      <c r="R179" s="150"/>
      <c r="T179" s="255">
        <v>2048</v>
      </c>
      <c r="U179" s="241">
        <v>64</v>
      </c>
      <c r="V179" s="241">
        <v>29</v>
      </c>
      <c r="W179" s="241">
        <v>1</v>
      </c>
      <c r="X179" s="256">
        <v>0.52068955064672595</v>
      </c>
      <c r="Y179" s="256">
        <v>0.30259529626383735</v>
      </c>
      <c r="Z179" s="256">
        <v>0.970873786407767</v>
      </c>
      <c r="AA179" s="256">
        <v>2.3205089597521051</v>
      </c>
      <c r="AB179" s="257">
        <v>15000</v>
      </c>
      <c r="AC179" s="257">
        <v>33793.819802215119</v>
      </c>
      <c r="AD179" s="257">
        <v>17596.088847451818</v>
      </c>
      <c r="AE179" s="257">
        <v>5324.4937178794871</v>
      </c>
      <c r="AF179" s="257">
        <v>3500</v>
      </c>
      <c r="AG179" s="257">
        <v>3500</v>
      </c>
      <c r="AH179" s="257">
        <v>1822.4134272635408</v>
      </c>
      <c r="AI179" s="258">
        <v>551.45373093800629</v>
      </c>
    </row>
    <row r="180" spans="1:35" x14ac:dyDescent="0.25">
      <c r="A180" s="143">
        <v>2058</v>
      </c>
      <c r="B180" s="143">
        <v>74</v>
      </c>
      <c r="C180" s="143">
        <v>39</v>
      </c>
      <c r="D180" s="143">
        <v>1</v>
      </c>
      <c r="E180" s="144">
        <v>0.71233691426354162</v>
      </c>
      <c r="F180" s="144">
        <v>0.18576726283546235</v>
      </c>
      <c r="G180" s="144">
        <v>1.2246726357209388</v>
      </c>
      <c r="H180" s="144">
        <v>3.1185699994256448</v>
      </c>
      <c r="I180" s="145">
        <v>2100</v>
      </c>
      <c r="J180" s="145">
        <v>8020.3774158413862</v>
      </c>
      <c r="K180" s="145">
        <v>5713.210899629451</v>
      </c>
      <c r="L180" s="145">
        <v>1061.3275508258926</v>
      </c>
      <c r="M180" s="145">
        <v>1000</v>
      </c>
      <c r="N180" s="145">
        <v>1000</v>
      </c>
      <c r="O180" s="145">
        <v>712.33691426354164</v>
      </c>
      <c r="P180" s="145">
        <v>132.32887877939754</v>
      </c>
      <c r="Q180" s="1"/>
      <c r="R180" s="150"/>
      <c r="T180" s="255">
        <v>2049</v>
      </c>
      <c r="U180" s="241">
        <v>65</v>
      </c>
      <c r="V180" s="241">
        <v>30</v>
      </c>
      <c r="W180" s="241">
        <v>1</v>
      </c>
      <c r="X180" s="256">
        <v>0.79766257984514588</v>
      </c>
      <c r="Y180" s="256">
        <v>0.28818599644174986</v>
      </c>
      <c r="Z180" s="256">
        <v>1</v>
      </c>
      <c r="AA180" s="256">
        <v>2.3901242285446682</v>
      </c>
      <c r="AB180" s="257">
        <v>2100</v>
      </c>
      <c r="AC180" s="257">
        <v>5019.260879943803</v>
      </c>
      <c r="AD180" s="257">
        <v>4003.6765824117911</v>
      </c>
      <c r="AE180" s="257">
        <v>1153.8035253328417</v>
      </c>
      <c r="AF180" s="257">
        <v>1000</v>
      </c>
      <c r="AG180" s="257">
        <v>1000</v>
      </c>
      <c r="AH180" s="257">
        <v>797.66257984514584</v>
      </c>
      <c r="AI180" s="258">
        <v>229.87518539697021</v>
      </c>
    </row>
    <row r="181" spans="1:35" x14ac:dyDescent="0.25">
      <c r="A181" s="143">
        <v>2059</v>
      </c>
      <c r="B181" s="143">
        <v>75</v>
      </c>
      <c r="C181" s="143">
        <v>40</v>
      </c>
      <c r="D181" s="143">
        <v>1</v>
      </c>
      <c r="E181" s="144">
        <v>0.69628473000971236</v>
      </c>
      <c r="F181" s="144">
        <v>0.17692120270044032</v>
      </c>
      <c r="G181" s="144">
        <v>1.2491660884353575</v>
      </c>
      <c r="H181" s="144">
        <v>3.2121270994084141</v>
      </c>
      <c r="I181" s="145">
        <v>2100</v>
      </c>
      <c r="J181" s="145">
        <v>8426.2085130829601</v>
      </c>
      <c r="K181" s="145">
        <v>5867.0403195375084</v>
      </c>
      <c r="L181" s="145">
        <v>1038.0038296245516</v>
      </c>
      <c r="M181" s="145">
        <v>1000</v>
      </c>
      <c r="N181" s="145">
        <v>1000</v>
      </c>
      <c r="O181" s="145">
        <v>696.28473000971235</v>
      </c>
      <c r="P181" s="145">
        <v>123.18753185526968</v>
      </c>
      <c r="Q181" s="1"/>
      <c r="R181" s="150"/>
      <c r="T181" s="255">
        <v>2050</v>
      </c>
      <c r="U181" s="241">
        <v>66</v>
      </c>
      <c r="V181" s="241">
        <v>31</v>
      </c>
      <c r="W181" s="241">
        <v>1</v>
      </c>
      <c r="X181" s="256">
        <v>0.79172098825197978</v>
      </c>
      <c r="Y181" s="256">
        <v>0.2744628537540475</v>
      </c>
      <c r="Z181" s="256">
        <v>1.0249999999999999</v>
      </c>
      <c r="AA181" s="256">
        <v>2.4618279554010085</v>
      </c>
      <c r="AB181" s="257">
        <v>2100</v>
      </c>
      <c r="AC181" s="257">
        <v>5299.08467400067</v>
      </c>
      <c r="AD181" s="257">
        <v>4195.3965549307304</v>
      </c>
      <c r="AE181" s="257">
        <v>1151.4805110961877</v>
      </c>
      <c r="AF181" s="257">
        <v>1000</v>
      </c>
      <c r="AG181" s="257">
        <v>1000</v>
      </c>
      <c r="AH181" s="257">
        <v>791.72098825197975</v>
      </c>
      <c r="AI181" s="258">
        <v>217.29800181261308</v>
      </c>
    </row>
    <row r="182" spans="1:35" x14ac:dyDescent="0.25">
      <c r="A182" s="143">
        <v>2060</v>
      </c>
      <c r="B182" s="143">
        <v>76</v>
      </c>
      <c r="C182" s="143">
        <v>41</v>
      </c>
      <c r="D182" s="143">
        <v>1</v>
      </c>
      <c r="E182" s="144">
        <v>0.67847337196075141</v>
      </c>
      <c r="F182" s="144">
        <v>0.16849638352422885</v>
      </c>
      <c r="G182" s="144">
        <v>1.2679035797618876</v>
      </c>
      <c r="H182" s="144">
        <v>3.3084909123906665</v>
      </c>
      <c r="I182" s="145">
        <v>2100</v>
      </c>
      <c r="J182" s="145">
        <v>8809.1796900025802</v>
      </c>
      <c r="K182" s="145">
        <v>5976.7938484842171</v>
      </c>
      <c r="L182" s="145">
        <v>1007.0681485394484</v>
      </c>
      <c r="M182" s="145">
        <v>1000</v>
      </c>
      <c r="N182" s="145">
        <v>1000</v>
      </c>
      <c r="O182" s="145">
        <v>678.47337196075136</v>
      </c>
      <c r="P182" s="145">
        <v>114.32030949287554</v>
      </c>
      <c r="Q182" s="1"/>
      <c r="R182" s="150"/>
      <c r="T182" s="255">
        <v>2051</v>
      </c>
      <c r="U182" s="241">
        <v>67</v>
      </c>
      <c r="V182" s="241">
        <v>32</v>
      </c>
      <c r="W182" s="241">
        <v>1</v>
      </c>
      <c r="X182" s="256">
        <v>0.78519068500938616</v>
      </c>
      <c r="Y182" s="256">
        <v>0.26139319405147382</v>
      </c>
      <c r="Z182" s="256">
        <v>1.0506249999999999</v>
      </c>
      <c r="AA182" s="256">
        <v>2.5356827940630389</v>
      </c>
      <c r="AB182" s="257">
        <v>2100</v>
      </c>
      <c r="AC182" s="257">
        <v>5594.5086445762081</v>
      </c>
      <c r="AD182" s="257">
        <v>4392.7560749257254</v>
      </c>
      <c r="AE182" s="257">
        <v>1148.2365411138505</v>
      </c>
      <c r="AF182" s="257">
        <v>1000</v>
      </c>
      <c r="AG182" s="257">
        <v>1000</v>
      </c>
      <c r="AH182" s="257">
        <v>785.19068500938613</v>
      </c>
      <c r="AI182" s="258">
        <v>205.24350109406814</v>
      </c>
    </row>
    <row r="183" spans="1:35" x14ac:dyDescent="0.25">
      <c r="A183" s="143">
        <v>2061</v>
      </c>
      <c r="B183" s="143">
        <v>77</v>
      </c>
      <c r="C183" s="143">
        <v>42</v>
      </c>
      <c r="D183" s="143">
        <v>1</v>
      </c>
      <c r="E183" s="144">
        <v>0.65884793814485254</v>
      </c>
      <c r="F183" s="144">
        <v>0.16047274621355129</v>
      </c>
      <c r="G183" s="144">
        <v>1.2869221334583159</v>
      </c>
      <c r="H183" s="144">
        <v>3.4077456397623864</v>
      </c>
      <c r="I183" s="145">
        <v>2100</v>
      </c>
      <c r="J183" s="145">
        <v>9209.5569069131961</v>
      </c>
      <c r="K183" s="145">
        <v>6067.6975793474448</v>
      </c>
      <c r="L183" s="145">
        <v>973.70009375120196</v>
      </c>
      <c r="M183" s="145">
        <v>1000</v>
      </c>
      <c r="N183" s="145">
        <v>1000</v>
      </c>
      <c r="O183" s="145">
        <v>658.84793814485249</v>
      </c>
      <c r="P183" s="145">
        <v>105.72713797124045</v>
      </c>
      <c r="Q183" s="1"/>
      <c r="R183" s="150"/>
      <c r="T183" s="255">
        <v>2052</v>
      </c>
      <c r="U183" s="241">
        <v>68</v>
      </c>
      <c r="V183" s="241">
        <v>33</v>
      </c>
      <c r="W183" s="241">
        <v>1</v>
      </c>
      <c r="X183" s="256">
        <v>0.77796864595838189</v>
      </c>
      <c r="Y183" s="256">
        <v>0.24894589909664172</v>
      </c>
      <c r="Z183" s="256">
        <v>1.0768906249999999</v>
      </c>
      <c r="AA183" s="256">
        <v>2.6117532778849299</v>
      </c>
      <c r="AB183" s="257">
        <v>2100</v>
      </c>
      <c r="AC183" s="257">
        <v>5906.4025015113311</v>
      </c>
      <c r="AD183" s="257">
        <v>4594.9959565859699</v>
      </c>
      <c r="AE183" s="257">
        <v>1143.9053997577275</v>
      </c>
      <c r="AF183" s="257">
        <v>1000</v>
      </c>
      <c r="AG183" s="257">
        <v>1000</v>
      </c>
      <c r="AH183" s="257">
        <v>777.9686459583819</v>
      </c>
      <c r="AI183" s="258">
        <v>193.67210403710632</v>
      </c>
    </row>
    <row r="184" spans="1:35" x14ac:dyDescent="0.25">
      <c r="A184" s="143">
        <v>2062</v>
      </c>
      <c r="B184" s="143">
        <v>78</v>
      </c>
      <c r="C184" s="143">
        <v>43</v>
      </c>
      <c r="D184" s="143">
        <v>1</v>
      </c>
      <c r="E184" s="144">
        <v>0.63738901021444172</v>
      </c>
      <c r="F184" s="144">
        <v>0.15283118687004885</v>
      </c>
      <c r="G184" s="144">
        <v>1.3062259654601904</v>
      </c>
      <c r="H184" s="144">
        <v>3.5099780089552581</v>
      </c>
      <c r="I184" s="145">
        <v>2100</v>
      </c>
      <c r="J184" s="145">
        <v>9628.1312683323995</v>
      </c>
      <c r="K184" s="145">
        <v>6136.8650593371058</v>
      </c>
      <c r="L184" s="145">
        <v>937.90437067982259</v>
      </c>
      <c r="M184" s="145">
        <v>1000</v>
      </c>
      <c r="N184" s="145">
        <v>1000</v>
      </c>
      <c r="O184" s="145">
        <v>637.38901021444167</v>
      </c>
      <c r="P184" s="145">
        <v>97.412918928998806</v>
      </c>
      <c r="Q184" s="1"/>
      <c r="R184" s="150"/>
      <c r="T184" s="255">
        <v>2053</v>
      </c>
      <c r="U184" s="241">
        <v>69</v>
      </c>
      <c r="V184" s="241">
        <v>34</v>
      </c>
      <c r="W184" s="241">
        <v>1</v>
      </c>
      <c r="X184" s="256">
        <v>0.76995784382714261</v>
      </c>
      <c r="Y184" s="256">
        <v>0.23709133247299211</v>
      </c>
      <c r="Z184" s="256">
        <v>1.1038128906249998</v>
      </c>
      <c r="AA184" s="256">
        <v>2.690105876221478</v>
      </c>
      <c r="AB184" s="257">
        <v>2100</v>
      </c>
      <c r="AC184" s="257">
        <v>6235.6844409705873</v>
      </c>
      <c r="AD184" s="257">
        <v>4801.2141469561748</v>
      </c>
      <c r="AE184" s="257">
        <v>1138.3262595900196</v>
      </c>
      <c r="AF184" s="257">
        <v>1000</v>
      </c>
      <c r="AG184" s="257">
        <v>1000</v>
      </c>
      <c r="AH184" s="257">
        <v>769.9578438271426</v>
      </c>
      <c r="AI184" s="258">
        <v>182.5503311410092</v>
      </c>
    </row>
    <row r="185" spans="1:35" x14ac:dyDescent="0.25">
      <c r="A185" s="143">
        <v>2063</v>
      </c>
      <c r="B185" s="143">
        <v>79</v>
      </c>
      <c r="C185" s="143">
        <v>44</v>
      </c>
      <c r="D185" s="143">
        <v>1</v>
      </c>
      <c r="E185" s="144">
        <v>0.61414668724683197</v>
      </c>
      <c r="F185" s="144">
        <v>0.14555351130480843</v>
      </c>
      <c r="G185" s="144">
        <v>1.3258193549420931</v>
      </c>
      <c r="H185" s="144">
        <v>3.6152773492239159</v>
      </c>
      <c r="I185" s="145">
        <v>2100</v>
      </c>
      <c r="J185" s="145">
        <v>10065.729834478107</v>
      </c>
      <c r="K185" s="145">
        <v>6181.8346325663315</v>
      </c>
      <c r="L185" s="145">
        <v>899.78773707569974</v>
      </c>
      <c r="M185" s="145">
        <v>1000</v>
      </c>
      <c r="N185" s="145">
        <v>1000</v>
      </c>
      <c r="O185" s="145">
        <v>614.14668724683202</v>
      </c>
      <c r="P185" s="145">
        <v>89.391206784992406</v>
      </c>
      <c r="Q185" s="1"/>
      <c r="R185" s="150"/>
      <c r="T185" s="255">
        <v>2054</v>
      </c>
      <c r="U185" s="241">
        <v>70</v>
      </c>
      <c r="V185" s="241">
        <v>35</v>
      </c>
      <c r="W185" s="241">
        <v>1</v>
      </c>
      <c r="X185" s="256">
        <v>0.76099099939548975</v>
      </c>
      <c r="Y185" s="256">
        <v>0.22580126902189723</v>
      </c>
      <c r="Z185" s="256">
        <v>1.1314082128906247</v>
      </c>
      <c r="AA185" s="256">
        <v>2.7708090525081226</v>
      </c>
      <c r="AB185" s="257">
        <v>2100</v>
      </c>
      <c r="AC185" s="257">
        <v>6583.3238485546972</v>
      </c>
      <c r="AD185" s="257">
        <v>5009.8501948558005</v>
      </c>
      <c r="AE185" s="257">
        <v>1131.230531608039</v>
      </c>
      <c r="AF185" s="257">
        <v>1000</v>
      </c>
      <c r="AG185" s="257">
        <v>1000</v>
      </c>
      <c r="AH185" s="257">
        <v>760.99099939548978</v>
      </c>
      <c r="AI185" s="258">
        <v>171.83273337774341</v>
      </c>
    </row>
    <row r="186" spans="1:35" x14ac:dyDescent="0.25">
      <c r="A186" s="143">
        <v>2064</v>
      </c>
      <c r="B186" s="143">
        <v>80</v>
      </c>
      <c r="C186" s="143">
        <v>45</v>
      </c>
      <c r="D186" s="143">
        <v>1</v>
      </c>
      <c r="E186" s="144">
        <v>0.58917743669067546</v>
      </c>
      <c r="F186" s="144">
        <v>0.13862239171886517</v>
      </c>
      <c r="G186" s="144">
        <v>1.3457066452662243</v>
      </c>
      <c r="H186" s="144">
        <v>3.7237356697006336</v>
      </c>
      <c r="I186" s="145">
        <v>2100</v>
      </c>
      <c r="J186" s="145">
        <v>10523.217255455134</v>
      </c>
      <c r="K186" s="145">
        <v>6200.0421683081413</v>
      </c>
      <c r="L186" s="145">
        <v>859.46467412869333</v>
      </c>
      <c r="M186" s="145">
        <v>1000</v>
      </c>
      <c r="N186" s="145">
        <v>1000</v>
      </c>
      <c r="O186" s="145">
        <v>589.17743669067545</v>
      </c>
      <c r="P186" s="145">
        <v>81.673185420851695</v>
      </c>
      <c r="Q186" s="1"/>
      <c r="R186" s="150"/>
      <c r="T186" s="255">
        <v>2055</v>
      </c>
      <c r="U186" s="241">
        <v>71</v>
      </c>
      <c r="V186" s="241">
        <v>36</v>
      </c>
      <c r="W186" s="241">
        <v>1</v>
      </c>
      <c r="X186" s="256">
        <v>0.75091190409580877</v>
      </c>
      <c r="Y186" s="256">
        <v>0.21504882763990213</v>
      </c>
      <c r="Z186" s="256">
        <v>1.1540363771484372</v>
      </c>
      <c r="AA186" s="256">
        <v>2.8539333240833664</v>
      </c>
      <c r="AB186" s="257">
        <v>2100</v>
      </c>
      <c r="AC186" s="257">
        <v>6916.4400352915663</v>
      </c>
      <c r="AD186" s="257">
        <v>5193.6371564652727</v>
      </c>
      <c r="AE186" s="257">
        <v>1116.8855816848918</v>
      </c>
      <c r="AF186" s="257">
        <v>1000</v>
      </c>
      <c r="AG186" s="257">
        <v>1000</v>
      </c>
      <c r="AH186" s="257">
        <v>750.91190409580872</v>
      </c>
      <c r="AI186" s="258">
        <v>161.48272463665029</v>
      </c>
    </row>
    <row r="187" spans="1:35" x14ac:dyDescent="0.25">
      <c r="A187" s="143">
        <v>2065</v>
      </c>
      <c r="B187" s="143">
        <v>81</v>
      </c>
      <c r="C187" s="143">
        <v>46</v>
      </c>
      <c r="D187" s="143">
        <v>1</v>
      </c>
      <c r="E187" s="144">
        <v>0.5625186945210614</v>
      </c>
      <c r="F187" s="144">
        <v>0.13202132544653825</v>
      </c>
      <c r="G187" s="144">
        <v>1.3591637117188866</v>
      </c>
      <c r="H187" s="144">
        <v>3.8354477397916527</v>
      </c>
      <c r="I187" s="145">
        <v>2100</v>
      </c>
      <c r="J187" s="145">
        <v>10947.302910849978</v>
      </c>
      <c r="K187" s="145">
        <v>6158.0625419379448</v>
      </c>
      <c r="L187" s="145">
        <v>812.99557896932595</v>
      </c>
      <c r="M187" s="145">
        <v>1000</v>
      </c>
      <c r="N187" s="145">
        <v>1000</v>
      </c>
      <c r="O187" s="145">
        <v>562.51869452106143</v>
      </c>
      <c r="P187" s="145">
        <v>74.264463639126888</v>
      </c>
      <c r="Q187" s="1"/>
      <c r="R187" s="150"/>
      <c r="T187" s="255">
        <v>2056</v>
      </c>
      <c r="U187" s="241">
        <v>72</v>
      </c>
      <c r="V187" s="241">
        <v>37</v>
      </c>
      <c r="W187" s="241">
        <v>1</v>
      </c>
      <c r="X187" s="256">
        <v>0.73954118684067538</v>
      </c>
      <c r="Y187" s="256">
        <v>0.20480840727609725</v>
      </c>
      <c r="Z187" s="256">
        <v>1.177117104691406</v>
      </c>
      <c r="AA187" s="256">
        <v>2.9395513238058677</v>
      </c>
      <c r="AB187" s="257">
        <v>2100</v>
      </c>
      <c r="AC187" s="257">
        <v>7266.4119010773202</v>
      </c>
      <c r="AD187" s="257">
        <v>5373.8108813959298</v>
      </c>
      <c r="AE187" s="257">
        <v>1100.6016476216607</v>
      </c>
      <c r="AF187" s="257">
        <v>1000</v>
      </c>
      <c r="AG187" s="257">
        <v>1000</v>
      </c>
      <c r="AH187" s="257">
        <v>739.54118684067544</v>
      </c>
      <c r="AI187" s="258">
        <v>151.46425259191338</v>
      </c>
    </row>
    <row r="188" spans="1:35" x14ac:dyDescent="0.25">
      <c r="A188" s="143">
        <v>2066</v>
      </c>
      <c r="B188" s="143">
        <v>82</v>
      </c>
      <c r="C188" s="143">
        <v>47</v>
      </c>
      <c r="D188" s="143">
        <v>1</v>
      </c>
      <c r="E188" s="144">
        <v>0.534314615711035</v>
      </c>
      <c r="F188" s="144">
        <v>0.12573459566336975</v>
      </c>
      <c r="G188" s="144">
        <v>1.3727553488360755</v>
      </c>
      <c r="H188" s="144">
        <v>3.9505111719854025</v>
      </c>
      <c r="I188" s="145">
        <v>2100</v>
      </c>
      <c r="J188" s="145">
        <v>11388.479218157234</v>
      </c>
      <c r="K188" s="145">
        <v>6085.0308969827911</v>
      </c>
      <c r="L188" s="145">
        <v>765.09889943124335</v>
      </c>
      <c r="M188" s="145">
        <v>1000</v>
      </c>
      <c r="N188" s="145">
        <v>1000</v>
      </c>
      <c r="O188" s="145">
        <v>534.314615711035</v>
      </c>
      <c r="P188" s="145">
        <v>67.18183216345578</v>
      </c>
      <c r="Q188" s="1"/>
      <c r="R188" s="150"/>
      <c r="T188" s="255">
        <v>2057</v>
      </c>
      <c r="U188" s="241">
        <v>73</v>
      </c>
      <c r="V188" s="241">
        <v>38</v>
      </c>
      <c r="W188" s="241">
        <v>1</v>
      </c>
      <c r="X188" s="256">
        <v>0.72671709233030368</v>
      </c>
      <c r="Y188" s="256">
        <v>0.19505562597723547</v>
      </c>
      <c r="Z188" s="256">
        <v>1.2006594467852341</v>
      </c>
      <c r="AA188" s="256">
        <v>3.0277378635200436</v>
      </c>
      <c r="AB188" s="257">
        <v>2100</v>
      </c>
      <c r="AC188" s="257">
        <v>7634.0923432718319</v>
      </c>
      <c r="AD188" s="257">
        <v>5547.8253902835404</v>
      </c>
      <c r="AE188" s="257">
        <v>1082.1345543141567</v>
      </c>
      <c r="AF188" s="257">
        <v>1000</v>
      </c>
      <c r="AG188" s="257">
        <v>1000</v>
      </c>
      <c r="AH188" s="257">
        <v>726.71709233030367</v>
      </c>
      <c r="AI188" s="258">
        <v>141.75025735284382</v>
      </c>
    </row>
    <row r="189" spans="1:35" x14ac:dyDescent="0.25">
      <c r="A189" s="143">
        <v>2067</v>
      </c>
      <c r="B189" s="143">
        <v>83</v>
      </c>
      <c r="C189" s="143">
        <v>48</v>
      </c>
      <c r="D189" s="143">
        <v>1</v>
      </c>
      <c r="E189" s="144">
        <v>0.50475262858610526</v>
      </c>
      <c r="F189" s="144">
        <v>0.11974723396511404</v>
      </c>
      <c r="G189" s="144">
        <v>1.3864829023244363</v>
      </c>
      <c r="H189" s="144">
        <v>4.0690265071449643</v>
      </c>
      <c r="I189" s="145">
        <v>2100</v>
      </c>
      <c r="J189" s="145">
        <v>11847.434930648969</v>
      </c>
      <c r="K189" s="145">
        <v>5980.0239232479089</v>
      </c>
      <c r="L189" s="145">
        <v>716.09132385414648</v>
      </c>
      <c r="M189" s="145">
        <v>1000</v>
      </c>
      <c r="N189" s="145">
        <v>1000</v>
      </c>
      <c r="O189" s="145">
        <v>504.75262858610523</v>
      </c>
      <c r="P189" s="145">
        <v>60.442731109806651</v>
      </c>
      <c r="Q189" s="1"/>
      <c r="R189" s="150"/>
      <c r="T189" s="255">
        <v>2058</v>
      </c>
      <c r="U189" s="241">
        <v>74</v>
      </c>
      <c r="V189" s="241">
        <v>39</v>
      </c>
      <c r="W189" s="241">
        <v>1</v>
      </c>
      <c r="X189" s="256">
        <v>0.71233691426354162</v>
      </c>
      <c r="Y189" s="256">
        <v>0.18576726283546235</v>
      </c>
      <c r="Z189" s="256">
        <v>1.2246726357209388</v>
      </c>
      <c r="AA189" s="256">
        <v>3.1185699994256448</v>
      </c>
      <c r="AB189" s="257">
        <v>2100</v>
      </c>
      <c r="AC189" s="257">
        <v>8020.3774158413862</v>
      </c>
      <c r="AD189" s="257">
        <v>5713.210899629451</v>
      </c>
      <c r="AE189" s="257">
        <v>1061.3275508258926</v>
      </c>
      <c r="AF189" s="257">
        <v>1000</v>
      </c>
      <c r="AG189" s="257">
        <v>1000</v>
      </c>
      <c r="AH189" s="257">
        <v>712.33691426354164</v>
      </c>
      <c r="AI189" s="258">
        <v>132.32887877939754</v>
      </c>
    </row>
    <row r="190" spans="1:35" x14ac:dyDescent="0.25">
      <c r="A190" s="143">
        <v>2068</v>
      </c>
      <c r="B190" s="143">
        <v>84</v>
      </c>
      <c r="C190" s="143">
        <v>49</v>
      </c>
      <c r="D190" s="143">
        <v>1</v>
      </c>
      <c r="E190" s="144">
        <v>0.47403099591910092</v>
      </c>
      <c r="F190" s="144">
        <v>0.11404498472868004</v>
      </c>
      <c r="G190" s="144">
        <v>1.4003477313476806</v>
      </c>
      <c r="H190" s="144">
        <v>4.1910973023593137</v>
      </c>
      <c r="I190" s="145">
        <v>2100</v>
      </c>
      <c r="J190" s="145">
        <v>12324.886558354123</v>
      </c>
      <c r="K190" s="145">
        <v>5842.3782498465453</v>
      </c>
      <c r="L190" s="145">
        <v>666.29393828292166</v>
      </c>
      <c r="M190" s="145">
        <v>1000</v>
      </c>
      <c r="N190" s="145">
        <v>1000</v>
      </c>
      <c r="O190" s="145">
        <v>474.03099591910092</v>
      </c>
      <c r="P190" s="145">
        <v>54.060857690514851</v>
      </c>
      <c r="Q190" s="1"/>
      <c r="R190" s="150"/>
      <c r="T190" s="255">
        <v>2059</v>
      </c>
      <c r="U190" s="241">
        <v>75</v>
      </c>
      <c r="V190" s="241">
        <v>40</v>
      </c>
      <c r="W190" s="241">
        <v>1</v>
      </c>
      <c r="X190" s="256">
        <v>0.69628473000971236</v>
      </c>
      <c r="Y190" s="256">
        <v>0.17692120270044032</v>
      </c>
      <c r="Z190" s="256">
        <v>1.2491660884353575</v>
      </c>
      <c r="AA190" s="256">
        <v>3.2121270994084141</v>
      </c>
      <c r="AB190" s="257">
        <v>2100</v>
      </c>
      <c r="AC190" s="257">
        <v>8426.2085130829601</v>
      </c>
      <c r="AD190" s="257">
        <v>5867.0403195375084</v>
      </c>
      <c r="AE190" s="257">
        <v>1038.0038296245516</v>
      </c>
      <c r="AF190" s="257">
        <v>1000</v>
      </c>
      <c r="AG190" s="257">
        <v>1000</v>
      </c>
      <c r="AH190" s="257">
        <v>696.28473000971235</v>
      </c>
      <c r="AI190" s="258">
        <v>123.18753185526968</v>
      </c>
    </row>
    <row r="191" spans="1:35" x14ac:dyDescent="0.25">
      <c r="A191" s="143">
        <v>2069</v>
      </c>
      <c r="B191" s="143">
        <v>85</v>
      </c>
      <c r="C191" s="143">
        <v>50</v>
      </c>
      <c r="D191" s="143">
        <v>1</v>
      </c>
      <c r="E191" s="144">
        <v>0.44238966442216721</v>
      </c>
      <c r="F191" s="144">
        <v>0.10861427117017146</v>
      </c>
      <c r="G191" s="144">
        <v>1.4143512086611574</v>
      </c>
      <c r="H191" s="144">
        <v>4.3168302214300933</v>
      </c>
      <c r="I191" s="145">
        <v>2100</v>
      </c>
      <c r="J191" s="145">
        <v>12821.579486655795</v>
      </c>
      <c r="K191" s="145">
        <v>5672.1342464638001</v>
      </c>
      <c r="L191" s="145">
        <v>616.07472715903532</v>
      </c>
      <c r="M191" s="145">
        <v>1000</v>
      </c>
      <c r="N191" s="145">
        <v>1000</v>
      </c>
      <c r="O191" s="145">
        <v>442.38966442216719</v>
      </c>
      <c r="P191" s="145">
        <v>48.049830974430421</v>
      </c>
      <c r="Q191" s="1"/>
      <c r="R191" s="150"/>
      <c r="T191" s="255">
        <v>2060</v>
      </c>
      <c r="U191" s="241">
        <v>76</v>
      </c>
      <c r="V191" s="241">
        <v>41</v>
      </c>
      <c r="W191" s="241">
        <v>1</v>
      </c>
      <c r="X191" s="256">
        <v>0.67847337196075141</v>
      </c>
      <c r="Y191" s="256">
        <v>0.16849638352422885</v>
      </c>
      <c r="Z191" s="256">
        <v>1.2679035797618876</v>
      </c>
      <c r="AA191" s="256">
        <v>3.3084909123906665</v>
      </c>
      <c r="AB191" s="257">
        <v>2100</v>
      </c>
      <c r="AC191" s="257">
        <v>8809.1796900025802</v>
      </c>
      <c r="AD191" s="257">
        <v>5976.7938484842171</v>
      </c>
      <c r="AE191" s="257">
        <v>1007.0681485394484</v>
      </c>
      <c r="AF191" s="257">
        <v>1000</v>
      </c>
      <c r="AG191" s="257">
        <v>1000</v>
      </c>
      <c r="AH191" s="257">
        <v>678.47337196075136</v>
      </c>
      <c r="AI191" s="258">
        <v>114.32030949287554</v>
      </c>
    </row>
    <row r="192" spans="1:35" x14ac:dyDescent="0.25">
      <c r="A192" s="143">
        <v>2070</v>
      </c>
      <c r="B192" s="143">
        <v>86</v>
      </c>
      <c r="C192" s="143">
        <v>51</v>
      </c>
      <c r="D192" s="143">
        <v>1</v>
      </c>
      <c r="E192" s="144">
        <v>0.41003829342478615</v>
      </c>
      <c r="F192" s="144">
        <v>0.10344216301921091</v>
      </c>
      <c r="G192" s="144">
        <v>1.4214229647044629</v>
      </c>
      <c r="H192" s="144">
        <v>4.4463351280729961</v>
      </c>
      <c r="I192" s="145">
        <v>2100</v>
      </c>
      <c r="J192" s="145">
        <v>13272.258005611744</v>
      </c>
      <c r="K192" s="145">
        <v>5442.134022514495</v>
      </c>
      <c r="L192" s="145">
        <v>562.94611472933843</v>
      </c>
      <c r="M192" s="145">
        <v>1000</v>
      </c>
      <c r="N192" s="145">
        <v>1000</v>
      </c>
      <c r="O192" s="145">
        <v>410.03829342478616</v>
      </c>
      <c r="P192" s="145">
        <v>42.415247992565767</v>
      </c>
      <c r="Q192" s="1"/>
      <c r="R192" s="150"/>
      <c r="T192" s="255">
        <v>2061</v>
      </c>
      <c r="U192" s="241">
        <v>77</v>
      </c>
      <c r="V192" s="241">
        <v>42</v>
      </c>
      <c r="W192" s="241">
        <v>1</v>
      </c>
      <c r="X192" s="256">
        <v>0.65884793814485254</v>
      </c>
      <c r="Y192" s="256">
        <v>0.16047274621355129</v>
      </c>
      <c r="Z192" s="256">
        <v>1.2869221334583159</v>
      </c>
      <c r="AA192" s="256">
        <v>3.4077456397623864</v>
      </c>
      <c r="AB192" s="257">
        <v>2100</v>
      </c>
      <c r="AC192" s="257">
        <v>9209.5569069131961</v>
      </c>
      <c r="AD192" s="257">
        <v>6067.6975793474448</v>
      </c>
      <c r="AE192" s="257">
        <v>973.70009375120196</v>
      </c>
      <c r="AF192" s="257">
        <v>1000</v>
      </c>
      <c r="AG192" s="257">
        <v>1000</v>
      </c>
      <c r="AH192" s="257">
        <v>658.84793814485249</v>
      </c>
      <c r="AI192" s="258">
        <v>105.72713797124045</v>
      </c>
    </row>
    <row r="193" spans="1:35" x14ac:dyDescent="0.25">
      <c r="A193" s="143">
        <v>2071</v>
      </c>
      <c r="B193" s="143">
        <v>87</v>
      </c>
      <c r="C193" s="143">
        <v>52</v>
      </c>
      <c r="D193" s="143">
        <v>1</v>
      </c>
      <c r="E193" s="144">
        <v>0.37719232451930973</v>
      </c>
      <c r="F193" s="144">
        <v>9.851634573258182E-2</v>
      </c>
      <c r="G193" s="144">
        <v>1.4285300795279852</v>
      </c>
      <c r="H193" s="144">
        <v>4.5797251819151858</v>
      </c>
      <c r="I193" s="145">
        <v>2100</v>
      </c>
      <c r="J193" s="145">
        <v>13738.777874508996</v>
      </c>
      <c r="K193" s="145">
        <v>5182.1615625405093</v>
      </c>
      <c r="L193" s="145">
        <v>510.52762013733724</v>
      </c>
      <c r="M193" s="145">
        <v>1000</v>
      </c>
      <c r="N193" s="145">
        <v>1000</v>
      </c>
      <c r="O193" s="145">
        <v>377.19232451930975</v>
      </c>
      <c r="P193" s="145">
        <v>37.159609450020518</v>
      </c>
      <c r="Q193" s="1"/>
      <c r="R193" s="150"/>
      <c r="T193" s="255">
        <v>2062</v>
      </c>
      <c r="U193" s="241">
        <v>78</v>
      </c>
      <c r="V193" s="241">
        <v>43</v>
      </c>
      <c r="W193" s="241">
        <v>1</v>
      </c>
      <c r="X193" s="256">
        <v>0.63738901021444172</v>
      </c>
      <c r="Y193" s="256">
        <v>0.15283118687004885</v>
      </c>
      <c r="Z193" s="256">
        <v>1.3062259654601904</v>
      </c>
      <c r="AA193" s="256">
        <v>3.5099780089552581</v>
      </c>
      <c r="AB193" s="257">
        <v>2100</v>
      </c>
      <c r="AC193" s="257">
        <v>9628.1312683323995</v>
      </c>
      <c r="AD193" s="257">
        <v>6136.8650593371058</v>
      </c>
      <c r="AE193" s="257">
        <v>937.90437067982259</v>
      </c>
      <c r="AF193" s="257">
        <v>1000</v>
      </c>
      <c r="AG193" s="257">
        <v>1000</v>
      </c>
      <c r="AH193" s="257">
        <v>637.38901021444167</v>
      </c>
      <c r="AI193" s="258">
        <v>97.412918928998806</v>
      </c>
    </row>
    <row r="194" spans="1:35" x14ac:dyDescent="0.25">
      <c r="A194" s="143">
        <v>2072</v>
      </c>
      <c r="B194" s="143">
        <v>88</v>
      </c>
      <c r="C194" s="143">
        <v>53</v>
      </c>
      <c r="D194" s="143">
        <v>1</v>
      </c>
      <c r="E194" s="144">
        <v>0.34410318346216362</v>
      </c>
      <c r="F194" s="144">
        <v>9.3825091173887445E-2</v>
      </c>
      <c r="G194" s="144">
        <v>1.4356727299256249</v>
      </c>
      <c r="H194" s="144">
        <v>4.7171169373726416</v>
      </c>
      <c r="I194" s="145">
        <v>2100</v>
      </c>
      <c r="J194" s="145">
        <v>14221.695916797986</v>
      </c>
      <c r="K194" s="145">
        <v>4893.7308392010409</v>
      </c>
      <c r="L194" s="145">
        <v>459.15474216850237</v>
      </c>
      <c r="M194" s="145">
        <v>1000</v>
      </c>
      <c r="N194" s="145">
        <v>1000</v>
      </c>
      <c r="O194" s="145">
        <v>344.1031834621636</v>
      </c>
      <c r="P194" s="145">
        <v>32.28551256156242</v>
      </c>
      <c r="Q194" s="1"/>
      <c r="R194" s="150"/>
      <c r="T194" s="255">
        <v>2063</v>
      </c>
      <c r="U194" s="241">
        <v>79</v>
      </c>
      <c r="V194" s="241">
        <v>44</v>
      </c>
      <c r="W194" s="241">
        <v>1</v>
      </c>
      <c r="X194" s="256">
        <v>0.61414668724683197</v>
      </c>
      <c r="Y194" s="256">
        <v>0.14555351130480843</v>
      </c>
      <c r="Z194" s="256">
        <v>1.3258193549420931</v>
      </c>
      <c r="AA194" s="256">
        <v>3.6152773492239159</v>
      </c>
      <c r="AB194" s="257">
        <v>2100</v>
      </c>
      <c r="AC194" s="257">
        <v>10065.729834478107</v>
      </c>
      <c r="AD194" s="257">
        <v>6181.8346325663315</v>
      </c>
      <c r="AE194" s="257">
        <v>899.78773707569974</v>
      </c>
      <c r="AF194" s="257">
        <v>1000</v>
      </c>
      <c r="AG194" s="257">
        <v>1000</v>
      </c>
      <c r="AH194" s="257">
        <v>614.14668724683202</v>
      </c>
      <c r="AI194" s="258">
        <v>89.391206784992406</v>
      </c>
    </row>
    <row r="195" spans="1:35" x14ac:dyDescent="0.25">
      <c r="A195" s="143">
        <v>2073</v>
      </c>
      <c r="B195" s="143">
        <v>89</v>
      </c>
      <c r="C195" s="143">
        <v>54</v>
      </c>
      <c r="D195" s="143">
        <v>1</v>
      </c>
      <c r="E195" s="144">
        <v>0.31092433288219679</v>
      </c>
      <c r="F195" s="144">
        <v>8.9357229689416617E-2</v>
      </c>
      <c r="G195" s="144">
        <v>1.4428510935752528</v>
      </c>
      <c r="H195" s="144">
        <v>4.8586304454938212</v>
      </c>
      <c r="I195" s="145">
        <v>2100</v>
      </c>
      <c r="J195" s="145">
        <v>14721.588528273434</v>
      </c>
      <c r="K195" s="145">
        <v>4577.300092119619</v>
      </c>
      <c r="L195" s="145">
        <v>409.01485568892065</v>
      </c>
      <c r="M195" s="145">
        <v>1000</v>
      </c>
      <c r="N195" s="145">
        <v>1000</v>
      </c>
      <c r="O195" s="145">
        <v>310.92433288219678</v>
      </c>
      <c r="P195" s="145">
        <v>27.783337029383091</v>
      </c>
      <c r="Q195" s="1"/>
      <c r="R195" s="150"/>
      <c r="T195" s="255">
        <v>2064</v>
      </c>
      <c r="U195" s="241">
        <v>80</v>
      </c>
      <c r="V195" s="241">
        <v>45</v>
      </c>
      <c r="W195" s="241">
        <v>1</v>
      </c>
      <c r="X195" s="256">
        <v>0.58917743669067546</v>
      </c>
      <c r="Y195" s="256">
        <v>0.13862239171886517</v>
      </c>
      <c r="Z195" s="256">
        <v>1.3457066452662243</v>
      </c>
      <c r="AA195" s="256">
        <v>3.7237356697006336</v>
      </c>
      <c r="AB195" s="257">
        <v>2100</v>
      </c>
      <c r="AC195" s="257">
        <v>10523.217255455134</v>
      </c>
      <c r="AD195" s="257">
        <v>6200.0421683081413</v>
      </c>
      <c r="AE195" s="257">
        <v>859.46467412869333</v>
      </c>
      <c r="AF195" s="257">
        <v>1000</v>
      </c>
      <c r="AG195" s="257">
        <v>1000</v>
      </c>
      <c r="AH195" s="257">
        <v>589.17743669067545</v>
      </c>
      <c r="AI195" s="258">
        <v>81.673185420851695</v>
      </c>
    </row>
    <row r="196" spans="1:35" x14ac:dyDescent="0.25">
      <c r="A196" s="143">
        <v>2074</v>
      </c>
      <c r="B196" s="143">
        <v>90</v>
      </c>
      <c r="C196" s="143">
        <v>55</v>
      </c>
      <c r="D196" s="143">
        <v>1</v>
      </c>
      <c r="E196" s="144">
        <v>0.27786614903500484</v>
      </c>
      <c r="F196" s="144">
        <v>8.5102123513730102E-2</v>
      </c>
      <c r="G196" s="144">
        <v>1.4500653490431288</v>
      </c>
      <c r="H196" s="144">
        <v>5.0043893588586359</v>
      </c>
      <c r="I196" s="145">
        <v>2100</v>
      </c>
      <c r="J196" s="145">
        <v>15239.05236504224</v>
      </c>
      <c r="K196" s="145">
        <v>4234.4167956170704</v>
      </c>
      <c r="L196" s="145">
        <v>360.35786114921717</v>
      </c>
      <c r="M196" s="145">
        <v>1000</v>
      </c>
      <c r="N196" s="145">
        <v>1000</v>
      </c>
      <c r="O196" s="145">
        <v>277.86614903500487</v>
      </c>
      <c r="P196" s="145">
        <v>23.646999335461519</v>
      </c>
      <c r="Q196" s="1"/>
      <c r="R196" s="150"/>
      <c r="T196" s="255">
        <v>2065</v>
      </c>
      <c r="U196" s="241">
        <v>81</v>
      </c>
      <c r="V196" s="241">
        <v>46</v>
      </c>
      <c r="W196" s="241">
        <v>1</v>
      </c>
      <c r="X196" s="256">
        <v>0.5625186945210614</v>
      </c>
      <c r="Y196" s="256">
        <v>0.13202132544653825</v>
      </c>
      <c r="Z196" s="256">
        <v>1.3591637117188866</v>
      </c>
      <c r="AA196" s="256">
        <v>3.8354477397916527</v>
      </c>
      <c r="AB196" s="257">
        <v>2100</v>
      </c>
      <c r="AC196" s="257">
        <v>10947.302910849978</v>
      </c>
      <c r="AD196" s="257">
        <v>6158.0625419379448</v>
      </c>
      <c r="AE196" s="257">
        <v>812.99557896932595</v>
      </c>
      <c r="AF196" s="257">
        <v>1000</v>
      </c>
      <c r="AG196" s="257">
        <v>1000</v>
      </c>
      <c r="AH196" s="257">
        <v>562.51869452106143</v>
      </c>
      <c r="AI196" s="258">
        <v>74.264463639126888</v>
      </c>
    </row>
    <row r="197" spans="1:35" x14ac:dyDescent="0.25">
      <c r="A197" s="5"/>
      <c r="B197" s="5"/>
      <c r="C197" s="5"/>
      <c r="D197" s="5"/>
      <c r="E197" s="5"/>
      <c r="F197" s="5"/>
      <c r="G197" s="5"/>
      <c r="H197" s="5"/>
      <c r="I197" s="5"/>
      <c r="J197" s="5"/>
      <c r="K197" s="5"/>
      <c r="L197" s="5"/>
      <c r="M197" s="5"/>
      <c r="N197" s="5"/>
      <c r="O197" s="5"/>
      <c r="P197" s="1"/>
      <c r="Q197" s="1"/>
      <c r="R197" s="150"/>
      <c r="T197" s="255">
        <v>2066</v>
      </c>
      <c r="U197" s="241">
        <v>82</v>
      </c>
      <c r="V197" s="241">
        <v>47</v>
      </c>
      <c r="W197" s="241">
        <v>1</v>
      </c>
      <c r="X197" s="256">
        <v>0.534314615711035</v>
      </c>
      <c r="Y197" s="256">
        <v>0.12573459566336975</v>
      </c>
      <c r="Z197" s="256">
        <v>1.3727553488360755</v>
      </c>
      <c r="AA197" s="256">
        <v>3.9505111719854025</v>
      </c>
      <c r="AB197" s="257">
        <v>2100</v>
      </c>
      <c r="AC197" s="257">
        <v>11388.479218157234</v>
      </c>
      <c r="AD197" s="257">
        <v>6085.0308969827911</v>
      </c>
      <c r="AE197" s="257">
        <v>765.09889943124335</v>
      </c>
      <c r="AF197" s="257">
        <v>1000</v>
      </c>
      <c r="AG197" s="257">
        <v>1000</v>
      </c>
      <c r="AH197" s="257">
        <v>534.314615711035</v>
      </c>
      <c r="AI197" s="258">
        <v>67.18183216345578</v>
      </c>
    </row>
    <row r="198" spans="1:35" x14ac:dyDescent="0.25">
      <c r="A198" s="147" t="s">
        <v>296</v>
      </c>
      <c r="B198" s="5"/>
      <c r="C198" s="5"/>
      <c r="D198" s="5"/>
      <c r="E198" s="5"/>
      <c r="F198" s="5"/>
      <c r="G198" s="5"/>
      <c r="H198" s="5"/>
      <c r="I198" s="5"/>
      <c r="J198" s="5"/>
      <c r="K198" s="5"/>
      <c r="L198" s="5"/>
      <c r="M198" s="5"/>
      <c r="N198" s="5"/>
      <c r="O198" s="5"/>
      <c r="P198" s="1"/>
      <c r="Q198" s="1"/>
      <c r="R198" s="150"/>
      <c r="T198" s="255">
        <v>2067</v>
      </c>
      <c r="U198" s="241">
        <v>83</v>
      </c>
      <c r="V198" s="241">
        <v>48</v>
      </c>
      <c r="W198" s="241">
        <v>1</v>
      </c>
      <c r="X198" s="256">
        <v>0.50475262858610526</v>
      </c>
      <c r="Y198" s="256">
        <v>0.11974723396511404</v>
      </c>
      <c r="Z198" s="256">
        <v>1.3864829023244363</v>
      </c>
      <c r="AA198" s="256">
        <v>4.0690265071449643</v>
      </c>
      <c r="AB198" s="257">
        <v>2100</v>
      </c>
      <c r="AC198" s="257">
        <v>11847.434930648969</v>
      </c>
      <c r="AD198" s="257">
        <v>5980.0239232479089</v>
      </c>
      <c r="AE198" s="257">
        <v>716.09132385414648</v>
      </c>
      <c r="AF198" s="257">
        <v>1000</v>
      </c>
      <c r="AG198" s="257">
        <v>1000</v>
      </c>
      <c r="AH198" s="257">
        <v>504.75262858610523</v>
      </c>
      <c r="AI198" s="258">
        <v>60.442731109806651</v>
      </c>
    </row>
    <row r="199" spans="1:35" ht="78.75" x14ac:dyDescent="0.25">
      <c r="A199" s="142" t="s">
        <v>183</v>
      </c>
      <c r="B199" s="142" t="s">
        <v>263</v>
      </c>
      <c r="C199" s="142" t="s">
        <v>264</v>
      </c>
      <c r="D199" s="142" t="s">
        <v>265</v>
      </c>
      <c r="E199" s="142" t="s">
        <v>266</v>
      </c>
      <c r="F199" s="142" t="s">
        <v>267</v>
      </c>
      <c r="G199" s="142" t="s">
        <v>268</v>
      </c>
      <c r="H199" s="142" t="s">
        <v>269</v>
      </c>
      <c r="I199" s="142" t="s">
        <v>270</v>
      </c>
      <c r="J199" s="142" t="s">
        <v>271</v>
      </c>
      <c r="K199" s="142" t="s">
        <v>272</v>
      </c>
      <c r="L199" s="142" t="s">
        <v>273</v>
      </c>
      <c r="M199" s="142" t="s">
        <v>274</v>
      </c>
      <c r="N199" s="142" t="s">
        <v>275</v>
      </c>
      <c r="O199" s="142" t="s">
        <v>276</v>
      </c>
      <c r="P199" s="142" t="s">
        <v>277</v>
      </c>
      <c r="Q199" s="1"/>
      <c r="R199" s="150"/>
      <c r="T199" s="255">
        <v>2068</v>
      </c>
      <c r="U199" s="241">
        <v>84</v>
      </c>
      <c r="V199" s="241">
        <v>49</v>
      </c>
      <c r="W199" s="241">
        <v>1</v>
      </c>
      <c r="X199" s="256">
        <v>0.47403099591910092</v>
      </c>
      <c r="Y199" s="256">
        <v>0.11404498472868004</v>
      </c>
      <c r="Z199" s="256">
        <v>1.4003477313476806</v>
      </c>
      <c r="AA199" s="256">
        <v>4.1910973023593137</v>
      </c>
      <c r="AB199" s="257">
        <v>2100</v>
      </c>
      <c r="AC199" s="257">
        <v>12324.886558354123</v>
      </c>
      <c r="AD199" s="257">
        <v>5842.3782498465453</v>
      </c>
      <c r="AE199" s="257">
        <v>666.29393828292166</v>
      </c>
      <c r="AF199" s="257">
        <v>1000</v>
      </c>
      <c r="AG199" s="257">
        <v>1000</v>
      </c>
      <c r="AH199" s="257">
        <v>474.03099591910092</v>
      </c>
      <c r="AI199" s="258">
        <v>54.060857690514851</v>
      </c>
    </row>
    <row r="200" spans="1:35" x14ac:dyDescent="0.25">
      <c r="A200" s="143">
        <v>2024</v>
      </c>
      <c r="B200" s="143">
        <v>40</v>
      </c>
      <c r="C200" s="143">
        <v>5</v>
      </c>
      <c r="D200" s="143">
        <v>0</v>
      </c>
      <c r="E200" s="144">
        <v>0</v>
      </c>
      <c r="F200" s="144">
        <v>0.97590007294853309</v>
      </c>
      <c r="G200" s="144">
        <v>0.47760556926165926</v>
      </c>
      <c r="H200" s="144">
        <v>1</v>
      </c>
      <c r="I200" s="145">
        <v>15000</v>
      </c>
      <c r="J200" s="145">
        <v>7164.0835389248887</v>
      </c>
      <c r="K200" s="145">
        <v>0</v>
      </c>
      <c r="L200" s="145">
        <v>0</v>
      </c>
      <c r="M200" s="148">
        <v>0.2</v>
      </c>
      <c r="N200" s="145">
        <v>1432.8167077849778</v>
      </c>
      <c r="O200" s="145">
        <v>0</v>
      </c>
      <c r="P200" s="145">
        <v>0</v>
      </c>
      <c r="Q200" s="1"/>
      <c r="R200" s="150"/>
      <c r="T200" s="255">
        <v>2069</v>
      </c>
      <c r="U200" s="241">
        <v>85</v>
      </c>
      <c r="V200" s="241">
        <v>50</v>
      </c>
      <c r="W200" s="241">
        <v>1</v>
      </c>
      <c r="X200" s="256">
        <v>0.44238966442216721</v>
      </c>
      <c r="Y200" s="256">
        <v>0.10861427117017146</v>
      </c>
      <c r="Z200" s="256">
        <v>1.4143512086611574</v>
      </c>
      <c r="AA200" s="256">
        <v>4.3168302214300933</v>
      </c>
      <c r="AB200" s="257">
        <v>2100</v>
      </c>
      <c r="AC200" s="257">
        <v>12821.579486655795</v>
      </c>
      <c r="AD200" s="257">
        <v>5672.1342464638001</v>
      </c>
      <c r="AE200" s="257">
        <v>616.07472715903532</v>
      </c>
      <c r="AF200" s="257">
        <v>1000</v>
      </c>
      <c r="AG200" s="257">
        <v>1000</v>
      </c>
      <c r="AH200" s="257">
        <v>442.38966442216719</v>
      </c>
      <c r="AI200" s="258">
        <v>48.049830974430421</v>
      </c>
    </row>
    <row r="201" spans="1:35" x14ac:dyDescent="0.25">
      <c r="A201" s="143">
        <v>2025</v>
      </c>
      <c r="B201" s="143">
        <v>41</v>
      </c>
      <c r="C201" s="143">
        <v>6</v>
      </c>
      <c r="D201" s="143">
        <v>0</v>
      </c>
      <c r="E201" s="144">
        <v>0</v>
      </c>
      <c r="F201" s="144">
        <v>0.92942864090336486</v>
      </c>
      <c r="G201" s="144">
        <v>0.49193373633950904</v>
      </c>
      <c r="H201" s="144">
        <v>1.0549999999999999</v>
      </c>
      <c r="I201" s="145">
        <v>15000</v>
      </c>
      <c r="J201" s="145">
        <v>7784.8513775727297</v>
      </c>
      <c r="K201" s="145">
        <v>0</v>
      </c>
      <c r="L201" s="145">
        <v>0</v>
      </c>
      <c r="M201" s="148">
        <v>0.2</v>
      </c>
      <c r="N201" s="145">
        <v>1556.9702755145461</v>
      </c>
      <c r="O201" s="145">
        <v>0</v>
      </c>
      <c r="P201" s="145">
        <v>0</v>
      </c>
      <c r="Q201" s="1"/>
      <c r="R201" s="150"/>
      <c r="T201" s="255">
        <v>2070</v>
      </c>
      <c r="U201" s="241">
        <v>86</v>
      </c>
      <c r="V201" s="241">
        <v>51</v>
      </c>
      <c r="W201" s="241">
        <v>1</v>
      </c>
      <c r="X201" s="256">
        <v>0.41003829342478615</v>
      </c>
      <c r="Y201" s="256">
        <v>0.10344216301921091</v>
      </c>
      <c r="Z201" s="256">
        <v>1.4214229647044629</v>
      </c>
      <c r="AA201" s="256">
        <v>4.4463351280729961</v>
      </c>
      <c r="AB201" s="257">
        <v>2100</v>
      </c>
      <c r="AC201" s="257">
        <v>13272.258005611744</v>
      </c>
      <c r="AD201" s="257">
        <v>5442.134022514495</v>
      </c>
      <c r="AE201" s="257">
        <v>562.94611472933843</v>
      </c>
      <c r="AF201" s="257">
        <v>1000</v>
      </c>
      <c r="AG201" s="257">
        <v>1000</v>
      </c>
      <c r="AH201" s="257">
        <v>410.03829342478616</v>
      </c>
      <c r="AI201" s="258">
        <v>42.415247992565767</v>
      </c>
    </row>
    <row r="202" spans="1:35" x14ac:dyDescent="0.25">
      <c r="A202" s="143">
        <v>2026</v>
      </c>
      <c r="B202" s="143">
        <v>42</v>
      </c>
      <c r="C202" s="143">
        <v>7</v>
      </c>
      <c r="D202" s="143">
        <v>0</v>
      </c>
      <c r="E202" s="144">
        <v>0</v>
      </c>
      <c r="F202" s="144">
        <v>0.88517013419368074</v>
      </c>
      <c r="G202" s="144">
        <v>0.50669174842969433</v>
      </c>
      <c r="H202" s="144">
        <v>1.1103874999999999</v>
      </c>
      <c r="I202" s="145">
        <v>15000</v>
      </c>
      <c r="J202" s="145">
        <v>8439.3627571421566</v>
      </c>
      <c r="K202" s="145">
        <v>0</v>
      </c>
      <c r="L202" s="145">
        <v>0</v>
      </c>
      <c r="M202" s="148">
        <v>0.2</v>
      </c>
      <c r="N202" s="145">
        <v>1687.8725514284315</v>
      </c>
      <c r="O202" s="145">
        <v>0</v>
      </c>
      <c r="P202" s="145">
        <v>0</v>
      </c>
      <c r="Q202" s="1"/>
      <c r="R202" s="150"/>
      <c r="T202" s="255">
        <v>2071</v>
      </c>
      <c r="U202" s="241">
        <v>87</v>
      </c>
      <c r="V202" s="241">
        <v>52</v>
      </c>
      <c r="W202" s="241">
        <v>1</v>
      </c>
      <c r="X202" s="256">
        <v>0.37719232451930973</v>
      </c>
      <c r="Y202" s="256">
        <v>9.851634573258182E-2</v>
      </c>
      <c r="Z202" s="256">
        <v>1.4285300795279852</v>
      </c>
      <c r="AA202" s="256">
        <v>4.5797251819151858</v>
      </c>
      <c r="AB202" s="257">
        <v>2100</v>
      </c>
      <c r="AC202" s="257">
        <v>13738.777874508996</v>
      </c>
      <c r="AD202" s="257">
        <v>5182.1615625405093</v>
      </c>
      <c r="AE202" s="257">
        <v>510.52762013733724</v>
      </c>
      <c r="AF202" s="257">
        <v>1000</v>
      </c>
      <c r="AG202" s="257">
        <v>1000</v>
      </c>
      <c r="AH202" s="257">
        <v>377.19232451930975</v>
      </c>
      <c r="AI202" s="258">
        <v>37.159609450020518</v>
      </c>
    </row>
    <row r="203" spans="1:35" x14ac:dyDescent="0.25">
      <c r="A203" s="143">
        <v>2027</v>
      </c>
      <c r="B203" s="143">
        <v>43</v>
      </c>
      <c r="C203" s="143">
        <v>8</v>
      </c>
      <c r="D203" s="143">
        <v>0</v>
      </c>
      <c r="E203" s="144">
        <v>0</v>
      </c>
      <c r="F203" s="144">
        <v>0.843019175422553</v>
      </c>
      <c r="G203" s="144">
        <v>0.52189250088258521</v>
      </c>
      <c r="H203" s="144">
        <v>1.1659068749999999</v>
      </c>
      <c r="I203" s="145">
        <v>15000</v>
      </c>
      <c r="J203" s="145">
        <v>9127.170821849244</v>
      </c>
      <c r="K203" s="145">
        <v>0</v>
      </c>
      <c r="L203" s="145">
        <v>0</v>
      </c>
      <c r="M203" s="148">
        <v>0.2</v>
      </c>
      <c r="N203" s="145">
        <v>1825.434164369849</v>
      </c>
      <c r="O203" s="145">
        <v>0</v>
      </c>
      <c r="P203" s="145">
        <v>0</v>
      </c>
      <c r="Q203" s="1"/>
      <c r="R203" s="150"/>
      <c r="T203" s="255">
        <v>2072</v>
      </c>
      <c r="U203" s="241">
        <v>88</v>
      </c>
      <c r="V203" s="241">
        <v>53</v>
      </c>
      <c r="W203" s="241">
        <v>1</v>
      </c>
      <c r="X203" s="256">
        <v>0.34410318346216362</v>
      </c>
      <c r="Y203" s="256">
        <v>9.3825091173887445E-2</v>
      </c>
      <c r="Z203" s="256">
        <v>1.4356727299256249</v>
      </c>
      <c r="AA203" s="256">
        <v>4.7171169373726416</v>
      </c>
      <c r="AB203" s="257">
        <v>2100</v>
      </c>
      <c r="AC203" s="257">
        <v>14221.695916797986</v>
      </c>
      <c r="AD203" s="257">
        <v>4893.7308392010409</v>
      </c>
      <c r="AE203" s="257">
        <v>459.15474216850237</v>
      </c>
      <c r="AF203" s="257">
        <v>1000</v>
      </c>
      <c r="AG203" s="257">
        <v>1000</v>
      </c>
      <c r="AH203" s="257">
        <v>344.1031834621636</v>
      </c>
      <c r="AI203" s="258">
        <v>32.28551256156242</v>
      </c>
    </row>
    <row r="204" spans="1:35" x14ac:dyDescent="0.25">
      <c r="A204" s="143">
        <v>2028</v>
      </c>
      <c r="B204" s="143">
        <v>44</v>
      </c>
      <c r="C204" s="143">
        <v>9</v>
      </c>
      <c r="D204" s="143">
        <v>0</v>
      </c>
      <c r="E204" s="144">
        <v>0</v>
      </c>
      <c r="F204" s="144">
        <v>0.8028754051643362</v>
      </c>
      <c r="G204" s="144">
        <v>0.53754927590906276</v>
      </c>
      <c r="H204" s="144">
        <v>1.2212874515624998</v>
      </c>
      <c r="I204" s="145">
        <v>15000</v>
      </c>
      <c r="J204" s="145">
        <v>9847.5327789636958</v>
      </c>
      <c r="K204" s="145">
        <v>0</v>
      </c>
      <c r="L204" s="145">
        <v>0</v>
      </c>
      <c r="M204" s="148">
        <v>0.2</v>
      </c>
      <c r="N204" s="145">
        <v>1969.5065557927392</v>
      </c>
      <c r="O204" s="145">
        <v>0</v>
      </c>
      <c r="P204" s="145">
        <v>0</v>
      </c>
      <c r="Q204" s="1"/>
      <c r="R204" s="150"/>
      <c r="T204" s="255">
        <v>2073</v>
      </c>
      <c r="U204" s="241">
        <v>89</v>
      </c>
      <c r="V204" s="241">
        <v>54</v>
      </c>
      <c r="W204" s="241">
        <v>1</v>
      </c>
      <c r="X204" s="256">
        <v>0.31092433288219679</v>
      </c>
      <c r="Y204" s="256">
        <v>8.9357229689416617E-2</v>
      </c>
      <c r="Z204" s="256">
        <v>1.4428510935752528</v>
      </c>
      <c r="AA204" s="256">
        <v>4.8586304454938212</v>
      </c>
      <c r="AB204" s="257">
        <v>2100</v>
      </c>
      <c r="AC204" s="257">
        <v>14721.588528273434</v>
      </c>
      <c r="AD204" s="257">
        <v>4577.300092119619</v>
      </c>
      <c r="AE204" s="257">
        <v>409.01485568892065</v>
      </c>
      <c r="AF204" s="257">
        <v>1000</v>
      </c>
      <c r="AG204" s="257">
        <v>1000</v>
      </c>
      <c r="AH204" s="257">
        <v>310.92433288219678</v>
      </c>
      <c r="AI204" s="258">
        <v>27.783337029383091</v>
      </c>
    </row>
    <row r="205" spans="1:35" x14ac:dyDescent="0.25">
      <c r="A205" s="143">
        <v>2029</v>
      </c>
      <c r="B205" s="143">
        <v>45</v>
      </c>
      <c r="C205" s="143">
        <v>10</v>
      </c>
      <c r="D205" s="143">
        <v>0</v>
      </c>
      <c r="E205" s="144">
        <v>0</v>
      </c>
      <c r="F205" s="144">
        <v>0.7646432430136535</v>
      </c>
      <c r="G205" s="144">
        <v>0.55367575418633463</v>
      </c>
      <c r="H205" s="144">
        <v>1.2762453868828123</v>
      </c>
      <c r="I205" s="145">
        <v>15000</v>
      </c>
      <c r="J205" s="145">
        <v>10599.391906637573</v>
      </c>
      <c r="K205" s="145">
        <v>0</v>
      </c>
      <c r="L205" s="145">
        <v>0</v>
      </c>
      <c r="M205" s="148">
        <v>0.2</v>
      </c>
      <c r="N205" s="145">
        <v>2119.8783813275145</v>
      </c>
      <c r="O205" s="145">
        <v>0</v>
      </c>
      <c r="P205" s="145">
        <v>0</v>
      </c>
      <c r="Q205" s="1"/>
      <c r="R205" s="150"/>
      <c r="T205" s="259">
        <v>2074</v>
      </c>
      <c r="U205" s="260">
        <v>90</v>
      </c>
      <c r="V205" s="260">
        <v>55</v>
      </c>
      <c r="W205" s="260">
        <v>1</v>
      </c>
      <c r="X205" s="261">
        <v>0.27786614903500484</v>
      </c>
      <c r="Y205" s="261">
        <v>8.5102123513730102E-2</v>
      </c>
      <c r="Z205" s="261">
        <v>1.4500653490431288</v>
      </c>
      <c r="AA205" s="261">
        <v>5.0043893588586359</v>
      </c>
      <c r="AB205" s="262">
        <v>2100</v>
      </c>
      <c r="AC205" s="262">
        <v>15239.05236504224</v>
      </c>
      <c r="AD205" s="262">
        <v>4234.4167956170704</v>
      </c>
      <c r="AE205" s="262">
        <v>360.35786114921717</v>
      </c>
      <c r="AF205" s="262">
        <v>1000</v>
      </c>
      <c r="AG205" s="262">
        <v>1000</v>
      </c>
      <c r="AH205" s="262">
        <v>277.86614903500487</v>
      </c>
      <c r="AI205" s="263">
        <v>23.646999335461519</v>
      </c>
    </row>
    <row r="206" spans="1:35" x14ac:dyDescent="0.25">
      <c r="A206" s="143">
        <v>2030</v>
      </c>
      <c r="B206" s="143">
        <v>46</v>
      </c>
      <c r="C206" s="143">
        <v>11</v>
      </c>
      <c r="D206" s="143">
        <v>0</v>
      </c>
      <c r="E206" s="144">
        <v>0</v>
      </c>
      <c r="F206" s="144">
        <v>0.72823166001300332</v>
      </c>
      <c r="G206" s="144">
        <v>0.57028602681192464</v>
      </c>
      <c r="H206" s="144">
        <v>1.3304858158253319</v>
      </c>
      <c r="I206" s="145">
        <v>15000</v>
      </c>
      <c r="J206" s="145">
        <v>11381.362044549758</v>
      </c>
      <c r="K206" s="145">
        <v>0</v>
      </c>
      <c r="L206" s="145">
        <v>0</v>
      </c>
      <c r="M206" s="148">
        <v>0.2</v>
      </c>
      <c r="N206" s="145">
        <v>2276.2724089099515</v>
      </c>
      <c r="O206" s="145">
        <v>0</v>
      </c>
      <c r="P206" s="145">
        <v>0</v>
      </c>
      <c r="Q206" s="1"/>
      <c r="R206" s="150"/>
      <c r="S206" s="241"/>
      <c r="T206" s="241"/>
      <c r="U206" s="241"/>
      <c r="V206" s="241"/>
      <c r="W206" s="241"/>
      <c r="X206" s="241"/>
      <c r="Y206" s="241"/>
      <c r="Z206" s="241"/>
      <c r="AA206" s="241"/>
      <c r="AB206" s="241"/>
      <c r="AC206" s="241"/>
      <c r="AD206" s="241"/>
      <c r="AE206" s="241"/>
      <c r="AF206" s="241"/>
      <c r="AG206" s="241"/>
      <c r="AH206" s="241"/>
    </row>
    <row r="207" spans="1:35" x14ac:dyDescent="0.25">
      <c r="A207" s="143">
        <v>2031</v>
      </c>
      <c r="B207" s="143">
        <v>47</v>
      </c>
      <c r="C207" s="143">
        <v>12</v>
      </c>
      <c r="D207" s="143">
        <v>0</v>
      </c>
      <c r="E207" s="144">
        <v>0</v>
      </c>
      <c r="F207" s="144">
        <v>0.69355396191714602</v>
      </c>
      <c r="G207" s="144">
        <v>0.58739460761628237</v>
      </c>
      <c r="H207" s="144">
        <v>1.3837052484583452</v>
      </c>
      <c r="I207" s="145">
        <v>15000</v>
      </c>
      <c r="J207" s="145">
        <v>12191.715022121702</v>
      </c>
      <c r="K207" s="145">
        <v>0</v>
      </c>
      <c r="L207" s="145">
        <v>0</v>
      </c>
      <c r="M207" s="148">
        <v>0.2</v>
      </c>
      <c r="N207" s="145">
        <v>2438.3430044243405</v>
      </c>
      <c r="O207" s="145">
        <v>0</v>
      </c>
      <c r="P207" s="145">
        <v>0</v>
      </c>
      <c r="Q207" s="1"/>
      <c r="R207" s="150"/>
      <c r="S207" s="241"/>
      <c r="T207" s="240" t="s">
        <v>414</v>
      </c>
      <c r="U207" s="241"/>
      <c r="V207" s="241"/>
      <c r="W207" s="241"/>
      <c r="X207" s="241"/>
      <c r="Y207" s="241"/>
      <c r="Z207" s="241"/>
      <c r="AA207" s="241"/>
      <c r="AB207" s="241"/>
      <c r="AC207" s="241"/>
      <c r="AD207" s="241"/>
      <c r="AE207" s="241"/>
      <c r="AF207" s="241"/>
      <c r="AG207" s="241"/>
      <c r="AH207" s="241"/>
    </row>
    <row r="208" spans="1:35" ht="90" x14ac:dyDescent="0.25">
      <c r="A208" s="143">
        <v>2032</v>
      </c>
      <c r="B208" s="143">
        <v>48</v>
      </c>
      <c r="C208" s="143">
        <v>13</v>
      </c>
      <c r="D208" s="143">
        <v>0</v>
      </c>
      <c r="E208" s="144">
        <v>0</v>
      </c>
      <c r="F208" s="144">
        <v>0.66052758277823431</v>
      </c>
      <c r="G208" s="144">
        <v>0.60501644584477088</v>
      </c>
      <c r="H208" s="144">
        <v>1.4355941952755333</v>
      </c>
      <c r="I208" s="145">
        <v>15000</v>
      </c>
      <c r="J208" s="145">
        <v>13028.371465514807</v>
      </c>
      <c r="K208" s="145">
        <v>0</v>
      </c>
      <c r="L208" s="145">
        <v>0</v>
      </c>
      <c r="M208" s="148">
        <v>0.2</v>
      </c>
      <c r="N208" s="145">
        <v>2605.6742931029617</v>
      </c>
      <c r="O208" s="145">
        <v>0</v>
      </c>
      <c r="P208" s="145">
        <v>0</v>
      </c>
      <c r="Q208" s="1"/>
      <c r="R208" s="150"/>
      <c r="T208" s="251" t="s">
        <v>183</v>
      </c>
      <c r="U208" s="252" t="s">
        <v>263</v>
      </c>
      <c r="V208" s="252" t="s">
        <v>264</v>
      </c>
      <c r="W208" s="252" t="s">
        <v>265</v>
      </c>
      <c r="X208" s="253" t="s">
        <v>266</v>
      </c>
      <c r="Y208" s="252" t="s">
        <v>267</v>
      </c>
      <c r="Z208" s="252" t="s">
        <v>268</v>
      </c>
      <c r="AA208" s="252" t="s">
        <v>269</v>
      </c>
      <c r="AB208" s="252" t="s">
        <v>270</v>
      </c>
      <c r="AC208" s="252" t="s">
        <v>271</v>
      </c>
      <c r="AD208" s="252" t="s">
        <v>272</v>
      </c>
      <c r="AE208" s="252" t="s">
        <v>273</v>
      </c>
      <c r="AF208" s="252" t="s">
        <v>274</v>
      </c>
      <c r="AG208" s="252" t="s">
        <v>275</v>
      </c>
      <c r="AH208" s="252" t="s">
        <v>276</v>
      </c>
      <c r="AI208" s="254" t="s">
        <v>277</v>
      </c>
    </row>
    <row r="209" spans="1:35" x14ac:dyDescent="0.25">
      <c r="A209" s="143">
        <v>2033</v>
      </c>
      <c r="B209" s="143">
        <v>49</v>
      </c>
      <c r="C209" s="143">
        <v>14</v>
      </c>
      <c r="D209" s="143">
        <v>0</v>
      </c>
      <c r="E209" s="144">
        <v>0</v>
      </c>
      <c r="F209" s="144">
        <v>0.62907388836022315</v>
      </c>
      <c r="G209" s="144">
        <v>0.62316693922011401</v>
      </c>
      <c r="H209" s="144">
        <v>1.4858399921101768</v>
      </c>
      <c r="I209" s="145">
        <v>15000</v>
      </c>
      <c r="J209" s="145">
        <v>13888.895400812058</v>
      </c>
      <c r="K209" s="145">
        <v>0</v>
      </c>
      <c r="L209" s="145">
        <v>0</v>
      </c>
      <c r="M209" s="148">
        <v>0.2</v>
      </c>
      <c r="N209" s="145">
        <v>2777.7790801624119</v>
      </c>
      <c r="O209" s="145">
        <v>0</v>
      </c>
      <c r="P209" s="145">
        <v>0</v>
      </c>
      <c r="Q209" s="1"/>
      <c r="R209" s="150"/>
      <c r="T209" s="255">
        <v>2024</v>
      </c>
      <c r="U209" s="241">
        <v>40</v>
      </c>
      <c r="V209" s="241">
        <v>5</v>
      </c>
      <c r="W209" s="241">
        <v>0</v>
      </c>
      <c r="X209" s="256">
        <v>0</v>
      </c>
      <c r="Y209" s="256">
        <v>0.97590007294853309</v>
      </c>
      <c r="Z209" s="256">
        <v>0.47760556926165926</v>
      </c>
      <c r="AA209" s="256">
        <v>1</v>
      </c>
      <c r="AB209" s="257">
        <v>15000</v>
      </c>
      <c r="AC209" s="257">
        <v>7164.0835389248887</v>
      </c>
      <c r="AD209" s="257">
        <v>0</v>
      </c>
      <c r="AE209" s="257">
        <v>0</v>
      </c>
      <c r="AF209" s="264">
        <v>0.2</v>
      </c>
      <c r="AG209" s="257">
        <v>1432.8167077849778</v>
      </c>
      <c r="AH209" s="257">
        <v>0</v>
      </c>
      <c r="AI209" s="258">
        <v>0</v>
      </c>
    </row>
    <row r="210" spans="1:35" x14ac:dyDescent="0.25">
      <c r="A210" s="143">
        <v>2034</v>
      </c>
      <c r="B210" s="143">
        <v>50</v>
      </c>
      <c r="C210" s="143">
        <v>15</v>
      </c>
      <c r="D210" s="143">
        <v>0</v>
      </c>
      <c r="E210" s="144">
        <v>0</v>
      </c>
      <c r="F210" s="144">
        <v>0.59911798891449819</v>
      </c>
      <c r="G210" s="144">
        <v>0.64186194739671742</v>
      </c>
      <c r="H210" s="144">
        <v>1.5341297918537575</v>
      </c>
      <c r="I210" s="145">
        <v>15000</v>
      </c>
      <c r="J210" s="145">
        <v>14770.493036378604</v>
      </c>
      <c r="K210" s="145">
        <v>0</v>
      </c>
      <c r="L210" s="145">
        <v>0</v>
      </c>
      <c r="M210" s="148">
        <v>0.2</v>
      </c>
      <c r="N210" s="145">
        <v>2954.098607275721</v>
      </c>
      <c r="O210" s="145">
        <v>0</v>
      </c>
      <c r="P210" s="145">
        <v>0</v>
      </c>
      <c r="Q210" s="1"/>
      <c r="R210" s="150"/>
      <c r="T210" s="255">
        <v>2025</v>
      </c>
      <c r="U210" s="241">
        <v>41</v>
      </c>
      <c r="V210" s="241">
        <v>6</v>
      </c>
      <c r="W210" s="241">
        <v>0</v>
      </c>
      <c r="X210" s="256">
        <v>0</v>
      </c>
      <c r="Y210" s="256">
        <v>0.92942864090336486</v>
      </c>
      <c r="Z210" s="256">
        <v>0.49193373633950904</v>
      </c>
      <c r="AA210" s="256">
        <v>1.0549999999999999</v>
      </c>
      <c r="AB210" s="257">
        <v>15000</v>
      </c>
      <c r="AC210" s="257">
        <v>7784.8513775727297</v>
      </c>
      <c r="AD210" s="257">
        <v>0</v>
      </c>
      <c r="AE210" s="257">
        <v>0</v>
      </c>
      <c r="AF210" s="264">
        <v>0.2</v>
      </c>
      <c r="AG210" s="257">
        <v>1556.9702755145461</v>
      </c>
      <c r="AH210" s="257">
        <v>0</v>
      </c>
      <c r="AI210" s="258">
        <v>0</v>
      </c>
    </row>
    <row r="211" spans="1:35" x14ac:dyDescent="0.25">
      <c r="A211" s="143">
        <v>2035</v>
      </c>
      <c r="B211" s="143">
        <v>51</v>
      </c>
      <c r="C211" s="143">
        <v>16</v>
      </c>
      <c r="D211" s="143">
        <v>0</v>
      </c>
      <c r="E211" s="144">
        <v>0</v>
      </c>
      <c r="F211" s="144">
        <v>0.57058856087095067</v>
      </c>
      <c r="G211" s="144">
        <v>0.66111780581861901</v>
      </c>
      <c r="H211" s="144">
        <v>1.5801536856093703</v>
      </c>
      <c r="I211" s="145">
        <v>15000</v>
      </c>
      <c r="J211" s="145">
        <v>15670.016062294062</v>
      </c>
      <c r="K211" s="145">
        <v>0</v>
      </c>
      <c r="L211" s="145">
        <v>0</v>
      </c>
      <c r="M211" s="148">
        <v>0.2</v>
      </c>
      <c r="N211" s="145">
        <v>3134.0032124588124</v>
      </c>
      <c r="O211" s="145">
        <v>0</v>
      </c>
      <c r="P211" s="145">
        <v>0</v>
      </c>
      <c r="Q211" s="1"/>
      <c r="R211" s="150"/>
      <c r="T211" s="255">
        <v>2026</v>
      </c>
      <c r="U211" s="241">
        <v>42</v>
      </c>
      <c r="V211" s="241">
        <v>7</v>
      </c>
      <c r="W211" s="241">
        <v>0</v>
      </c>
      <c r="X211" s="256">
        <v>0</v>
      </c>
      <c r="Y211" s="256">
        <v>0.88517013419368074</v>
      </c>
      <c r="Z211" s="256">
        <v>0.50669174842969433</v>
      </c>
      <c r="AA211" s="256">
        <v>1.1103874999999999</v>
      </c>
      <c r="AB211" s="257">
        <v>15000</v>
      </c>
      <c r="AC211" s="257">
        <v>8439.3627571421566</v>
      </c>
      <c r="AD211" s="257">
        <v>0</v>
      </c>
      <c r="AE211" s="257">
        <v>0</v>
      </c>
      <c r="AF211" s="264">
        <v>0.2</v>
      </c>
      <c r="AG211" s="257">
        <v>1687.8725514284315</v>
      </c>
      <c r="AH211" s="257">
        <v>0</v>
      </c>
      <c r="AI211" s="258">
        <v>0</v>
      </c>
    </row>
    <row r="212" spans="1:35" x14ac:dyDescent="0.25">
      <c r="A212" s="143">
        <v>2036</v>
      </c>
      <c r="B212" s="143">
        <v>52</v>
      </c>
      <c r="C212" s="143">
        <v>17</v>
      </c>
      <c r="D212" s="143">
        <v>0</v>
      </c>
      <c r="E212" s="144">
        <v>0</v>
      </c>
      <c r="F212" s="144">
        <v>0.54341767701995303</v>
      </c>
      <c r="G212" s="144">
        <v>0.68095133999317758</v>
      </c>
      <c r="H212" s="144">
        <v>1.6275582961776514</v>
      </c>
      <c r="I212" s="145">
        <v>15000</v>
      </c>
      <c r="J212" s="145">
        <v>16624.320040487772</v>
      </c>
      <c r="K212" s="145">
        <v>0</v>
      </c>
      <c r="L212" s="145">
        <v>0</v>
      </c>
      <c r="M212" s="148">
        <v>0.2</v>
      </c>
      <c r="N212" s="145">
        <v>3324.8640080975547</v>
      </c>
      <c r="O212" s="145">
        <v>0</v>
      </c>
      <c r="P212" s="145">
        <v>0</v>
      </c>
      <c r="Q212" s="1"/>
      <c r="R212" s="150"/>
      <c r="T212" s="255">
        <v>2027</v>
      </c>
      <c r="U212" s="241">
        <v>43</v>
      </c>
      <c r="V212" s="241">
        <v>8</v>
      </c>
      <c r="W212" s="241">
        <v>0</v>
      </c>
      <c r="X212" s="256">
        <v>0</v>
      </c>
      <c r="Y212" s="256">
        <v>0.843019175422553</v>
      </c>
      <c r="Z212" s="256">
        <v>0.52189250088258521</v>
      </c>
      <c r="AA212" s="256">
        <v>1.1659068749999999</v>
      </c>
      <c r="AB212" s="257">
        <v>15000</v>
      </c>
      <c r="AC212" s="257">
        <v>9127.170821849244</v>
      </c>
      <c r="AD212" s="257">
        <v>0</v>
      </c>
      <c r="AE212" s="257">
        <v>0</v>
      </c>
      <c r="AF212" s="264">
        <v>0.2</v>
      </c>
      <c r="AG212" s="257">
        <v>1825.434164369849</v>
      </c>
      <c r="AH212" s="257">
        <v>0</v>
      </c>
      <c r="AI212" s="258">
        <v>0</v>
      </c>
    </row>
    <row r="213" spans="1:35" x14ac:dyDescent="0.25">
      <c r="A213" s="143">
        <v>2037</v>
      </c>
      <c r="B213" s="143">
        <v>53</v>
      </c>
      <c r="C213" s="143">
        <v>18</v>
      </c>
      <c r="D213" s="143">
        <v>0</v>
      </c>
      <c r="E213" s="144">
        <v>0</v>
      </c>
      <c r="F213" s="144">
        <v>0.51754064478090767</v>
      </c>
      <c r="G213" s="144">
        <v>0.70137988019297293</v>
      </c>
      <c r="H213" s="144">
        <v>1.6763850450629809</v>
      </c>
      <c r="I213" s="145">
        <v>15000</v>
      </c>
      <c r="J213" s="145">
        <v>17636.741130953476</v>
      </c>
      <c r="K213" s="145">
        <v>0</v>
      </c>
      <c r="L213" s="145">
        <v>0</v>
      </c>
      <c r="M213" s="148">
        <v>0.2</v>
      </c>
      <c r="N213" s="145">
        <v>3527.3482261906956</v>
      </c>
      <c r="O213" s="145">
        <v>0</v>
      </c>
      <c r="P213" s="145">
        <v>0</v>
      </c>
      <c r="Q213" s="1"/>
      <c r="R213" s="150"/>
      <c r="T213" s="255">
        <v>2028</v>
      </c>
      <c r="U213" s="241">
        <v>44</v>
      </c>
      <c r="V213" s="241">
        <v>9</v>
      </c>
      <c r="W213" s="241">
        <v>0</v>
      </c>
      <c r="X213" s="256">
        <v>0</v>
      </c>
      <c r="Y213" s="256">
        <v>0.8028754051643362</v>
      </c>
      <c r="Z213" s="256">
        <v>0.53754927590906276</v>
      </c>
      <c r="AA213" s="256">
        <v>1.2212874515624998</v>
      </c>
      <c r="AB213" s="257">
        <v>15000</v>
      </c>
      <c r="AC213" s="257">
        <v>9847.5327789636958</v>
      </c>
      <c r="AD213" s="257">
        <v>0</v>
      </c>
      <c r="AE213" s="257">
        <v>0</v>
      </c>
      <c r="AF213" s="264">
        <v>0.2</v>
      </c>
      <c r="AG213" s="257">
        <v>1969.5065557927392</v>
      </c>
      <c r="AH213" s="257">
        <v>0</v>
      </c>
      <c r="AI213" s="258">
        <v>0</v>
      </c>
    </row>
    <row r="214" spans="1:35" x14ac:dyDescent="0.25">
      <c r="A214" s="143">
        <v>2038</v>
      </c>
      <c r="B214" s="143">
        <v>54</v>
      </c>
      <c r="C214" s="143">
        <v>19</v>
      </c>
      <c r="D214" s="143">
        <v>0</v>
      </c>
      <c r="E214" s="144">
        <v>0</v>
      </c>
      <c r="F214" s="144">
        <v>0.49289585217229298</v>
      </c>
      <c r="G214" s="144">
        <v>0.7224212765987621</v>
      </c>
      <c r="H214" s="144">
        <v>1.7266765964148705</v>
      </c>
      <c r="I214" s="145">
        <v>15000</v>
      </c>
      <c r="J214" s="145">
        <v>18710.818665828545</v>
      </c>
      <c r="K214" s="145">
        <v>0</v>
      </c>
      <c r="L214" s="145">
        <v>0</v>
      </c>
      <c r="M214" s="148">
        <v>0.2</v>
      </c>
      <c r="N214" s="145">
        <v>3742.1637331657093</v>
      </c>
      <c r="O214" s="145">
        <v>0</v>
      </c>
      <c r="P214" s="145">
        <v>0</v>
      </c>
      <c r="Q214" s="1"/>
      <c r="R214" s="150"/>
      <c r="T214" s="255">
        <v>2029</v>
      </c>
      <c r="U214" s="241">
        <v>45</v>
      </c>
      <c r="V214" s="241">
        <v>10</v>
      </c>
      <c r="W214" s="241">
        <v>0</v>
      </c>
      <c r="X214" s="256">
        <v>0</v>
      </c>
      <c r="Y214" s="256">
        <v>0.7646432430136535</v>
      </c>
      <c r="Z214" s="256">
        <v>0.55367575418633463</v>
      </c>
      <c r="AA214" s="256">
        <v>1.2762453868828123</v>
      </c>
      <c r="AB214" s="257">
        <v>15000</v>
      </c>
      <c r="AC214" s="257">
        <v>10599.391906637573</v>
      </c>
      <c r="AD214" s="257">
        <v>0</v>
      </c>
      <c r="AE214" s="257">
        <v>0</v>
      </c>
      <c r="AF214" s="264">
        <v>0.2</v>
      </c>
      <c r="AG214" s="257">
        <v>2119.8783813275145</v>
      </c>
      <c r="AH214" s="257">
        <v>0</v>
      </c>
      <c r="AI214" s="258">
        <v>0</v>
      </c>
    </row>
    <row r="215" spans="1:35" x14ac:dyDescent="0.25">
      <c r="A215" s="143">
        <v>2039</v>
      </c>
      <c r="B215" s="143">
        <v>55</v>
      </c>
      <c r="C215" s="143">
        <v>20</v>
      </c>
      <c r="D215" s="143">
        <v>1</v>
      </c>
      <c r="E215" s="144">
        <v>8.3657758364132084E-2</v>
      </c>
      <c r="F215" s="144">
        <v>0.46942462111646949</v>
      </c>
      <c r="G215" s="144">
        <v>0.74409391489672494</v>
      </c>
      <c r="H215" s="144">
        <v>1.7784768943073166</v>
      </c>
      <c r="I215" s="145">
        <v>15000</v>
      </c>
      <c r="J215" s="145">
        <v>19850.307522577499</v>
      </c>
      <c r="K215" s="145">
        <v>1660.6322301775019</v>
      </c>
      <c r="L215" s="145">
        <v>779.54165546487161</v>
      </c>
      <c r="M215" s="148">
        <v>0.2</v>
      </c>
      <c r="N215" s="145">
        <v>3970.0615045155</v>
      </c>
      <c r="O215" s="145">
        <v>332.12644603550035</v>
      </c>
      <c r="P215" s="145">
        <v>155.90833109297429</v>
      </c>
      <c r="Q215" s="1"/>
      <c r="R215" s="150"/>
      <c r="T215" s="255">
        <v>2030</v>
      </c>
      <c r="U215" s="241">
        <v>46</v>
      </c>
      <c r="V215" s="241">
        <v>11</v>
      </c>
      <c r="W215" s="241">
        <v>0</v>
      </c>
      <c r="X215" s="256">
        <v>0</v>
      </c>
      <c r="Y215" s="256">
        <v>0.72823166001300332</v>
      </c>
      <c r="Z215" s="256">
        <v>0.57028602681192464</v>
      </c>
      <c r="AA215" s="256">
        <v>1.3304858158253319</v>
      </c>
      <c r="AB215" s="257">
        <v>15000</v>
      </c>
      <c r="AC215" s="257">
        <v>11381.362044549758</v>
      </c>
      <c r="AD215" s="257">
        <v>0</v>
      </c>
      <c r="AE215" s="257">
        <v>0</v>
      </c>
      <c r="AF215" s="264">
        <v>0.2</v>
      </c>
      <c r="AG215" s="257">
        <v>2276.2724089099515</v>
      </c>
      <c r="AH215" s="257">
        <v>0</v>
      </c>
      <c r="AI215" s="258">
        <v>0</v>
      </c>
    </row>
    <row r="216" spans="1:35" x14ac:dyDescent="0.25">
      <c r="A216" s="143">
        <v>2040</v>
      </c>
      <c r="B216" s="143">
        <v>56</v>
      </c>
      <c r="C216" s="143">
        <v>21</v>
      </c>
      <c r="D216" s="143">
        <v>1</v>
      </c>
      <c r="E216" s="144">
        <v>8.3436081009928664E-2</v>
      </c>
      <c r="F216" s="144">
        <v>0.44707106772997091</v>
      </c>
      <c r="G216" s="144">
        <v>0.76641673234362673</v>
      </c>
      <c r="H216" s="144">
        <v>1.8318312011365361</v>
      </c>
      <c r="I216" s="145">
        <v>15000</v>
      </c>
      <c r="J216" s="145">
        <v>21059.191250702472</v>
      </c>
      <c r="K216" s="145">
        <v>1757.0963871971924</v>
      </c>
      <c r="L216" s="145">
        <v>785.54695792872315</v>
      </c>
      <c r="M216" s="148">
        <v>0.2</v>
      </c>
      <c r="N216" s="145">
        <v>4211.8382501404949</v>
      </c>
      <c r="O216" s="145">
        <v>351.41927743943853</v>
      </c>
      <c r="P216" s="145">
        <v>157.10939158574465</v>
      </c>
      <c r="Q216" s="1"/>
      <c r="R216" s="150"/>
      <c r="T216" s="255">
        <v>2031</v>
      </c>
      <c r="U216" s="241">
        <v>47</v>
      </c>
      <c r="V216" s="241">
        <v>12</v>
      </c>
      <c r="W216" s="241">
        <v>0</v>
      </c>
      <c r="X216" s="256">
        <v>0</v>
      </c>
      <c r="Y216" s="256">
        <v>0.69355396191714602</v>
      </c>
      <c r="Z216" s="256">
        <v>0.58739460761628237</v>
      </c>
      <c r="AA216" s="256">
        <v>1.3837052484583452</v>
      </c>
      <c r="AB216" s="257">
        <v>15000</v>
      </c>
      <c r="AC216" s="257">
        <v>12191.715022121702</v>
      </c>
      <c r="AD216" s="257">
        <v>0</v>
      </c>
      <c r="AE216" s="257">
        <v>0</v>
      </c>
      <c r="AF216" s="264">
        <v>0.2</v>
      </c>
      <c r="AG216" s="257">
        <v>2438.3430044243405</v>
      </c>
      <c r="AH216" s="257">
        <v>0</v>
      </c>
      <c r="AI216" s="258">
        <v>0</v>
      </c>
    </row>
    <row r="217" spans="1:35" x14ac:dyDescent="0.25">
      <c r="A217" s="143">
        <v>2041</v>
      </c>
      <c r="B217" s="143">
        <v>57</v>
      </c>
      <c r="C217" s="143">
        <v>22</v>
      </c>
      <c r="D217" s="143">
        <v>1</v>
      </c>
      <c r="E217" s="144">
        <v>8.3189962117090982E-2</v>
      </c>
      <c r="F217" s="144">
        <v>0.42578196926663892</v>
      </c>
      <c r="G217" s="144">
        <v>0.7894092343139355</v>
      </c>
      <c r="H217" s="144">
        <v>1.8867861371706323</v>
      </c>
      <c r="I217" s="145">
        <v>15000</v>
      </c>
      <c r="J217" s="145">
        <v>22341.695997870254</v>
      </c>
      <c r="K217" s="145">
        <v>1858.6048436943897</v>
      </c>
      <c r="L217" s="145">
        <v>791.36043043671089</v>
      </c>
      <c r="M217" s="148">
        <v>0.2</v>
      </c>
      <c r="N217" s="145">
        <v>4468.3391995740512</v>
      </c>
      <c r="O217" s="145">
        <v>371.72096873887796</v>
      </c>
      <c r="P217" s="145">
        <v>158.27208608734219</v>
      </c>
      <c r="Q217" s="1"/>
      <c r="R217" s="150"/>
      <c r="T217" s="255">
        <v>2032</v>
      </c>
      <c r="U217" s="241">
        <v>48</v>
      </c>
      <c r="V217" s="241">
        <v>13</v>
      </c>
      <c r="W217" s="241">
        <v>0</v>
      </c>
      <c r="X217" s="256">
        <v>0</v>
      </c>
      <c r="Y217" s="256">
        <v>0.66052758277823431</v>
      </c>
      <c r="Z217" s="256">
        <v>0.60501644584477088</v>
      </c>
      <c r="AA217" s="256">
        <v>1.4355941952755333</v>
      </c>
      <c r="AB217" s="257">
        <v>15000</v>
      </c>
      <c r="AC217" s="257">
        <v>13028.371465514807</v>
      </c>
      <c r="AD217" s="257">
        <v>0</v>
      </c>
      <c r="AE217" s="257">
        <v>0</v>
      </c>
      <c r="AF217" s="264">
        <v>0.2</v>
      </c>
      <c r="AG217" s="257">
        <v>2605.6742931029617</v>
      </c>
      <c r="AH217" s="257">
        <v>0</v>
      </c>
      <c r="AI217" s="258">
        <v>0</v>
      </c>
    </row>
    <row r="218" spans="1:35" x14ac:dyDescent="0.25">
      <c r="A218" s="143">
        <v>2042</v>
      </c>
      <c r="B218" s="143">
        <v>58</v>
      </c>
      <c r="C218" s="143">
        <v>23</v>
      </c>
      <c r="D218" s="143">
        <v>1</v>
      </c>
      <c r="E218" s="144">
        <v>8.291961411190274E-2</v>
      </c>
      <c r="F218" s="144">
        <v>0.40550663739679893</v>
      </c>
      <c r="G218" s="144">
        <v>0.81309151134335356</v>
      </c>
      <c r="H218" s="144">
        <v>1.9433897212857514</v>
      </c>
      <c r="I218" s="145">
        <v>15000</v>
      </c>
      <c r="J218" s="145">
        <v>23702.305284140555</v>
      </c>
      <c r="K218" s="145">
        <v>1965.3860077234481</v>
      </c>
      <c r="L218" s="145">
        <v>796.97707117865457</v>
      </c>
      <c r="M218" s="148">
        <v>0.2</v>
      </c>
      <c r="N218" s="145">
        <v>4740.4610568281114</v>
      </c>
      <c r="O218" s="145">
        <v>393.07720154468961</v>
      </c>
      <c r="P218" s="145">
        <v>159.3954142357309</v>
      </c>
      <c r="Q218" s="1"/>
      <c r="R218" s="150"/>
      <c r="T218" s="255">
        <v>2033</v>
      </c>
      <c r="U218" s="241">
        <v>49</v>
      </c>
      <c r="V218" s="241">
        <v>14</v>
      </c>
      <c r="W218" s="241">
        <v>0</v>
      </c>
      <c r="X218" s="256">
        <v>0</v>
      </c>
      <c r="Y218" s="256">
        <v>0.62907388836022315</v>
      </c>
      <c r="Z218" s="256">
        <v>0.62316693922011401</v>
      </c>
      <c r="AA218" s="256">
        <v>1.4858399921101768</v>
      </c>
      <c r="AB218" s="257">
        <v>15000</v>
      </c>
      <c r="AC218" s="257">
        <v>13888.895400812058</v>
      </c>
      <c r="AD218" s="257">
        <v>0</v>
      </c>
      <c r="AE218" s="257">
        <v>0</v>
      </c>
      <c r="AF218" s="264">
        <v>0.2</v>
      </c>
      <c r="AG218" s="257">
        <v>2777.7790801624119</v>
      </c>
      <c r="AH218" s="257">
        <v>0</v>
      </c>
      <c r="AI218" s="258">
        <v>0</v>
      </c>
    </row>
    <row r="219" spans="1:35" x14ac:dyDescent="0.25">
      <c r="A219" s="143">
        <v>2043</v>
      </c>
      <c r="B219" s="143">
        <v>59</v>
      </c>
      <c r="C219" s="143">
        <v>24</v>
      </c>
      <c r="D219" s="143">
        <v>1</v>
      </c>
      <c r="E219" s="144">
        <v>8.2621131741777848E-2</v>
      </c>
      <c r="F219" s="144">
        <v>0.38619679752076086</v>
      </c>
      <c r="G219" s="144">
        <v>0.83748425668365423</v>
      </c>
      <c r="H219" s="144">
        <v>2.0016914129243242</v>
      </c>
      <c r="I219" s="145">
        <v>15000</v>
      </c>
      <c r="J219" s="145">
        <v>25145.775675944718</v>
      </c>
      <c r="K219" s="145">
        <v>2077.5724448714213</v>
      </c>
      <c r="L219" s="145">
        <v>802.35182482672042</v>
      </c>
      <c r="M219" s="148">
        <v>0.2</v>
      </c>
      <c r="N219" s="145">
        <v>5029.1551351889439</v>
      </c>
      <c r="O219" s="145">
        <v>415.51448897428429</v>
      </c>
      <c r="P219" s="145">
        <v>160.47036496534409</v>
      </c>
      <c r="Q219" s="1"/>
      <c r="R219" s="150"/>
      <c r="T219" s="255">
        <v>2034</v>
      </c>
      <c r="U219" s="241">
        <v>50</v>
      </c>
      <c r="V219" s="241">
        <v>15</v>
      </c>
      <c r="W219" s="241">
        <v>0</v>
      </c>
      <c r="X219" s="256">
        <v>0</v>
      </c>
      <c r="Y219" s="256">
        <v>0.59911798891449819</v>
      </c>
      <c r="Z219" s="256">
        <v>0.64186194739671742</v>
      </c>
      <c r="AA219" s="256">
        <v>1.5341297918537575</v>
      </c>
      <c r="AB219" s="257">
        <v>15000</v>
      </c>
      <c r="AC219" s="257">
        <v>14770.493036378604</v>
      </c>
      <c r="AD219" s="257">
        <v>0</v>
      </c>
      <c r="AE219" s="257">
        <v>0</v>
      </c>
      <c r="AF219" s="264">
        <v>0.2</v>
      </c>
      <c r="AG219" s="257">
        <v>2954.098607275721</v>
      </c>
      <c r="AH219" s="257">
        <v>0</v>
      </c>
      <c r="AI219" s="258">
        <v>0</v>
      </c>
    </row>
    <row r="220" spans="1:35" x14ac:dyDescent="0.25">
      <c r="A220" s="143">
        <v>2044</v>
      </c>
      <c r="B220" s="143">
        <v>60</v>
      </c>
      <c r="C220" s="143">
        <v>25</v>
      </c>
      <c r="D220" s="143">
        <v>1</v>
      </c>
      <c r="E220" s="144">
        <v>8.2290678670606812E-2</v>
      </c>
      <c r="F220" s="144">
        <v>0.36780647382929604</v>
      </c>
      <c r="G220" s="144">
        <v>0.86260878438416388</v>
      </c>
      <c r="H220" s="144">
        <v>2.0617421553120541</v>
      </c>
      <c r="I220" s="145">
        <v>15000</v>
      </c>
      <c r="J220" s="145">
        <v>26677.153414609755</v>
      </c>
      <c r="K220" s="145">
        <v>2195.2810594881325</v>
      </c>
      <c r="L220" s="145">
        <v>807.43858555457109</v>
      </c>
      <c r="M220" s="148">
        <v>0.2</v>
      </c>
      <c r="N220" s="145">
        <v>5335.4306829219513</v>
      </c>
      <c r="O220" s="145">
        <v>439.05621189762655</v>
      </c>
      <c r="P220" s="145">
        <v>161.48771711091425</v>
      </c>
      <c r="Q220" s="1"/>
      <c r="R220" s="150"/>
      <c r="T220" s="255">
        <v>2035</v>
      </c>
      <c r="U220" s="241">
        <v>51</v>
      </c>
      <c r="V220" s="241">
        <v>16</v>
      </c>
      <c r="W220" s="241">
        <v>0</v>
      </c>
      <c r="X220" s="256">
        <v>0</v>
      </c>
      <c r="Y220" s="256">
        <v>0.57058856087095067</v>
      </c>
      <c r="Z220" s="256">
        <v>0.66111780581861901</v>
      </c>
      <c r="AA220" s="256">
        <v>1.5801536856093703</v>
      </c>
      <c r="AB220" s="257">
        <v>15000</v>
      </c>
      <c r="AC220" s="257">
        <v>15670.016062294062</v>
      </c>
      <c r="AD220" s="257">
        <v>0</v>
      </c>
      <c r="AE220" s="257">
        <v>0</v>
      </c>
      <c r="AF220" s="264">
        <v>0.2</v>
      </c>
      <c r="AG220" s="257">
        <v>3134.0032124588124</v>
      </c>
      <c r="AH220" s="257">
        <v>0</v>
      </c>
      <c r="AI220" s="258">
        <v>0</v>
      </c>
    </row>
    <row r="221" spans="1:35" x14ac:dyDescent="0.25">
      <c r="A221" s="143">
        <v>2045</v>
      </c>
      <c r="B221" s="143">
        <v>61</v>
      </c>
      <c r="C221" s="143">
        <v>26</v>
      </c>
      <c r="D221" s="143">
        <v>1</v>
      </c>
      <c r="E221" s="144">
        <v>8.1924528444045311E-2</v>
      </c>
      <c r="F221" s="144">
        <v>0.35029187983742477</v>
      </c>
      <c r="G221" s="144">
        <v>0.88848704791568878</v>
      </c>
      <c r="H221" s="144">
        <v>2.1235944199714156</v>
      </c>
      <c r="I221" s="145">
        <v>15000</v>
      </c>
      <c r="J221" s="145">
        <v>28301.792057559487</v>
      </c>
      <c r="K221" s="145">
        <v>2318.6109684369881</v>
      </c>
      <c r="L221" s="145">
        <v>812.19059474546452</v>
      </c>
      <c r="M221" s="148">
        <v>0.2</v>
      </c>
      <c r="N221" s="145">
        <v>5660.3584115118974</v>
      </c>
      <c r="O221" s="145">
        <v>463.72219368739758</v>
      </c>
      <c r="P221" s="145">
        <v>162.43811894909288</v>
      </c>
      <c r="Q221" s="1"/>
      <c r="R221" s="150"/>
      <c r="T221" s="255">
        <v>2036</v>
      </c>
      <c r="U221" s="241">
        <v>52</v>
      </c>
      <c r="V221" s="241">
        <v>17</v>
      </c>
      <c r="W221" s="241">
        <v>0</v>
      </c>
      <c r="X221" s="256">
        <v>0</v>
      </c>
      <c r="Y221" s="256">
        <v>0.54341767701995303</v>
      </c>
      <c r="Z221" s="256">
        <v>0.68095133999317758</v>
      </c>
      <c r="AA221" s="256">
        <v>1.6275582961776514</v>
      </c>
      <c r="AB221" s="257">
        <v>15000</v>
      </c>
      <c r="AC221" s="257">
        <v>16624.320040487772</v>
      </c>
      <c r="AD221" s="257">
        <v>0</v>
      </c>
      <c r="AE221" s="257">
        <v>0</v>
      </c>
      <c r="AF221" s="264">
        <v>0.2</v>
      </c>
      <c r="AG221" s="257">
        <v>3324.8640080975547</v>
      </c>
      <c r="AH221" s="257">
        <v>0</v>
      </c>
      <c r="AI221" s="258">
        <v>0</v>
      </c>
    </row>
    <row r="222" spans="1:35" x14ac:dyDescent="0.25">
      <c r="A222" s="143">
        <v>2046</v>
      </c>
      <c r="B222" s="143">
        <v>62</v>
      </c>
      <c r="C222" s="143">
        <v>27</v>
      </c>
      <c r="D222" s="143">
        <v>1</v>
      </c>
      <c r="E222" s="144">
        <v>0.30155919348843885</v>
      </c>
      <c r="F222" s="144">
        <v>0.33361131413088074</v>
      </c>
      <c r="G222" s="144">
        <v>0.9151416593531595</v>
      </c>
      <c r="H222" s="144">
        <v>2.1873022525705581</v>
      </c>
      <c r="I222" s="145">
        <v>15000</v>
      </c>
      <c r="J222" s="145">
        <v>30025.371193864863</v>
      </c>
      <c r="K222" s="145">
        <v>9054.4267214128922</v>
      </c>
      <c r="L222" s="145">
        <v>3020.6591972323172</v>
      </c>
      <c r="M222" s="148">
        <v>0.2</v>
      </c>
      <c r="N222" s="145">
        <v>6005.0742387729733</v>
      </c>
      <c r="O222" s="145">
        <v>1810.8853442825787</v>
      </c>
      <c r="P222" s="145">
        <v>604.13183944646346</v>
      </c>
      <c r="Q222" s="1"/>
      <c r="R222" s="150"/>
      <c r="T222" s="255">
        <v>2037</v>
      </c>
      <c r="U222" s="241">
        <v>53</v>
      </c>
      <c r="V222" s="241">
        <v>18</v>
      </c>
      <c r="W222" s="241">
        <v>0</v>
      </c>
      <c r="X222" s="256">
        <v>0</v>
      </c>
      <c r="Y222" s="256">
        <v>0.51754064478090767</v>
      </c>
      <c r="Z222" s="256">
        <v>0.70137988019297293</v>
      </c>
      <c r="AA222" s="256">
        <v>1.6763850450629809</v>
      </c>
      <c r="AB222" s="257">
        <v>15000</v>
      </c>
      <c r="AC222" s="257">
        <v>17636.741130953476</v>
      </c>
      <c r="AD222" s="257">
        <v>0</v>
      </c>
      <c r="AE222" s="257">
        <v>0</v>
      </c>
      <c r="AF222" s="264">
        <v>0.2</v>
      </c>
      <c r="AG222" s="257">
        <v>3527.3482261906956</v>
      </c>
      <c r="AH222" s="257">
        <v>0</v>
      </c>
      <c r="AI222" s="258">
        <v>0</v>
      </c>
    </row>
    <row r="223" spans="1:35" x14ac:dyDescent="0.25">
      <c r="A223" s="143">
        <v>2047</v>
      </c>
      <c r="B223" s="143">
        <v>63</v>
      </c>
      <c r="C223" s="143">
        <v>28</v>
      </c>
      <c r="D223" s="143">
        <v>1</v>
      </c>
      <c r="E223" s="144">
        <v>0.45273876053242179</v>
      </c>
      <c r="F223" s="144">
        <v>0.31772506107702925</v>
      </c>
      <c r="G223" s="144">
        <v>0.94259590913375435</v>
      </c>
      <c r="H223" s="144">
        <v>2.2529213201476748</v>
      </c>
      <c r="I223" s="145">
        <v>15000</v>
      </c>
      <c r="J223" s="145">
        <v>31853.916299571232</v>
      </c>
      <c r="K223" s="145">
        <v>14421.502583571388</v>
      </c>
      <c r="L223" s="145">
        <v>4582.0727891877541</v>
      </c>
      <c r="M223" s="148">
        <v>0.2</v>
      </c>
      <c r="N223" s="145">
        <v>6370.7832599142466</v>
      </c>
      <c r="O223" s="145">
        <v>2884.3005167142774</v>
      </c>
      <c r="P223" s="145">
        <v>916.41455783755077</v>
      </c>
      <c r="Q223" s="1"/>
      <c r="R223" s="150"/>
      <c r="T223" s="255">
        <v>2038</v>
      </c>
      <c r="U223" s="241">
        <v>54</v>
      </c>
      <c r="V223" s="241">
        <v>19</v>
      </c>
      <c r="W223" s="241">
        <v>0</v>
      </c>
      <c r="X223" s="256">
        <v>0</v>
      </c>
      <c r="Y223" s="256">
        <v>0.49289585217229298</v>
      </c>
      <c r="Z223" s="256">
        <v>0.7224212765987621</v>
      </c>
      <c r="AA223" s="256">
        <v>1.7266765964148705</v>
      </c>
      <c r="AB223" s="257">
        <v>15000</v>
      </c>
      <c r="AC223" s="257">
        <v>18710.818665828545</v>
      </c>
      <c r="AD223" s="257">
        <v>0</v>
      </c>
      <c r="AE223" s="257">
        <v>0</v>
      </c>
      <c r="AF223" s="264">
        <v>0.2</v>
      </c>
      <c r="AG223" s="257">
        <v>3742.1637331657093</v>
      </c>
      <c r="AH223" s="257">
        <v>0</v>
      </c>
      <c r="AI223" s="258">
        <v>0</v>
      </c>
    </row>
    <row r="224" spans="1:35" x14ac:dyDescent="0.25">
      <c r="A224" s="143">
        <v>2048</v>
      </c>
      <c r="B224" s="143">
        <v>64</v>
      </c>
      <c r="C224" s="143">
        <v>29</v>
      </c>
      <c r="D224" s="143">
        <v>1</v>
      </c>
      <c r="E224" s="144">
        <v>0.52068955064672595</v>
      </c>
      <c r="F224" s="144">
        <v>0.30259529626383735</v>
      </c>
      <c r="G224" s="144">
        <v>0.970873786407767</v>
      </c>
      <c r="H224" s="144">
        <v>2.3205089597521051</v>
      </c>
      <c r="I224" s="145">
        <v>15000</v>
      </c>
      <c r="J224" s="145">
        <v>33793.819802215119</v>
      </c>
      <c r="K224" s="145">
        <v>17596.088847451818</v>
      </c>
      <c r="L224" s="145">
        <v>5324.4937178794871</v>
      </c>
      <c r="M224" s="148">
        <v>0.2</v>
      </c>
      <c r="N224" s="145">
        <v>6758.7639604430242</v>
      </c>
      <c r="O224" s="145">
        <v>3519.2177694903639</v>
      </c>
      <c r="P224" s="145">
        <v>1064.8987435758975</v>
      </c>
      <c r="Q224" s="1"/>
      <c r="R224" s="150"/>
      <c r="T224" s="255">
        <v>2039</v>
      </c>
      <c r="U224" s="241">
        <v>55</v>
      </c>
      <c r="V224" s="241">
        <v>20</v>
      </c>
      <c r="W224" s="241">
        <v>1</v>
      </c>
      <c r="X224" s="256">
        <v>8.3657758364132084E-2</v>
      </c>
      <c r="Y224" s="256">
        <v>0.46942462111646949</v>
      </c>
      <c r="Z224" s="256">
        <v>0.74409391489672494</v>
      </c>
      <c r="AA224" s="256">
        <v>1.7784768943073166</v>
      </c>
      <c r="AB224" s="257">
        <v>15000</v>
      </c>
      <c r="AC224" s="257">
        <v>19850.307522577499</v>
      </c>
      <c r="AD224" s="257">
        <v>1660.6322301775019</v>
      </c>
      <c r="AE224" s="257">
        <v>779.54165546487161</v>
      </c>
      <c r="AF224" s="264">
        <v>0.2</v>
      </c>
      <c r="AG224" s="257">
        <v>3970.0615045155</v>
      </c>
      <c r="AH224" s="257">
        <v>332.12644603550035</v>
      </c>
      <c r="AI224" s="258">
        <v>155.90833109297429</v>
      </c>
    </row>
    <row r="225" spans="1:35" x14ac:dyDescent="0.25">
      <c r="A225" s="143">
        <v>2049</v>
      </c>
      <c r="B225" s="143">
        <v>65</v>
      </c>
      <c r="C225" s="143">
        <v>30</v>
      </c>
      <c r="D225" s="143">
        <v>1</v>
      </c>
      <c r="E225" s="144">
        <v>0.79766257984514588</v>
      </c>
      <c r="F225" s="144">
        <v>0.28818599644174986</v>
      </c>
      <c r="G225" s="144">
        <v>1</v>
      </c>
      <c r="H225" s="144">
        <v>2.3901242285446682</v>
      </c>
      <c r="I225" s="145">
        <v>2100</v>
      </c>
      <c r="J225" s="145">
        <v>5019.260879943803</v>
      </c>
      <c r="K225" s="145">
        <v>4003.6765824117911</v>
      </c>
      <c r="L225" s="145">
        <v>1153.8035253328417</v>
      </c>
      <c r="M225" s="148">
        <v>0.2</v>
      </c>
      <c r="N225" s="145">
        <v>1003.8521759887607</v>
      </c>
      <c r="O225" s="145">
        <v>800.73531648235826</v>
      </c>
      <c r="P225" s="145">
        <v>230.76070506656833</v>
      </c>
      <c r="Q225" s="1"/>
      <c r="R225" s="150"/>
      <c r="T225" s="255">
        <v>2040</v>
      </c>
      <c r="U225" s="241">
        <v>56</v>
      </c>
      <c r="V225" s="241">
        <v>21</v>
      </c>
      <c r="W225" s="241">
        <v>1</v>
      </c>
      <c r="X225" s="256">
        <v>8.3436081009928664E-2</v>
      </c>
      <c r="Y225" s="256">
        <v>0.44707106772997091</v>
      </c>
      <c r="Z225" s="256">
        <v>0.76641673234362673</v>
      </c>
      <c r="AA225" s="256">
        <v>1.8318312011365361</v>
      </c>
      <c r="AB225" s="257">
        <v>15000</v>
      </c>
      <c r="AC225" s="257">
        <v>21059.191250702472</v>
      </c>
      <c r="AD225" s="257">
        <v>1757.0963871971924</v>
      </c>
      <c r="AE225" s="257">
        <v>785.54695792872315</v>
      </c>
      <c r="AF225" s="264">
        <v>0.2</v>
      </c>
      <c r="AG225" s="257">
        <v>4211.8382501404949</v>
      </c>
      <c r="AH225" s="257">
        <v>351.41927743943853</v>
      </c>
      <c r="AI225" s="258">
        <v>157.10939158574465</v>
      </c>
    </row>
    <row r="226" spans="1:35" x14ac:dyDescent="0.25">
      <c r="A226" s="143">
        <v>2050</v>
      </c>
      <c r="B226" s="143">
        <v>66</v>
      </c>
      <c r="C226" s="143">
        <v>31</v>
      </c>
      <c r="D226" s="143">
        <v>1</v>
      </c>
      <c r="E226" s="144">
        <v>0.79172098825197978</v>
      </c>
      <c r="F226" s="144">
        <v>0.2744628537540475</v>
      </c>
      <c r="G226" s="144">
        <v>1.0249999999999999</v>
      </c>
      <c r="H226" s="144">
        <v>2.4618279554010085</v>
      </c>
      <c r="I226" s="145">
        <v>2100</v>
      </c>
      <c r="J226" s="145">
        <v>5299.08467400067</v>
      </c>
      <c r="K226" s="145">
        <v>4195.3965549307304</v>
      </c>
      <c r="L226" s="145">
        <v>1151.4805110961877</v>
      </c>
      <c r="M226" s="148">
        <v>0.2</v>
      </c>
      <c r="N226" s="145">
        <v>1059.816934800134</v>
      </c>
      <c r="O226" s="145">
        <v>839.0793109861462</v>
      </c>
      <c r="P226" s="145">
        <v>230.29610221923758</v>
      </c>
      <c r="Q226" s="1"/>
      <c r="R226" s="150"/>
      <c r="T226" s="255">
        <v>2041</v>
      </c>
      <c r="U226" s="241">
        <v>57</v>
      </c>
      <c r="V226" s="241">
        <v>22</v>
      </c>
      <c r="W226" s="241">
        <v>1</v>
      </c>
      <c r="X226" s="256">
        <v>8.3189962117090982E-2</v>
      </c>
      <c r="Y226" s="256">
        <v>0.42578196926663892</v>
      </c>
      <c r="Z226" s="256">
        <v>0.7894092343139355</v>
      </c>
      <c r="AA226" s="256">
        <v>1.8867861371706323</v>
      </c>
      <c r="AB226" s="257">
        <v>15000</v>
      </c>
      <c r="AC226" s="257">
        <v>22341.695997870254</v>
      </c>
      <c r="AD226" s="257">
        <v>1858.6048436943897</v>
      </c>
      <c r="AE226" s="257">
        <v>791.36043043671089</v>
      </c>
      <c r="AF226" s="264">
        <v>0.2</v>
      </c>
      <c r="AG226" s="257">
        <v>4468.3391995740512</v>
      </c>
      <c r="AH226" s="257">
        <v>371.72096873887796</v>
      </c>
      <c r="AI226" s="258">
        <v>158.27208608734219</v>
      </c>
    </row>
    <row r="227" spans="1:35" x14ac:dyDescent="0.25">
      <c r="A227" s="143">
        <v>2051</v>
      </c>
      <c r="B227" s="143">
        <v>67</v>
      </c>
      <c r="C227" s="143">
        <v>32</v>
      </c>
      <c r="D227" s="143">
        <v>1</v>
      </c>
      <c r="E227" s="144">
        <v>0.78519068500938616</v>
      </c>
      <c r="F227" s="144">
        <v>0.26139319405147382</v>
      </c>
      <c r="G227" s="144">
        <v>1.0506249999999999</v>
      </c>
      <c r="H227" s="144">
        <v>2.5356827940630389</v>
      </c>
      <c r="I227" s="145">
        <v>2100</v>
      </c>
      <c r="J227" s="145">
        <v>5594.5086445762081</v>
      </c>
      <c r="K227" s="145">
        <v>4392.7560749257254</v>
      </c>
      <c r="L227" s="145">
        <v>1148.2365411138505</v>
      </c>
      <c r="M227" s="148">
        <v>0.2</v>
      </c>
      <c r="N227" s="145">
        <v>1118.9017289152416</v>
      </c>
      <c r="O227" s="145">
        <v>878.55121498514507</v>
      </c>
      <c r="P227" s="145">
        <v>229.64730822277011</v>
      </c>
      <c r="Q227" s="1"/>
      <c r="R227" s="150"/>
      <c r="T227" s="255">
        <v>2042</v>
      </c>
      <c r="U227" s="241">
        <v>58</v>
      </c>
      <c r="V227" s="241">
        <v>23</v>
      </c>
      <c r="W227" s="241">
        <v>1</v>
      </c>
      <c r="X227" s="256">
        <v>8.291961411190274E-2</v>
      </c>
      <c r="Y227" s="256">
        <v>0.40550663739679893</v>
      </c>
      <c r="Z227" s="256">
        <v>0.81309151134335356</v>
      </c>
      <c r="AA227" s="256">
        <v>1.9433897212857514</v>
      </c>
      <c r="AB227" s="257">
        <v>15000</v>
      </c>
      <c r="AC227" s="257">
        <v>23702.305284140555</v>
      </c>
      <c r="AD227" s="257">
        <v>1965.3860077234481</v>
      </c>
      <c r="AE227" s="257">
        <v>796.97707117865457</v>
      </c>
      <c r="AF227" s="264">
        <v>0.2</v>
      </c>
      <c r="AG227" s="257">
        <v>4740.4610568281114</v>
      </c>
      <c r="AH227" s="257">
        <v>393.07720154468961</v>
      </c>
      <c r="AI227" s="258">
        <v>159.3954142357309</v>
      </c>
    </row>
    <row r="228" spans="1:35" x14ac:dyDescent="0.25">
      <c r="A228" s="143">
        <v>2052</v>
      </c>
      <c r="B228" s="143">
        <v>68</v>
      </c>
      <c r="C228" s="143">
        <v>33</v>
      </c>
      <c r="D228" s="143">
        <v>1</v>
      </c>
      <c r="E228" s="144">
        <v>0.77796864595838189</v>
      </c>
      <c r="F228" s="144">
        <v>0.24894589909664172</v>
      </c>
      <c r="G228" s="144">
        <v>1.0768906249999999</v>
      </c>
      <c r="H228" s="144">
        <v>2.6117532778849299</v>
      </c>
      <c r="I228" s="145">
        <v>2100</v>
      </c>
      <c r="J228" s="145">
        <v>5906.4025015113311</v>
      </c>
      <c r="K228" s="145">
        <v>4594.9959565859699</v>
      </c>
      <c r="L228" s="145">
        <v>1143.9053997577275</v>
      </c>
      <c r="M228" s="148">
        <v>0.2</v>
      </c>
      <c r="N228" s="145">
        <v>1181.2805003022663</v>
      </c>
      <c r="O228" s="145">
        <v>918.999191317194</v>
      </c>
      <c r="P228" s="145">
        <v>228.78107995154551</v>
      </c>
      <c r="Q228" s="1"/>
      <c r="R228" s="150"/>
      <c r="T228" s="255">
        <v>2043</v>
      </c>
      <c r="U228" s="241">
        <v>59</v>
      </c>
      <c r="V228" s="241">
        <v>24</v>
      </c>
      <c r="W228" s="241">
        <v>1</v>
      </c>
      <c r="X228" s="256">
        <v>8.2621131741777848E-2</v>
      </c>
      <c r="Y228" s="256">
        <v>0.38619679752076086</v>
      </c>
      <c r="Z228" s="256">
        <v>0.83748425668365423</v>
      </c>
      <c r="AA228" s="256">
        <v>2.0016914129243242</v>
      </c>
      <c r="AB228" s="257">
        <v>15000</v>
      </c>
      <c r="AC228" s="257">
        <v>25145.775675944718</v>
      </c>
      <c r="AD228" s="257">
        <v>2077.5724448714213</v>
      </c>
      <c r="AE228" s="257">
        <v>802.35182482672042</v>
      </c>
      <c r="AF228" s="264">
        <v>0.2</v>
      </c>
      <c r="AG228" s="257">
        <v>5029.1551351889439</v>
      </c>
      <c r="AH228" s="257">
        <v>415.51448897428429</v>
      </c>
      <c r="AI228" s="258">
        <v>160.47036496534409</v>
      </c>
    </row>
    <row r="229" spans="1:35" x14ac:dyDescent="0.25">
      <c r="A229" s="143">
        <v>2053</v>
      </c>
      <c r="B229" s="143">
        <v>69</v>
      </c>
      <c r="C229" s="143">
        <v>34</v>
      </c>
      <c r="D229" s="143">
        <v>1</v>
      </c>
      <c r="E229" s="144">
        <v>0.76995784382714261</v>
      </c>
      <c r="F229" s="144">
        <v>0.23709133247299211</v>
      </c>
      <c r="G229" s="144">
        <v>1.1038128906249998</v>
      </c>
      <c r="H229" s="144">
        <v>2.690105876221478</v>
      </c>
      <c r="I229" s="145">
        <v>2100</v>
      </c>
      <c r="J229" s="145">
        <v>6235.6844409705873</v>
      </c>
      <c r="K229" s="145">
        <v>4801.2141469561748</v>
      </c>
      <c r="L229" s="145">
        <v>1138.3262595900196</v>
      </c>
      <c r="M229" s="148">
        <v>0.2</v>
      </c>
      <c r="N229" s="145">
        <v>1247.1368881941175</v>
      </c>
      <c r="O229" s="145">
        <v>960.24282939123498</v>
      </c>
      <c r="P229" s="145">
        <v>227.66525191800392</v>
      </c>
      <c r="Q229" s="1"/>
      <c r="R229" s="150"/>
      <c r="T229" s="255">
        <v>2044</v>
      </c>
      <c r="U229" s="241">
        <v>60</v>
      </c>
      <c r="V229" s="241">
        <v>25</v>
      </c>
      <c r="W229" s="241">
        <v>1</v>
      </c>
      <c r="X229" s="256">
        <v>8.2290678670606812E-2</v>
      </c>
      <c r="Y229" s="256">
        <v>0.36780647382929604</v>
      </c>
      <c r="Z229" s="256">
        <v>0.86260878438416388</v>
      </c>
      <c r="AA229" s="256">
        <v>2.0617421553120541</v>
      </c>
      <c r="AB229" s="257">
        <v>15000</v>
      </c>
      <c r="AC229" s="257">
        <v>26677.153414609755</v>
      </c>
      <c r="AD229" s="257">
        <v>2195.2810594881325</v>
      </c>
      <c r="AE229" s="257">
        <v>807.43858555457109</v>
      </c>
      <c r="AF229" s="264">
        <v>0.2</v>
      </c>
      <c r="AG229" s="257">
        <v>5335.4306829219513</v>
      </c>
      <c r="AH229" s="257">
        <v>439.05621189762655</v>
      </c>
      <c r="AI229" s="258">
        <v>161.48771711091425</v>
      </c>
    </row>
    <row r="230" spans="1:35" x14ac:dyDescent="0.25">
      <c r="A230" s="143">
        <v>2054</v>
      </c>
      <c r="B230" s="143">
        <v>70</v>
      </c>
      <c r="C230" s="143">
        <v>35</v>
      </c>
      <c r="D230" s="143">
        <v>1</v>
      </c>
      <c r="E230" s="144">
        <v>0.76099099939548975</v>
      </c>
      <c r="F230" s="144">
        <v>0.22580126902189723</v>
      </c>
      <c r="G230" s="144">
        <v>1.1314082128906247</v>
      </c>
      <c r="H230" s="144">
        <v>2.7708090525081226</v>
      </c>
      <c r="I230" s="145">
        <v>2100</v>
      </c>
      <c r="J230" s="145">
        <v>6583.3238485546972</v>
      </c>
      <c r="K230" s="145">
        <v>5009.8501948558005</v>
      </c>
      <c r="L230" s="145">
        <v>1131.230531608039</v>
      </c>
      <c r="M230" s="148">
        <v>0.2</v>
      </c>
      <c r="N230" s="145">
        <v>1316.6647697109395</v>
      </c>
      <c r="O230" s="145">
        <v>1001.9700389711602</v>
      </c>
      <c r="P230" s="145">
        <v>226.24610632160778</v>
      </c>
      <c r="Q230" s="1"/>
      <c r="R230" s="150"/>
      <c r="T230" s="255">
        <v>2045</v>
      </c>
      <c r="U230" s="241">
        <v>61</v>
      </c>
      <c r="V230" s="241">
        <v>26</v>
      </c>
      <c r="W230" s="241">
        <v>1</v>
      </c>
      <c r="X230" s="256">
        <v>8.1924528444045311E-2</v>
      </c>
      <c r="Y230" s="256">
        <v>0.35029187983742477</v>
      </c>
      <c r="Z230" s="256">
        <v>0.88848704791568878</v>
      </c>
      <c r="AA230" s="256">
        <v>2.1235944199714156</v>
      </c>
      <c r="AB230" s="257">
        <v>15000</v>
      </c>
      <c r="AC230" s="257">
        <v>28301.792057559487</v>
      </c>
      <c r="AD230" s="257">
        <v>2318.6109684369881</v>
      </c>
      <c r="AE230" s="257">
        <v>812.19059474546452</v>
      </c>
      <c r="AF230" s="264">
        <v>0.2</v>
      </c>
      <c r="AG230" s="257">
        <v>5660.3584115118974</v>
      </c>
      <c r="AH230" s="257">
        <v>463.72219368739758</v>
      </c>
      <c r="AI230" s="258">
        <v>162.43811894909288</v>
      </c>
    </row>
    <row r="231" spans="1:35" x14ac:dyDescent="0.25">
      <c r="A231" s="143">
        <v>2055</v>
      </c>
      <c r="B231" s="143">
        <v>71</v>
      </c>
      <c r="C231" s="143">
        <v>36</v>
      </c>
      <c r="D231" s="143">
        <v>1</v>
      </c>
      <c r="E231" s="144">
        <v>0.75091190409580877</v>
      </c>
      <c r="F231" s="144">
        <v>0.21504882763990213</v>
      </c>
      <c r="G231" s="144">
        <v>1.1540363771484372</v>
      </c>
      <c r="H231" s="144">
        <v>2.8539333240833664</v>
      </c>
      <c r="I231" s="145">
        <v>2100</v>
      </c>
      <c r="J231" s="145">
        <v>6916.4400352915663</v>
      </c>
      <c r="K231" s="145">
        <v>5193.6371564652727</v>
      </c>
      <c r="L231" s="145">
        <v>1116.8855816848918</v>
      </c>
      <c r="M231" s="148">
        <v>0.2</v>
      </c>
      <c r="N231" s="145">
        <v>1383.2880070583133</v>
      </c>
      <c r="O231" s="145">
        <v>1038.7274312930547</v>
      </c>
      <c r="P231" s="145">
        <v>223.37711633697839</v>
      </c>
      <c r="Q231" s="1"/>
      <c r="R231" s="150"/>
      <c r="T231" s="255">
        <v>2046</v>
      </c>
      <c r="U231" s="241">
        <v>62</v>
      </c>
      <c r="V231" s="241">
        <v>27</v>
      </c>
      <c r="W231" s="241">
        <v>1</v>
      </c>
      <c r="X231" s="256">
        <v>0.30155919348843885</v>
      </c>
      <c r="Y231" s="256">
        <v>0.33361131413088074</v>
      </c>
      <c r="Z231" s="256">
        <v>0.9151416593531595</v>
      </c>
      <c r="AA231" s="256">
        <v>2.1873022525705581</v>
      </c>
      <c r="AB231" s="257">
        <v>15000</v>
      </c>
      <c r="AC231" s="257">
        <v>30025.371193864863</v>
      </c>
      <c r="AD231" s="257">
        <v>9054.4267214128922</v>
      </c>
      <c r="AE231" s="257">
        <v>3020.6591972323172</v>
      </c>
      <c r="AF231" s="264">
        <v>0.2</v>
      </c>
      <c r="AG231" s="257">
        <v>6005.0742387729733</v>
      </c>
      <c r="AH231" s="257">
        <v>1810.8853442825787</v>
      </c>
      <c r="AI231" s="258">
        <v>604.13183944646346</v>
      </c>
    </row>
    <row r="232" spans="1:35" x14ac:dyDescent="0.25">
      <c r="A232" s="143">
        <v>2056</v>
      </c>
      <c r="B232" s="143">
        <v>72</v>
      </c>
      <c r="C232" s="143">
        <v>37</v>
      </c>
      <c r="D232" s="143">
        <v>1</v>
      </c>
      <c r="E232" s="144">
        <v>0.73954118684067538</v>
      </c>
      <c r="F232" s="144">
        <v>0.20480840727609725</v>
      </c>
      <c r="G232" s="144">
        <v>1.177117104691406</v>
      </c>
      <c r="H232" s="144">
        <v>2.9395513238058677</v>
      </c>
      <c r="I232" s="145">
        <v>2100</v>
      </c>
      <c r="J232" s="145">
        <v>7266.4119010773202</v>
      </c>
      <c r="K232" s="145">
        <v>5373.8108813959298</v>
      </c>
      <c r="L232" s="145">
        <v>1100.6016476216607</v>
      </c>
      <c r="M232" s="148">
        <v>0.2</v>
      </c>
      <c r="N232" s="145">
        <v>1453.2823802154642</v>
      </c>
      <c r="O232" s="145">
        <v>1074.762176279186</v>
      </c>
      <c r="P232" s="145">
        <v>220.12032952433213</v>
      </c>
      <c r="Q232" s="1"/>
      <c r="R232" s="150"/>
      <c r="T232" s="255">
        <v>2047</v>
      </c>
      <c r="U232" s="241">
        <v>63</v>
      </c>
      <c r="V232" s="241">
        <v>28</v>
      </c>
      <c r="W232" s="241">
        <v>1</v>
      </c>
      <c r="X232" s="256">
        <v>0.45273876053242179</v>
      </c>
      <c r="Y232" s="256">
        <v>0.31772506107702925</v>
      </c>
      <c r="Z232" s="256">
        <v>0.94259590913375435</v>
      </c>
      <c r="AA232" s="256">
        <v>2.2529213201476748</v>
      </c>
      <c r="AB232" s="257">
        <v>15000</v>
      </c>
      <c r="AC232" s="257">
        <v>31853.916299571232</v>
      </c>
      <c r="AD232" s="257">
        <v>14421.502583571388</v>
      </c>
      <c r="AE232" s="257">
        <v>4582.0727891877541</v>
      </c>
      <c r="AF232" s="264">
        <v>0.2</v>
      </c>
      <c r="AG232" s="257">
        <v>6370.7832599142466</v>
      </c>
      <c r="AH232" s="257">
        <v>2884.3005167142774</v>
      </c>
      <c r="AI232" s="258">
        <v>916.41455783755077</v>
      </c>
    </row>
    <row r="233" spans="1:35" x14ac:dyDescent="0.25">
      <c r="A233" s="143">
        <v>2057</v>
      </c>
      <c r="B233" s="143">
        <v>73</v>
      </c>
      <c r="C233" s="143">
        <v>38</v>
      </c>
      <c r="D233" s="143">
        <v>1</v>
      </c>
      <c r="E233" s="144">
        <v>0.72671709233030368</v>
      </c>
      <c r="F233" s="144">
        <v>0.19505562597723547</v>
      </c>
      <c r="G233" s="144">
        <v>1.2006594467852341</v>
      </c>
      <c r="H233" s="144">
        <v>3.0277378635200436</v>
      </c>
      <c r="I233" s="145">
        <v>2100</v>
      </c>
      <c r="J233" s="145">
        <v>7634.0923432718319</v>
      </c>
      <c r="K233" s="145">
        <v>5547.8253902835404</v>
      </c>
      <c r="L233" s="145">
        <v>1082.1345543141567</v>
      </c>
      <c r="M233" s="148">
        <v>0.2</v>
      </c>
      <c r="N233" s="145">
        <v>1526.8184686543664</v>
      </c>
      <c r="O233" s="145">
        <v>1109.565078056708</v>
      </c>
      <c r="P233" s="145">
        <v>216.42691086283131</v>
      </c>
      <c r="Q233" s="1"/>
      <c r="R233" s="150"/>
      <c r="T233" s="255">
        <v>2048</v>
      </c>
      <c r="U233" s="241">
        <v>64</v>
      </c>
      <c r="V233" s="241">
        <v>29</v>
      </c>
      <c r="W233" s="241">
        <v>1</v>
      </c>
      <c r="X233" s="256">
        <v>0.52068955064672595</v>
      </c>
      <c r="Y233" s="256">
        <v>0.30259529626383735</v>
      </c>
      <c r="Z233" s="256">
        <v>0.970873786407767</v>
      </c>
      <c r="AA233" s="256">
        <v>2.3205089597521051</v>
      </c>
      <c r="AB233" s="257">
        <v>15000</v>
      </c>
      <c r="AC233" s="257">
        <v>33793.819802215119</v>
      </c>
      <c r="AD233" s="257">
        <v>17596.088847451818</v>
      </c>
      <c r="AE233" s="257">
        <v>5324.4937178794871</v>
      </c>
      <c r="AF233" s="264">
        <v>0.2</v>
      </c>
      <c r="AG233" s="257">
        <v>6758.7639604430242</v>
      </c>
      <c r="AH233" s="257">
        <v>3519.2177694903639</v>
      </c>
      <c r="AI233" s="258">
        <v>1064.8987435758975</v>
      </c>
    </row>
    <row r="234" spans="1:35" x14ac:dyDescent="0.25">
      <c r="A234" s="143">
        <v>2058</v>
      </c>
      <c r="B234" s="143">
        <v>74</v>
      </c>
      <c r="C234" s="143">
        <v>39</v>
      </c>
      <c r="D234" s="143">
        <v>1</v>
      </c>
      <c r="E234" s="144">
        <v>0.71233691426354162</v>
      </c>
      <c r="F234" s="144">
        <v>0.18576726283546235</v>
      </c>
      <c r="G234" s="144">
        <v>1.2246726357209388</v>
      </c>
      <c r="H234" s="144">
        <v>3.1185699994256448</v>
      </c>
      <c r="I234" s="145">
        <v>2100</v>
      </c>
      <c r="J234" s="145">
        <v>8020.3774158413862</v>
      </c>
      <c r="K234" s="145">
        <v>5713.210899629451</v>
      </c>
      <c r="L234" s="145">
        <v>1061.3275508258926</v>
      </c>
      <c r="M234" s="148">
        <v>0.2</v>
      </c>
      <c r="N234" s="145">
        <v>1604.0754831682773</v>
      </c>
      <c r="O234" s="145">
        <v>1142.6421799258903</v>
      </c>
      <c r="P234" s="145">
        <v>212.26551016517854</v>
      </c>
      <c r="Q234" s="1"/>
      <c r="R234" s="150"/>
      <c r="T234" s="255">
        <v>2049</v>
      </c>
      <c r="U234" s="241">
        <v>65</v>
      </c>
      <c r="V234" s="241">
        <v>30</v>
      </c>
      <c r="W234" s="241">
        <v>1</v>
      </c>
      <c r="X234" s="256">
        <v>0.79766257984514588</v>
      </c>
      <c r="Y234" s="256">
        <v>0.28818599644174986</v>
      </c>
      <c r="Z234" s="256">
        <v>1</v>
      </c>
      <c r="AA234" s="256">
        <v>2.3901242285446682</v>
      </c>
      <c r="AB234" s="257">
        <v>2100</v>
      </c>
      <c r="AC234" s="257">
        <v>5019.260879943803</v>
      </c>
      <c r="AD234" s="257">
        <v>4003.6765824117911</v>
      </c>
      <c r="AE234" s="257">
        <v>1153.8035253328417</v>
      </c>
      <c r="AF234" s="264">
        <v>0.2</v>
      </c>
      <c r="AG234" s="257">
        <v>1003.8521759887607</v>
      </c>
      <c r="AH234" s="257">
        <v>800.73531648235826</v>
      </c>
      <c r="AI234" s="258">
        <v>230.76070506656833</v>
      </c>
    </row>
    <row r="235" spans="1:35" x14ac:dyDescent="0.25">
      <c r="A235" s="143">
        <v>2059</v>
      </c>
      <c r="B235" s="143">
        <v>75</v>
      </c>
      <c r="C235" s="143">
        <v>40</v>
      </c>
      <c r="D235" s="143">
        <v>1</v>
      </c>
      <c r="E235" s="144">
        <v>0.69628473000971236</v>
      </c>
      <c r="F235" s="144">
        <v>0.17692120270044032</v>
      </c>
      <c r="G235" s="144">
        <v>1.2491660884353575</v>
      </c>
      <c r="H235" s="144">
        <v>3.2121270994084141</v>
      </c>
      <c r="I235" s="145">
        <v>2100</v>
      </c>
      <c r="J235" s="145">
        <v>8426.2085130829601</v>
      </c>
      <c r="K235" s="145">
        <v>5867.0403195375084</v>
      </c>
      <c r="L235" s="145">
        <v>1038.0038296245516</v>
      </c>
      <c r="M235" s="148">
        <v>0.2</v>
      </c>
      <c r="N235" s="145">
        <v>1685.2417026165922</v>
      </c>
      <c r="O235" s="145">
        <v>1173.4080639075019</v>
      </c>
      <c r="P235" s="145">
        <v>207.60076592491035</v>
      </c>
      <c r="Q235" s="1"/>
      <c r="R235" s="150"/>
      <c r="T235" s="255">
        <v>2050</v>
      </c>
      <c r="U235" s="241">
        <v>66</v>
      </c>
      <c r="V235" s="241">
        <v>31</v>
      </c>
      <c r="W235" s="241">
        <v>1</v>
      </c>
      <c r="X235" s="256">
        <v>0.79172098825197978</v>
      </c>
      <c r="Y235" s="256">
        <v>0.2744628537540475</v>
      </c>
      <c r="Z235" s="256">
        <v>1.0249999999999999</v>
      </c>
      <c r="AA235" s="256">
        <v>2.4618279554010085</v>
      </c>
      <c r="AB235" s="257">
        <v>2100</v>
      </c>
      <c r="AC235" s="257">
        <v>5299.08467400067</v>
      </c>
      <c r="AD235" s="257">
        <v>4195.3965549307304</v>
      </c>
      <c r="AE235" s="257">
        <v>1151.4805110961877</v>
      </c>
      <c r="AF235" s="264">
        <v>0.2</v>
      </c>
      <c r="AG235" s="257">
        <v>1059.816934800134</v>
      </c>
      <c r="AH235" s="257">
        <v>839.0793109861462</v>
      </c>
      <c r="AI235" s="258">
        <v>230.29610221923758</v>
      </c>
    </row>
    <row r="236" spans="1:35" x14ac:dyDescent="0.25">
      <c r="A236" s="143">
        <v>2060</v>
      </c>
      <c r="B236" s="143">
        <v>76</v>
      </c>
      <c r="C236" s="143">
        <v>41</v>
      </c>
      <c r="D236" s="143">
        <v>1</v>
      </c>
      <c r="E236" s="144">
        <v>0.67847337196075141</v>
      </c>
      <c r="F236" s="144">
        <v>0.16849638352422885</v>
      </c>
      <c r="G236" s="144">
        <v>1.2679035797618876</v>
      </c>
      <c r="H236" s="144">
        <v>3.3084909123906665</v>
      </c>
      <c r="I236" s="145">
        <v>2100</v>
      </c>
      <c r="J236" s="145">
        <v>8809.1796900025802</v>
      </c>
      <c r="K236" s="145">
        <v>5976.7938484842171</v>
      </c>
      <c r="L236" s="145">
        <v>1007.0681485394484</v>
      </c>
      <c r="M236" s="148">
        <v>0.2</v>
      </c>
      <c r="N236" s="145">
        <v>1761.8359380005161</v>
      </c>
      <c r="O236" s="145">
        <v>1195.3587696968434</v>
      </c>
      <c r="P236" s="145">
        <v>201.41362970788967</v>
      </c>
      <c r="Q236" s="1"/>
      <c r="R236" s="150"/>
      <c r="T236" s="255">
        <v>2051</v>
      </c>
      <c r="U236" s="241">
        <v>67</v>
      </c>
      <c r="V236" s="241">
        <v>32</v>
      </c>
      <c r="W236" s="241">
        <v>1</v>
      </c>
      <c r="X236" s="256">
        <v>0.78519068500938616</v>
      </c>
      <c r="Y236" s="256">
        <v>0.26139319405147382</v>
      </c>
      <c r="Z236" s="256">
        <v>1.0506249999999999</v>
      </c>
      <c r="AA236" s="256">
        <v>2.5356827940630389</v>
      </c>
      <c r="AB236" s="257">
        <v>2100</v>
      </c>
      <c r="AC236" s="257">
        <v>5594.5086445762081</v>
      </c>
      <c r="AD236" s="257">
        <v>4392.7560749257254</v>
      </c>
      <c r="AE236" s="257">
        <v>1148.2365411138505</v>
      </c>
      <c r="AF236" s="264">
        <v>0.2</v>
      </c>
      <c r="AG236" s="257">
        <v>1118.9017289152416</v>
      </c>
      <c r="AH236" s="257">
        <v>878.55121498514507</v>
      </c>
      <c r="AI236" s="258">
        <v>229.64730822277011</v>
      </c>
    </row>
    <row r="237" spans="1:35" x14ac:dyDescent="0.25">
      <c r="A237" s="143">
        <v>2061</v>
      </c>
      <c r="B237" s="143">
        <v>77</v>
      </c>
      <c r="C237" s="143">
        <v>42</v>
      </c>
      <c r="D237" s="143">
        <v>1</v>
      </c>
      <c r="E237" s="144">
        <v>0.65884793814485254</v>
      </c>
      <c r="F237" s="144">
        <v>0.16047274621355129</v>
      </c>
      <c r="G237" s="144">
        <v>1.2869221334583159</v>
      </c>
      <c r="H237" s="144">
        <v>3.4077456397623864</v>
      </c>
      <c r="I237" s="145">
        <v>2100</v>
      </c>
      <c r="J237" s="145">
        <v>9209.5569069131961</v>
      </c>
      <c r="K237" s="145">
        <v>6067.6975793474448</v>
      </c>
      <c r="L237" s="145">
        <v>973.70009375120196</v>
      </c>
      <c r="M237" s="148">
        <v>0.2</v>
      </c>
      <c r="N237" s="145">
        <v>1841.9113813826393</v>
      </c>
      <c r="O237" s="145">
        <v>1213.5395158694892</v>
      </c>
      <c r="P237" s="145">
        <v>194.74001875024044</v>
      </c>
      <c r="Q237" s="1"/>
      <c r="R237" s="150"/>
      <c r="T237" s="255">
        <v>2052</v>
      </c>
      <c r="U237" s="241">
        <v>68</v>
      </c>
      <c r="V237" s="241">
        <v>33</v>
      </c>
      <c r="W237" s="241">
        <v>1</v>
      </c>
      <c r="X237" s="256">
        <v>0.77796864595838189</v>
      </c>
      <c r="Y237" s="256">
        <v>0.24894589909664172</v>
      </c>
      <c r="Z237" s="256">
        <v>1.0768906249999999</v>
      </c>
      <c r="AA237" s="256">
        <v>2.6117532778849299</v>
      </c>
      <c r="AB237" s="257">
        <v>2100</v>
      </c>
      <c r="AC237" s="257">
        <v>5906.4025015113311</v>
      </c>
      <c r="AD237" s="257">
        <v>4594.9959565859699</v>
      </c>
      <c r="AE237" s="257">
        <v>1143.9053997577275</v>
      </c>
      <c r="AF237" s="264">
        <v>0.2</v>
      </c>
      <c r="AG237" s="257">
        <v>1181.2805003022663</v>
      </c>
      <c r="AH237" s="257">
        <v>918.999191317194</v>
      </c>
      <c r="AI237" s="258">
        <v>228.78107995154551</v>
      </c>
    </row>
    <row r="238" spans="1:35" x14ac:dyDescent="0.25">
      <c r="A238" s="143">
        <v>2062</v>
      </c>
      <c r="B238" s="143">
        <v>78</v>
      </c>
      <c r="C238" s="143">
        <v>43</v>
      </c>
      <c r="D238" s="143">
        <v>1</v>
      </c>
      <c r="E238" s="144">
        <v>0.63738901021444172</v>
      </c>
      <c r="F238" s="144">
        <v>0.15283118687004885</v>
      </c>
      <c r="G238" s="144">
        <v>1.3062259654601904</v>
      </c>
      <c r="H238" s="144">
        <v>3.5099780089552581</v>
      </c>
      <c r="I238" s="145">
        <v>2100</v>
      </c>
      <c r="J238" s="145">
        <v>9628.1312683323995</v>
      </c>
      <c r="K238" s="145">
        <v>6136.8650593371058</v>
      </c>
      <c r="L238" s="145">
        <v>937.90437067982259</v>
      </c>
      <c r="M238" s="148">
        <v>0.2</v>
      </c>
      <c r="N238" s="145">
        <v>1925.6262536664799</v>
      </c>
      <c r="O238" s="145">
        <v>1227.3730118674212</v>
      </c>
      <c r="P238" s="145">
        <v>187.58087413596454</v>
      </c>
      <c r="Q238" s="1"/>
      <c r="R238" s="150"/>
      <c r="T238" s="255">
        <v>2053</v>
      </c>
      <c r="U238" s="241">
        <v>69</v>
      </c>
      <c r="V238" s="241">
        <v>34</v>
      </c>
      <c r="W238" s="241">
        <v>1</v>
      </c>
      <c r="X238" s="256">
        <v>0.76995784382714261</v>
      </c>
      <c r="Y238" s="256">
        <v>0.23709133247299211</v>
      </c>
      <c r="Z238" s="256">
        <v>1.1038128906249998</v>
      </c>
      <c r="AA238" s="256">
        <v>2.690105876221478</v>
      </c>
      <c r="AB238" s="257">
        <v>2100</v>
      </c>
      <c r="AC238" s="257">
        <v>6235.6844409705873</v>
      </c>
      <c r="AD238" s="257">
        <v>4801.2141469561748</v>
      </c>
      <c r="AE238" s="257">
        <v>1138.3262595900196</v>
      </c>
      <c r="AF238" s="264">
        <v>0.2</v>
      </c>
      <c r="AG238" s="257">
        <v>1247.1368881941175</v>
      </c>
      <c r="AH238" s="257">
        <v>960.24282939123498</v>
      </c>
      <c r="AI238" s="258">
        <v>227.66525191800392</v>
      </c>
    </row>
    <row r="239" spans="1:35" x14ac:dyDescent="0.25">
      <c r="A239" s="143">
        <v>2063</v>
      </c>
      <c r="B239" s="143">
        <v>79</v>
      </c>
      <c r="C239" s="143">
        <v>44</v>
      </c>
      <c r="D239" s="143">
        <v>1</v>
      </c>
      <c r="E239" s="144">
        <v>0.61414668724683197</v>
      </c>
      <c r="F239" s="144">
        <v>0.14555351130480843</v>
      </c>
      <c r="G239" s="144">
        <v>1.3258193549420931</v>
      </c>
      <c r="H239" s="144">
        <v>3.6152773492239159</v>
      </c>
      <c r="I239" s="145">
        <v>2100</v>
      </c>
      <c r="J239" s="145">
        <v>10065.729834478107</v>
      </c>
      <c r="K239" s="145">
        <v>6181.8346325663315</v>
      </c>
      <c r="L239" s="145">
        <v>899.78773707569974</v>
      </c>
      <c r="M239" s="148">
        <v>0.2</v>
      </c>
      <c r="N239" s="145">
        <v>2013.1459668956213</v>
      </c>
      <c r="O239" s="145">
        <v>1236.3669265132662</v>
      </c>
      <c r="P239" s="145">
        <v>179.95754741513994</v>
      </c>
      <c r="Q239" s="1"/>
      <c r="R239" s="150"/>
      <c r="T239" s="255">
        <v>2054</v>
      </c>
      <c r="U239" s="241">
        <v>70</v>
      </c>
      <c r="V239" s="241">
        <v>35</v>
      </c>
      <c r="W239" s="241">
        <v>1</v>
      </c>
      <c r="X239" s="256">
        <v>0.76099099939548975</v>
      </c>
      <c r="Y239" s="256">
        <v>0.22580126902189723</v>
      </c>
      <c r="Z239" s="256">
        <v>1.1314082128906247</v>
      </c>
      <c r="AA239" s="256">
        <v>2.7708090525081226</v>
      </c>
      <c r="AB239" s="257">
        <v>2100</v>
      </c>
      <c r="AC239" s="257">
        <v>6583.3238485546972</v>
      </c>
      <c r="AD239" s="257">
        <v>5009.8501948558005</v>
      </c>
      <c r="AE239" s="257">
        <v>1131.230531608039</v>
      </c>
      <c r="AF239" s="264">
        <v>0.2</v>
      </c>
      <c r="AG239" s="257">
        <v>1316.6647697109395</v>
      </c>
      <c r="AH239" s="257">
        <v>1001.9700389711602</v>
      </c>
      <c r="AI239" s="258">
        <v>226.24610632160778</v>
      </c>
    </row>
    <row r="240" spans="1:35" x14ac:dyDescent="0.25">
      <c r="A240" s="143">
        <v>2064</v>
      </c>
      <c r="B240" s="143">
        <v>80</v>
      </c>
      <c r="C240" s="143">
        <v>45</v>
      </c>
      <c r="D240" s="143">
        <v>1</v>
      </c>
      <c r="E240" s="144">
        <v>0.58917743669067546</v>
      </c>
      <c r="F240" s="144">
        <v>0.13862239171886517</v>
      </c>
      <c r="G240" s="144">
        <v>1.3457066452662243</v>
      </c>
      <c r="H240" s="144">
        <v>3.7237356697006336</v>
      </c>
      <c r="I240" s="145">
        <v>2100</v>
      </c>
      <c r="J240" s="145">
        <v>10523.217255455134</v>
      </c>
      <c r="K240" s="145">
        <v>6200.0421683081413</v>
      </c>
      <c r="L240" s="145">
        <v>859.46467412869333</v>
      </c>
      <c r="M240" s="148">
        <v>0.2</v>
      </c>
      <c r="N240" s="145">
        <v>2104.6434510910271</v>
      </c>
      <c r="O240" s="145">
        <v>1240.0084336616283</v>
      </c>
      <c r="P240" s="145">
        <v>171.89293482573868</v>
      </c>
      <c r="Q240" s="1"/>
      <c r="R240" s="150"/>
      <c r="T240" s="255">
        <v>2055</v>
      </c>
      <c r="U240" s="241">
        <v>71</v>
      </c>
      <c r="V240" s="241">
        <v>36</v>
      </c>
      <c r="W240" s="241">
        <v>1</v>
      </c>
      <c r="X240" s="256">
        <v>0.75091190409580877</v>
      </c>
      <c r="Y240" s="256">
        <v>0.21504882763990213</v>
      </c>
      <c r="Z240" s="256">
        <v>1.1540363771484372</v>
      </c>
      <c r="AA240" s="256">
        <v>2.8539333240833664</v>
      </c>
      <c r="AB240" s="257">
        <v>2100</v>
      </c>
      <c r="AC240" s="257">
        <v>6916.4400352915663</v>
      </c>
      <c r="AD240" s="257">
        <v>5193.6371564652727</v>
      </c>
      <c r="AE240" s="257">
        <v>1116.8855816848918</v>
      </c>
      <c r="AF240" s="264">
        <v>0.2</v>
      </c>
      <c r="AG240" s="257">
        <v>1383.2880070583133</v>
      </c>
      <c r="AH240" s="257">
        <v>1038.7274312930547</v>
      </c>
      <c r="AI240" s="258">
        <v>223.37711633697839</v>
      </c>
    </row>
    <row r="241" spans="1:35" x14ac:dyDescent="0.25">
      <c r="A241" s="143">
        <v>2065</v>
      </c>
      <c r="B241" s="143">
        <v>81</v>
      </c>
      <c r="C241" s="143">
        <v>46</v>
      </c>
      <c r="D241" s="143">
        <v>1</v>
      </c>
      <c r="E241" s="144">
        <v>0.5625186945210614</v>
      </c>
      <c r="F241" s="144">
        <v>0.13202132544653825</v>
      </c>
      <c r="G241" s="144">
        <v>1.3591637117188866</v>
      </c>
      <c r="H241" s="144">
        <v>3.8354477397916527</v>
      </c>
      <c r="I241" s="145">
        <v>2100</v>
      </c>
      <c r="J241" s="145">
        <v>10947.302910849978</v>
      </c>
      <c r="K241" s="145">
        <v>6158.0625419379448</v>
      </c>
      <c r="L241" s="145">
        <v>812.99557896932595</v>
      </c>
      <c r="M241" s="148">
        <v>0.2</v>
      </c>
      <c r="N241" s="145">
        <v>2189.4605821699956</v>
      </c>
      <c r="O241" s="145">
        <v>1231.6125083875891</v>
      </c>
      <c r="P241" s="145">
        <v>162.59911579386522</v>
      </c>
      <c r="Q241" s="1"/>
      <c r="R241" s="150"/>
      <c r="T241" s="255">
        <v>2056</v>
      </c>
      <c r="U241" s="241">
        <v>72</v>
      </c>
      <c r="V241" s="241">
        <v>37</v>
      </c>
      <c r="W241" s="241">
        <v>1</v>
      </c>
      <c r="X241" s="256">
        <v>0.73954118684067538</v>
      </c>
      <c r="Y241" s="256">
        <v>0.20480840727609725</v>
      </c>
      <c r="Z241" s="256">
        <v>1.177117104691406</v>
      </c>
      <c r="AA241" s="256">
        <v>2.9395513238058677</v>
      </c>
      <c r="AB241" s="257">
        <v>2100</v>
      </c>
      <c r="AC241" s="257">
        <v>7266.4119010773202</v>
      </c>
      <c r="AD241" s="257">
        <v>5373.8108813959298</v>
      </c>
      <c r="AE241" s="257">
        <v>1100.6016476216607</v>
      </c>
      <c r="AF241" s="264">
        <v>0.2</v>
      </c>
      <c r="AG241" s="257">
        <v>1453.2823802154642</v>
      </c>
      <c r="AH241" s="257">
        <v>1074.762176279186</v>
      </c>
      <c r="AI241" s="258">
        <v>220.12032952433213</v>
      </c>
    </row>
    <row r="242" spans="1:35" x14ac:dyDescent="0.25">
      <c r="A242" s="143">
        <v>2066</v>
      </c>
      <c r="B242" s="143">
        <v>82</v>
      </c>
      <c r="C242" s="143">
        <v>47</v>
      </c>
      <c r="D242" s="143">
        <v>1</v>
      </c>
      <c r="E242" s="144">
        <v>0.534314615711035</v>
      </c>
      <c r="F242" s="144">
        <v>0.12573459566336975</v>
      </c>
      <c r="G242" s="144">
        <v>1.3727553488360755</v>
      </c>
      <c r="H242" s="144">
        <v>3.9505111719854025</v>
      </c>
      <c r="I242" s="145">
        <v>2100</v>
      </c>
      <c r="J242" s="145">
        <v>11388.479218157234</v>
      </c>
      <c r="K242" s="145">
        <v>6085.0308969827911</v>
      </c>
      <c r="L242" s="145">
        <v>765.09889943124335</v>
      </c>
      <c r="M242" s="148">
        <v>0.2</v>
      </c>
      <c r="N242" s="145">
        <v>2277.6958436314467</v>
      </c>
      <c r="O242" s="145">
        <v>1217.0061793965581</v>
      </c>
      <c r="P242" s="145">
        <v>153.01977988624867</v>
      </c>
      <c r="Q242" s="1"/>
      <c r="R242" s="150"/>
      <c r="T242" s="255">
        <v>2057</v>
      </c>
      <c r="U242" s="241">
        <v>73</v>
      </c>
      <c r="V242" s="241">
        <v>38</v>
      </c>
      <c r="W242" s="241">
        <v>1</v>
      </c>
      <c r="X242" s="256">
        <v>0.72671709233030368</v>
      </c>
      <c r="Y242" s="256">
        <v>0.19505562597723547</v>
      </c>
      <c r="Z242" s="256">
        <v>1.2006594467852341</v>
      </c>
      <c r="AA242" s="256">
        <v>3.0277378635200436</v>
      </c>
      <c r="AB242" s="257">
        <v>2100</v>
      </c>
      <c r="AC242" s="257">
        <v>7634.0923432718319</v>
      </c>
      <c r="AD242" s="257">
        <v>5547.8253902835404</v>
      </c>
      <c r="AE242" s="257">
        <v>1082.1345543141567</v>
      </c>
      <c r="AF242" s="264">
        <v>0.2</v>
      </c>
      <c r="AG242" s="257">
        <v>1526.8184686543664</v>
      </c>
      <c r="AH242" s="257">
        <v>1109.565078056708</v>
      </c>
      <c r="AI242" s="258">
        <v>216.42691086283131</v>
      </c>
    </row>
    <row r="243" spans="1:35" x14ac:dyDescent="0.25">
      <c r="A243" s="143">
        <v>2067</v>
      </c>
      <c r="B243" s="143">
        <v>83</v>
      </c>
      <c r="C243" s="143">
        <v>48</v>
      </c>
      <c r="D243" s="143">
        <v>1</v>
      </c>
      <c r="E243" s="144">
        <v>0.50475262858610526</v>
      </c>
      <c r="F243" s="144">
        <v>0.11974723396511404</v>
      </c>
      <c r="G243" s="144">
        <v>1.3864829023244363</v>
      </c>
      <c r="H243" s="144">
        <v>4.0690265071449643</v>
      </c>
      <c r="I243" s="145">
        <v>2100</v>
      </c>
      <c r="J243" s="145">
        <v>11847.434930648969</v>
      </c>
      <c r="K243" s="145">
        <v>5980.0239232479089</v>
      </c>
      <c r="L243" s="145">
        <v>716.09132385414648</v>
      </c>
      <c r="M243" s="148">
        <v>0.2</v>
      </c>
      <c r="N243" s="145">
        <v>2369.4869861297939</v>
      </c>
      <c r="O243" s="145">
        <v>1196.0047846495818</v>
      </c>
      <c r="P243" s="145">
        <v>143.21826477082931</v>
      </c>
      <c r="Q243" s="1"/>
      <c r="R243" s="150"/>
      <c r="T243" s="255">
        <v>2058</v>
      </c>
      <c r="U243" s="241">
        <v>74</v>
      </c>
      <c r="V243" s="241">
        <v>39</v>
      </c>
      <c r="W243" s="241">
        <v>1</v>
      </c>
      <c r="X243" s="256">
        <v>0.71233691426354162</v>
      </c>
      <c r="Y243" s="256">
        <v>0.18576726283546235</v>
      </c>
      <c r="Z243" s="256">
        <v>1.2246726357209388</v>
      </c>
      <c r="AA243" s="256">
        <v>3.1185699994256448</v>
      </c>
      <c r="AB243" s="257">
        <v>2100</v>
      </c>
      <c r="AC243" s="257">
        <v>8020.3774158413862</v>
      </c>
      <c r="AD243" s="257">
        <v>5713.210899629451</v>
      </c>
      <c r="AE243" s="257">
        <v>1061.3275508258926</v>
      </c>
      <c r="AF243" s="264">
        <v>0.2</v>
      </c>
      <c r="AG243" s="257">
        <v>1604.0754831682773</v>
      </c>
      <c r="AH243" s="257">
        <v>1142.6421799258903</v>
      </c>
      <c r="AI243" s="258">
        <v>212.26551016517854</v>
      </c>
    </row>
    <row r="244" spans="1:35" x14ac:dyDescent="0.25">
      <c r="A244" s="143">
        <v>2068</v>
      </c>
      <c r="B244" s="143">
        <v>84</v>
      </c>
      <c r="C244" s="143">
        <v>49</v>
      </c>
      <c r="D244" s="143">
        <v>1</v>
      </c>
      <c r="E244" s="144">
        <v>0.47403099591910092</v>
      </c>
      <c r="F244" s="144">
        <v>0.11404498472868004</v>
      </c>
      <c r="G244" s="144">
        <v>1.4003477313476806</v>
      </c>
      <c r="H244" s="144">
        <v>4.1910973023593137</v>
      </c>
      <c r="I244" s="145">
        <v>2100</v>
      </c>
      <c r="J244" s="145">
        <v>12324.886558354123</v>
      </c>
      <c r="K244" s="145">
        <v>5842.3782498465453</v>
      </c>
      <c r="L244" s="145">
        <v>666.29393828292166</v>
      </c>
      <c r="M244" s="148">
        <v>0.2</v>
      </c>
      <c r="N244" s="145">
        <v>2464.9773116708247</v>
      </c>
      <c r="O244" s="145">
        <v>1168.4756499693092</v>
      </c>
      <c r="P244" s="145">
        <v>133.25878765658433</v>
      </c>
      <c r="Q244" s="1"/>
      <c r="R244" s="150"/>
      <c r="T244" s="255">
        <v>2059</v>
      </c>
      <c r="U244" s="241">
        <v>75</v>
      </c>
      <c r="V244" s="241">
        <v>40</v>
      </c>
      <c r="W244" s="241">
        <v>1</v>
      </c>
      <c r="X244" s="256">
        <v>0.69628473000971236</v>
      </c>
      <c r="Y244" s="256">
        <v>0.17692120270044032</v>
      </c>
      <c r="Z244" s="256">
        <v>1.2491660884353575</v>
      </c>
      <c r="AA244" s="256">
        <v>3.2121270994084141</v>
      </c>
      <c r="AB244" s="257">
        <v>2100</v>
      </c>
      <c r="AC244" s="257">
        <v>8426.2085130829601</v>
      </c>
      <c r="AD244" s="257">
        <v>5867.0403195375084</v>
      </c>
      <c r="AE244" s="257">
        <v>1038.0038296245516</v>
      </c>
      <c r="AF244" s="264">
        <v>0.2</v>
      </c>
      <c r="AG244" s="257">
        <v>1685.2417026165922</v>
      </c>
      <c r="AH244" s="257">
        <v>1173.4080639075019</v>
      </c>
      <c r="AI244" s="258">
        <v>207.60076592491035</v>
      </c>
    </row>
    <row r="245" spans="1:35" x14ac:dyDescent="0.25">
      <c r="A245" s="143">
        <v>2069</v>
      </c>
      <c r="B245" s="143">
        <v>85</v>
      </c>
      <c r="C245" s="143">
        <v>50</v>
      </c>
      <c r="D245" s="143">
        <v>1</v>
      </c>
      <c r="E245" s="144">
        <v>0.44238966442216721</v>
      </c>
      <c r="F245" s="144">
        <v>0.10861427117017146</v>
      </c>
      <c r="G245" s="144">
        <v>1.4143512086611574</v>
      </c>
      <c r="H245" s="144">
        <v>4.3168302214300933</v>
      </c>
      <c r="I245" s="145">
        <v>2100</v>
      </c>
      <c r="J245" s="145">
        <v>12821.579486655795</v>
      </c>
      <c r="K245" s="145">
        <v>5672.1342464638001</v>
      </c>
      <c r="L245" s="145">
        <v>616.07472715903532</v>
      </c>
      <c r="M245" s="148">
        <v>0.2</v>
      </c>
      <c r="N245" s="145">
        <v>2564.3158973311592</v>
      </c>
      <c r="O245" s="145">
        <v>1134.4268492927602</v>
      </c>
      <c r="P245" s="145">
        <v>123.21494543180708</v>
      </c>
      <c r="Q245" s="1"/>
      <c r="R245" s="150"/>
      <c r="T245" s="255">
        <v>2060</v>
      </c>
      <c r="U245" s="241">
        <v>76</v>
      </c>
      <c r="V245" s="241">
        <v>41</v>
      </c>
      <c r="W245" s="241">
        <v>1</v>
      </c>
      <c r="X245" s="256">
        <v>0.67847337196075141</v>
      </c>
      <c r="Y245" s="256">
        <v>0.16849638352422885</v>
      </c>
      <c r="Z245" s="256">
        <v>1.2679035797618876</v>
      </c>
      <c r="AA245" s="256">
        <v>3.3084909123906665</v>
      </c>
      <c r="AB245" s="257">
        <v>2100</v>
      </c>
      <c r="AC245" s="257">
        <v>8809.1796900025802</v>
      </c>
      <c r="AD245" s="257">
        <v>5976.7938484842171</v>
      </c>
      <c r="AE245" s="257">
        <v>1007.0681485394484</v>
      </c>
      <c r="AF245" s="264">
        <v>0.2</v>
      </c>
      <c r="AG245" s="257">
        <v>1761.8359380005161</v>
      </c>
      <c r="AH245" s="257">
        <v>1195.3587696968434</v>
      </c>
      <c r="AI245" s="258">
        <v>201.41362970788967</v>
      </c>
    </row>
    <row r="246" spans="1:35" x14ac:dyDescent="0.25">
      <c r="A246" s="143">
        <v>2070</v>
      </c>
      <c r="B246" s="143">
        <v>86</v>
      </c>
      <c r="C246" s="143">
        <v>51</v>
      </c>
      <c r="D246" s="143">
        <v>1</v>
      </c>
      <c r="E246" s="144">
        <v>0.41003829342478615</v>
      </c>
      <c r="F246" s="144">
        <v>0.10344216301921091</v>
      </c>
      <c r="G246" s="144">
        <v>1.4214229647044629</v>
      </c>
      <c r="H246" s="144">
        <v>4.4463351280729961</v>
      </c>
      <c r="I246" s="145">
        <v>2100</v>
      </c>
      <c r="J246" s="145">
        <v>13272.258005611744</v>
      </c>
      <c r="K246" s="145">
        <v>5442.134022514495</v>
      </c>
      <c r="L246" s="145">
        <v>562.94611472933843</v>
      </c>
      <c r="M246" s="148">
        <v>0.2</v>
      </c>
      <c r="N246" s="145">
        <v>2654.4516011223491</v>
      </c>
      <c r="O246" s="145">
        <v>1088.4268045028991</v>
      </c>
      <c r="P246" s="145">
        <v>112.5892229458677</v>
      </c>
      <c r="Q246" s="1"/>
      <c r="R246" s="150"/>
      <c r="T246" s="255">
        <v>2061</v>
      </c>
      <c r="U246" s="241">
        <v>77</v>
      </c>
      <c r="V246" s="241">
        <v>42</v>
      </c>
      <c r="W246" s="241">
        <v>1</v>
      </c>
      <c r="X246" s="256">
        <v>0.65884793814485254</v>
      </c>
      <c r="Y246" s="256">
        <v>0.16047274621355129</v>
      </c>
      <c r="Z246" s="256">
        <v>1.2869221334583159</v>
      </c>
      <c r="AA246" s="256">
        <v>3.4077456397623864</v>
      </c>
      <c r="AB246" s="257">
        <v>2100</v>
      </c>
      <c r="AC246" s="257">
        <v>9209.5569069131961</v>
      </c>
      <c r="AD246" s="257">
        <v>6067.6975793474448</v>
      </c>
      <c r="AE246" s="257">
        <v>973.70009375120196</v>
      </c>
      <c r="AF246" s="264">
        <v>0.2</v>
      </c>
      <c r="AG246" s="257">
        <v>1841.9113813826393</v>
      </c>
      <c r="AH246" s="257">
        <v>1213.5395158694892</v>
      </c>
      <c r="AI246" s="258">
        <v>194.74001875024044</v>
      </c>
    </row>
    <row r="247" spans="1:35" x14ac:dyDescent="0.25">
      <c r="A247" s="143">
        <v>2071</v>
      </c>
      <c r="B247" s="143">
        <v>87</v>
      </c>
      <c r="C247" s="143">
        <v>52</v>
      </c>
      <c r="D247" s="143">
        <v>1</v>
      </c>
      <c r="E247" s="144">
        <v>0.37719232451930973</v>
      </c>
      <c r="F247" s="144">
        <v>9.851634573258182E-2</v>
      </c>
      <c r="G247" s="144">
        <v>1.4285300795279852</v>
      </c>
      <c r="H247" s="144">
        <v>4.5797251819151858</v>
      </c>
      <c r="I247" s="145">
        <v>2100</v>
      </c>
      <c r="J247" s="145">
        <v>13738.777874508996</v>
      </c>
      <c r="K247" s="145">
        <v>5182.1615625405093</v>
      </c>
      <c r="L247" s="145">
        <v>510.52762013733724</v>
      </c>
      <c r="M247" s="148">
        <v>0.2</v>
      </c>
      <c r="N247" s="145">
        <v>2747.7555749017993</v>
      </c>
      <c r="O247" s="145">
        <v>1036.4323125081019</v>
      </c>
      <c r="P247" s="145">
        <v>102.10552402746745</v>
      </c>
      <c r="Q247" s="1"/>
      <c r="R247" s="150"/>
      <c r="T247" s="255">
        <v>2062</v>
      </c>
      <c r="U247" s="241">
        <v>78</v>
      </c>
      <c r="V247" s="241">
        <v>43</v>
      </c>
      <c r="W247" s="241">
        <v>1</v>
      </c>
      <c r="X247" s="256">
        <v>0.63738901021444172</v>
      </c>
      <c r="Y247" s="256">
        <v>0.15283118687004885</v>
      </c>
      <c r="Z247" s="256">
        <v>1.3062259654601904</v>
      </c>
      <c r="AA247" s="256">
        <v>3.5099780089552581</v>
      </c>
      <c r="AB247" s="257">
        <v>2100</v>
      </c>
      <c r="AC247" s="257">
        <v>9628.1312683323995</v>
      </c>
      <c r="AD247" s="257">
        <v>6136.8650593371058</v>
      </c>
      <c r="AE247" s="257">
        <v>937.90437067982259</v>
      </c>
      <c r="AF247" s="264">
        <v>0.2</v>
      </c>
      <c r="AG247" s="257">
        <v>1925.6262536664799</v>
      </c>
      <c r="AH247" s="257">
        <v>1227.3730118674212</v>
      </c>
      <c r="AI247" s="258">
        <v>187.58087413596454</v>
      </c>
    </row>
    <row r="248" spans="1:35" x14ac:dyDescent="0.25">
      <c r="A248" s="143">
        <v>2072</v>
      </c>
      <c r="B248" s="143">
        <v>88</v>
      </c>
      <c r="C248" s="143">
        <v>53</v>
      </c>
      <c r="D248" s="143">
        <v>1</v>
      </c>
      <c r="E248" s="144">
        <v>0.34410318346216362</v>
      </c>
      <c r="F248" s="144">
        <v>9.3825091173887445E-2</v>
      </c>
      <c r="G248" s="144">
        <v>1.4356727299256249</v>
      </c>
      <c r="H248" s="144">
        <v>4.7171169373726416</v>
      </c>
      <c r="I248" s="145">
        <v>2100</v>
      </c>
      <c r="J248" s="145">
        <v>14221.695916797986</v>
      </c>
      <c r="K248" s="145">
        <v>4893.7308392010409</v>
      </c>
      <c r="L248" s="145">
        <v>459.15474216850237</v>
      </c>
      <c r="M248" s="148">
        <v>0.2</v>
      </c>
      <c r="N248" s="145">
        <v>2844.3391833595974</v>
      </c>
      <c r="O248" s="145">
        <v>978.74616784020816</v>
      </c>
      <c r="P248" s="145">
        <v>91.83094843370047</v>
      </c>
      <c r="Q248" s="1"/>
      <c r="R248" s="150"/>
      <c r="T248" s="255">
        <v>2063</v>
      </c>
      <c r="U248" s="241">
        <v>79</v>
      </c>
      <c r="V248" s="241">
        <v>44</v>
      </c>
      <c r="W248" s="241">
        <v>1</v>
      </c>
      <c r="X248" s="256">
        <v>0.61414668724683197</v>
      </c>
      <c r="Y248" s="256">
        <v>0.14555351130480843</v>
      </c>
      <c r="Z248" s="256">
        <v>1.3258193549420931</v>
      </c>
      <c r="AA248" s="256">
        <v>3.6152773492239159</v>
      </c>
      <c r="AB248" s="257">
        <v>2100</v>
      </c>
      <c r="AC248" s="257">
        <v>10065.729834478107</v>
      </c>
      <c r="AD248" s="257">
        <v>6181.8346325663315</v>
      </c>
      <c r="AE248" s="257">
        <v>899.78773707569974</v>
      </c>
      <c r="AF248" s="264">
        <v>0.2</v>
      </c>
      <c r="AG248" s="257">
        <v>2013.1459668956213</v>
      </c>
      <c r="AH248" s="257">
        <v>1236.3669265132662</v>
      </c>
      <c r="AI248" s="258">
        <v>179.95754741513994</v>
      </c>
    </row>
    <row r="249" spans="1:35" x14ac:dyDescent="0.25">
      <c r="A249" s="143">
        <v>2073</v>
      </c>
      <c r="B249" s="143">
        <v>89</v>
      </c>
      <c r="C249" s="143">
        <v>54</v>
      </c>
      <c r="D249" s="143">
        <v>1</v>
      </c>
      <c r="E249" s="144">
        <v>0.31092433288219679</v>
      </c>
      <c r="F249" s="144">
        <v>8.9357229689416617E-2</v>
      </c>
      <c r="G249" s="144">
        <v>1.4428510935752528</v>
      </c>
      <c r="H249" s="144">
        <v>4.8586304454938212</v>
      </c>
      <c r="I249" s="145">
        <v>2100</v>
      </c>
      <c r="J249" s="145">
        <v>14721.588528273434</v>
      </c>
      <c r="K249" s="145">
        <v>4577.300092119619</v>
      </c>
      <c r="L249" s="145">
        <v>409.01485568892065</v>
      </c>
      <c r="M249" s="148">
        <v>0.2</v>
      </c>
      <c r="N249" s="145">
        <v>2944.317705654687</v>
      </c>
      <c r="O249" s="145">
        <v>915.46001842392377</v>
      </c>
      <c r="P249" s="145">
        <v>81.802971137784127</v>
      </c>
      <c r="Q249" s="1"/>
      <c r="R249" s="150"/>
      <c r="T249" s="255">
        <v>2064</v>
      </c>
      <c r="U249" s="241">
        <v>80</v>
      </c>
      <c r="V249" s="241">
        <v>45</v>
      </c>
      <c r="W249" s="241">
        <v>1</v>
      </c>
      <c r="X249" s="256">
        <v>0.58917743669067546</v>
      </c>
      <c r="Y249" s="256">
        <v>0.13862239171886517</v>
      </c>
      <c r="Z249" s="256">
        <v>1.3457066452662243</v>
      </c>
      <c r="AA249" s="256">
        <v>3.7237356697006336</v>
      </c>
      <c r="AB249" s="257">
        <v>2100</v>
      </c>
      <c r="AC249" s="257">
        <v>10523.217255455134</v>
      </c>
      <c r="AD249" s="257">
        <v>6200.0421683081413</v>
      </c>
      <c r="AE249" s="257">
        <v>859.46467412869333</v>
      </c>
      <c r="AF249" s="264">
        <v>0.2</v>
      </c>
      <c r="AG249" s="257">
        <v>2104.6434510910271</v>
      </c>
      <c r="AH249" s="257">
        <v>1240.0084336616283</v>
      </c>
      <c r="AI249" s="258">
        <v>171.89293482573868</v>
      </c>
    </row>
    <row r="250" spans="1:35" x14ac:dyDescent="0.25">
      <c r="A250" s="143">
        <v>2074</v>
      </c>
      <c r="B250" s="143">
        <v>90</v>
      </c>
      <c r="C250" s="143">
        <v>55</v>
      </c>
      <c r="D250" s="143">
        <v>1</v>
      </c>
      <c r="E250" s="144">
        <v>0.27786614903500484</v>
      </c>
      <c r="F250" s="144">
        <v>8.5102123513730102E-2</v>
      </c>
      <c r="G250" s="144">
        <v>1.4500653490431288</v>
      </c>
      <c r="H250" s="144">
        <v>5.0043893588586359</v>
      </c>
      <c r="I250" s="145">
        <v>2100</v>
      </c>
      <c r="J250" s="145">
        <v>15239.05236504224</v>
      </c>
      <c r="K250" s="145">
        <v>4234.4167956170704</v>
      </c>
      <c r="L250" s="145">
        <v>360.35786114921717</v>
      </c>
      <c r="M250" s="148">
        <v>0.2</v>
      </c>
      <c r="N250" s="145">
        <v>3047.8104730084483</v>
      </c>
      <c r="O250" s="145">
        <v>846.88335912341404</v>
      </c>
      <c r="P250" s="145">
        <v>72.071572229843426</v>
      </c>
      <c r="Q250" s="1"/>
      <c r="R250" s="150"/>
      <c r="T250" s="255">
        <v>2065</v>
      </c>
      <c r="U250" s="241">
        <v>81</v>
      </c>
      <c r="V250" s="241">
        <v>46</v>
      </c>
      <c r="W250" s="241">
        <v>1</v>
      </c>
      <c r="X250" s="256">
        <v>0.5625186945210614</v>
      </c>
      <c r="Y250" s="256">
        <v>0.13202132544653825</v>
      </c>
      <c r="Z250" s="256">
        <v>1.3591637117188866</v>
      </c>
      <c r="AA250" s="256">
        <v>3.8354477397916527</v>
      </c>
      <c r="AB250" s="257">
        <v>2100</v>
      </c>
      <c r="AC250" s="257">
        <v>10947.302910849978</v>
      </c>
      <c r="AD250" s="257">
        <v>6158.0625419379448</v>
      </c>
      <c r="AE250" s="257">
        <v>812.99557896932595</v>
      </c>
      <c r="AF250" s="264">
        <v>0.2</v>
      </c>
      <c r="AG250" s="257">
        <v>2189.4605821699956</v>
      </c>
      <c r="AH250" s="257">
        <v>1231.6125083875891</v>
      </c>
      <c r="AI250" s="258">
        <v>162.59911579386522</v>
      </c>
    </row>
    <row r="251" spans="1:35" x14ac:dyDescent="0.25">
      <c r="A251" s="91"/>
      <c r="B251" s="7"/>
      <c r="C251" s="1"/>
      <c r="D251" s="1"/>
      <c r="E251" s="1"/>
      <c r="F251" s="1"/>
      <c r="G251" s="1"/>
      <c r="H251" s="1"/>
      <c r="I251" s="1"/>
      <c r="J251" s="1"/>
      <c r="K251" s="1"/>
      <c r="L251" s="1"/>
      <c r="M251" s="1"/>
      <c r="N251" s="1"/>
      <c r="O251" s="1"/>
      <c r="P251" s="1"/>
      <c r="Q251" s="1"/>
      <c r="R251" s="150"/>
      <c r="T251" s="255">
        <v>2066</v>
      </c>
      <c r="U251" s="241">
        <v>82</v>
      </c>
      <c r="V251" s="241">
        <v>47</v>
      </c>
      <c r="W251" s="241">
        <v>1</v>
      </c>
      <c r="X251" s="256">
        <v>0.534314615711035</v>
      </c>
      <c r="Y251" s="256">
        <v>0.12573459566336975</v>
      </c>
      <c r="Z251" s="256">
        <v>1.3727553488360755</v>
      </c>
      <c r="AA251" s="256">
        <v>3.9505111719854025</v>
      </c>
      <c r="AB251" s="257">
        <v>2100</v>
      </c>
      <c r="AC251" s="257">
        <v>11388.479218157234</v>
      </c>
      <c r="AD251" s="257">
        <v>6085.0308969827911</v>
      </c>
      <c r="AE251" s="257">
        <v>765.09889943124335</v>
      </c>
      <c r="AF251" s="264">
        <v>0.2</v>
      </c>
      <c r="AG251" s="257">
        <v>2277.6958436314467</v>
      </c>
      <c r="AH251" s="257">
        <v>1217.0061793965581</v>
      </c>
      <c r="AI251" s="258">
        <v>153.01977988624867</v>
      </c>
    </row>
    <row r="252" spans="1:35" x14ac:dyDescent="0.25">
      <c r="A252" s="92" t="s">
        <v>207</v>
      </c>
      <c r="B252" s="92" t="s">
        <v>253</v>
      </c>
      <c r="C252" s="1"/>
      <c r="D252" s="1"/>
      <c r="E252" s="1"/>
      <c r="F252" s="1"/>
      <c r="G252" s="1"/>
      <c r="H252" s="1"/>
      <c r="I252" s="1"/>
      <c r="J252" s="1"/>
      <c r="K252" s="1"/>
      <c r="L252" s="1"/>
      <c r="M252" s="1"/>
      <c r="N252" s="1"/>
      <c r="O252" s="1"/>
      <c r="P252" s="1"/>
      <c r="Q252" s="1"/>
      <c r="R252" s="150"/>
      <c r="T252" s="255">
        <v>2067</v>
      </c>
      <c r="U252" s="241">
        <v>83</v>
      </c>
      <c r="V252" s="241">
        <v>48</v>
      </c>
      <c r="W252" s="241">
        <v>1</v>
      </c>
      <c r="X252" s="256">
        <v>0.50475262858610526</v>
      </c>
      <c r="Y252" s="256">
        <v>0.11974723396511404</v>
      </c>
      <c r="Z252" s="256">
        <v>1.3864829023244363</v>
      </c>
      <c r="AA252" s="256">
        <v>4.0690265071449643</v>
      </c>
      <c r="AB252" s="257">
        <v>2100</v>
      </c>
      <c r="AC252" s="257">
        <v>11847.434930648969</v>
      </c>
      <c r="AD252" s="257">
        <v>5980.0239232479089</v>
      </c>
      <c r="AE252" s="257">
        <v>716.09132385414648</v>
      </c>
      <c r="AF252" s="264">
        <v>0.2</v>
      </c>
      <c r="AG252" s="257">
        <v>2369.4869861297939</v>
      </c>
      <c r="AH252" s="257">
        <v>1196.0047846495818</v>
      </c>
      <c r="AI252" s="258">
        <v>143.21826477082931</v>
      </c>
    </row>
    <row r="253" spans="1:35" x14ac:dyDescent="0.25">
      <c r="A253" s="92"/>
      <c r="B253" s="149"/>
      <c r="C253" s="1"/>
      <c r="D253" s="1"/>
      <c r="E253" s="1"/>
      <c r="F253" s="1"/>
      <c r="G253" s="1"/>
      <c r="H253" s="1"/>
      <c r="I253" s="1"/>
      <c r="J253" s="1"/>
      <c r="K253" s="1"/>
      <c r="L253" s="1"/>
      <c r="M253" s="1"/>
      <c r="N253" s="1"/>
      <c r="O253" s="1"/>
      <c r="P253" s="1"/>
      <c r="Q253" s="1"/>
      <c r="R253" s="150"/>
      <c r="T253" s="255">
        <v>2068</v>
      </c>
      <c r="U253" s="241">
        <v>84</v>
      </c>
      <c r="V253" s="241">
        <v>49</v>
      </c>
      <c r="W253" s="241">
        <v>1</v>
      </c>
      <c r="X253" s="256">
        <v>0.47403099591910092</v>
      </c>
      <c r="Y253" s="256">
        <v>0.11404498472868004</v>
      </c>
      <c r="Z253" s="256">
        <v>1.4003477313476806</v>
      </c>
      <c r="AA253" s="256">
        <v>4.1910973023593137</v>
      </c>
      <c r="AB253" s="257">
        <v>2100</v>
      </c>
      <c r="AC253" s="257">
        <v>12324.886558354123</v>
      </c>
      <c r="AD253" s="257">
        <v>5842.3782498465453</v>
      </c>
      <c r="AE253" s="257">
        <v>666.29393828292166</v>
      </c>
      <c r="AF253" s="264">
        <v>0.2</v>
      </c>
      <c r="AG253" s="257">
        <v>2464.9773116708247</v>
      </c>
      <c r="AH253" s="257">
        <v>1168.4756499693092</v>
      </c>
      <c r="AI253" s="258">
        <v>133.25878765658433</v>
      </c>
    </row>
    <row r="254" spans="1:35" x14ac:dyDescent="0.25">
      <c r="A254" s="93"/>
      <c r="B254" s="130" t="s">
        <v>251</v>
      </c>
      <c r="C254" s="1"/>
      <c r="D254" s="1"/>
      <c r="E254" s="1"/>
      <c r="F254" s="1"/>
      <c r="G254" s="1"/>
      <c r="H254" s="1"/>
      <c r="I254" s="1"/>
      <c r="J254" s="1"/>
      <c r="K254" s="1"/>
      <c r="L254" s="1"/>
      <c r="M254" s="1"/>
      <c r="N254" s="1"/>
      <c r="O254" s="1"/>
      <c r="P254" s="1"/>
      <c r="Q254" s="1"/>
      <c r="R254" s="150"/>
      <c r="T254" s="255">
        <v>2069</v>
      </c>
      <c r="U254" s="241">
        <v>85</v>
      </c>
      <c r="V254" s="241">
        <v>50</v>
      </c>
      <c r="W254" s="241">
        <v>1</v>
      </c>
      <c r="X254" s="256">
        <v>0.44238966442216721</v>
      </c>
      <c r="Y254" s="256">
        <v>0.10861427117017146</v>
      </c>
      <c r="Z254" s="256">
        <v>1.4143512086611574</v>
      </c>
      <c r="AA254" s="256">
        <v>4.3168302214300933</v>
      </c>
      <c r="AB254" s="257">
        <v>2100</v>
      </c>
      <c r="AC254" s="257">
        <v>12821.579486655795</v>
      </c>
      <c r="AD254" s="257">
        <v>5672.1342464638001</v>
      </c>
      <c r="AE254" s="257">
        <v>616.07472715903532</v>
      </c>
      <c r="AF254" s="264">
        <v>0.2</v>
      </c>
      <c r="AG254" s="257">
        <v>2564.3158973311592</v>
      </c>
      <c r="AH254" s="257">
        <v>1134.4268492927602</v>
      </c>
      <c r="AI254" s="258">
        <v>123.21494543180708</v>
      </c>
    </row>
    <row r="255" spans="1:35" x14ac:dyDescent="0.25">
      <c r="A255" s="94" t="s">
        <v>291</v>
      </c>
      <c r="B255" s="149"/>
      <c r="C255" s="1"/>
      <c r="D255" s="1"/>
      <c r="E255" s="1"/>
      <c r="F255" s="1"/>
      <c r="G255" s="1"/>
      <c r="H255" s="1"/>
      <c r="I255" s="1"/>
      <c r="J255" s="1"/>
      <c r="K255" s="1"/>
      <c r="L255" s="1"/>
      <c r="M255" s="1"/>
      <c r="N255" s="1"/>
      <c r="O255" s="1"/>
      <c r="P255" s="1"/>
      <c r="Q255" s="1"/>
      <c r="R255" s="150"/>
      <c r="T255" s="255">
        <v>2070</v>
      </c>
      <c r="U255" s="241">
        <v>86</v>
      </c>
      <c r="V255" s="241">
        <v>51</v>
      </c>
      <c r="W255" s="241">
        <v>1</v>
      </c>
      <c r="X255" s="256">
        <v>0.41003829342478615</v>
      </c>
      <c r="Y255" s="256">
        <v>0.10344216301921091</v>
      </c>
      <c r="Z255" s="256">
        <v>1.4214229647044629</v>
      </c>
      <c r="AA255" s="256">
        <v>4.4463351280729961</v>
      </c>
      <c r="AB255" s="257">
        <v>2100</v>
      </c>
      <c r="AC255" s="257">
        <v>13272.258005611744</v>
      </c>
      <c r="AD255" s="257">
        <v>5442.134022514495</v>
      </c>
      <c r="AE255" s="257">
        <v>562.94611472933843</v>
      </c>
      <c r="AF255" s="264">
        <v>0.2</v>
      </c>
      <c r="AG255" s="257">
        <v>2654.4516011223491</v>
      </c>
      <c r="AH255" s="257">
        <v>1088.4268045028991</v>
      </c>
      <c r="AI255" s="258">
        <v>112.5892229458677</v>
      </c>
    </row>
    <row r="256" spans="1:35" x14ac:dyDescent="0.25">
      <c r="A256" s="94" t="s">
        <v>292</v>
      </c>
      <c r="B256" s="149"/>
      <c r="C256" s="1"/>
      <c r="D256" s="1"/>
      <c r="E256" s="1"/>
      <c r="F256" s="1"/>
      <c r="G256" s="1"/>
      <c r="H256" s="1"/>
      <c r="I256" s="1"/>
      <c r="J256" s="1"/>
      <c r="K256" s="1"/>
      <c r="L256" s="1"/>
      <c r="M256" s="1"/>
      <c r="N256" s="1"/>
      <c r="O256" s="1"/>
      <c r="P256" s="1"/>
      <c r="Q256" s="1"/>
      <c r="R256" s="150"/>
      <c r="T256" s="255">
        <v>2071</v>
      </c>
      <c r="U256" s="241">
        <v>87</v>
      </c>
      <c r="V256" s="241">
        <v>52</v>
      </c>
      <c r="W256" s="241">
        <v>1</v>
      </c>
      <c r="X256" s="256">
        <v>0.37719232451930973</v>
      </c>
      <c r="Y256" s="256">
        <v>9.851634573258182E-2</v>
      </c>
      <c r="Z256" s="256">
        <v>1.4285300795279852</v>
      </c>
      <c r="AA256" s="256">
        <v>4.5797251819151858</v>
      </c>
      <c r="AB256" s="257">
        <v>2100</v>
      </c>
      <c r="AC256" s="257">
        <v>13738.777874508996</v>
      </c>
      <c r="AD256" s="257">
        <v>5182.1615625405093</v>
      </c>
      <c r="AE256" s="257">
        <v>510.52762013733724</v>
      </c>
      <c r="AF256" s="264">
        <v>0.2</v>
      </c>
      <c r="AG256" s="257">
        <v>2747.7555749017993</v>
      </c>
      <c r="AH256" s="257">
        <v>1036.4323125081019</v>
      </c>
      <c r="AI256" s="258">
        <v>102.10552402746745</v>
      </c>
    </row>
    <row r="257" spans="1:39" x14ac:dyDescent="0.25">
      <c r="A257" s="149"/>
      <c r="B257" s="90" t="s">
        <v>209</v>
      </c>
      <c r="C257" s="1"/>
      <c r="D257" s="1"/>
      <c r="E257" s="1"/>
      <c r="F257" s="1"/>
      <c r="G257" s="1"/>
      <c r="H257" s="1"/>
      <c r="I257" s="1"/>
      <c r="J257" s="1"/>
      <c r="K257" s="1"/>
      <c r="L257" s="1"/>
      <c r="M257" s="1"/>
      <c r="N257" s="1"/>
      <c r="O257" s="1"/>
      <c r="P257" s="1"/>
      <c r="Q257" s="1"/>
      <c r="R257" s="150"/>
      <c r="T257" s="255">
        <v>2072</v>
      </c>
      <c r="U257" s="241">
        <v>88</v>
      </c>
      <c r="V257" s="241">
        <v>53</v>
      </c>
      <c r="W257" s="241">
        <v>1</v>
      </c>
      <c r="X257" s="256">
        <v>0.34410318346216362</v>
      </c>
      <c r="Y257" s="256">
        <v>9.3825091173887445E-2</v>
      </c>
      <c r="Z257" s="256">
        <v>1.4356727299256249</v>
      </c>
      <c r="AA257" s="256">
        <v>4.7171169373726416</v>
      </c>
      <c r="AB257" s="257">
        <v>2100</v>
      </c>
      <c r="AC257" s="257">
        <v>14221.695916797986</v>
      </c>
      <c r="AD257" s="257">
        <v>4893.7308392010409</v>
      </c>
      <c r="AE257" s="257">
        <v>459.15474216850237</v>
      </c>
      <c r="AF257" s="264">
        <v>0.2</v>
      </c>
      <c r="AG257" s="257">
        <v>2844.3391833595974</v>
      </c>
      <c r="AH257" s="257">
        <v>978.74616784020816</v>
      </c>
      <c r="AI257" s="258">
        <v>91.83094843370047</v>
      </c>
      <c r="AM257" s="241"/>
    </row>
    <row r="258" spans="1:39" x14ac:dyDescent="0.25">
      <c r="A258" s="149"/>
      <c r="B258" s="130"/>
      <c r="C258" s="1"/>
      <c r="D258" s="1"/>
      <c r="E258" s="1"/>
      <c r="F258" s="1"/>
      <c r="G258" s="1"/>
      <c r="H258" s="1"/>
      <c r="I258" s="1"/>
      <c r="J258" s="1"/>
      <c r="K258" s="1"/>
      <c r="L258" s="1"/>
      <c r="M258" s="1"/>
      <c r="N258" s="1"/>
      <c r="O258" s="1"/>
      <c r="P258" s="1"/>
      <c r="Q258" s="1"/>
      <c r="R258" s="150"/>
      <c r="T258" s="255">
        <v>2073</v>
      </c>
      <c r="U258" s="241">
        <v>89</v>
      </c>
      <c r="V258" s="241">
        <v>54</v>
      </c>
      <c r="W258" s="241">
        <v>1</v>
      </c>
      <c r="X258" s="256">
        <v>0.31092433288219679</v>
      </c>
      <c r="Y258" s="256">
        <v>8.9357229689416617E-2</v>
      </c>
      <c r="Z258" s="256">
        <v>1.4428510935752528</v>
      </c>
      <c r="AA258" s="256">
        <v>4.8586304454938212</v>
      </c>
      <c r="AB258" s="257">
        <v>2100</v>
      </c>
      <c r="AC258" s="257">
        <v>14721.588528273434</v>
      </c>
      <c r="AD258" s="257">
        <v>4577.300092119619</v>
      </c>
      <c r="AE258" s="257">
        <v>409.01485568892065</v>
      </c>
      <c r="AF258" s="264">
        <v>0.2</v>
      </c>
      <c r="AG258" s="257">
        <v>2944.317705654687</v>
      </c>
      <c r="AH258" s="257">
        <v>915.46001842392377</v>
      </c>
      <c r="AI258" s="258">
        <v>81.802971137784127</v>
      </c>
      <c r="AM258" s="241"/>
    </row>
    <row r="259" spans="1:39" x14ac:dyDescent="0.25">
      <c r="A259" s="95"/>
      <c r="B259" s="130" t="s">
        <v>252</v>
      </c>
      <c r="C259" s="1"/>
      <c r="D259" s="1"/>
      <c r="E259" s="1"/>
      <c r="F259" s="1"/>
      <c r="G259" s="1"/>
      <c r="H259" s="1"/>
      <c r="I259" s="1"/>
      <c r="J259" s="1"/>
      <c r="K259" s="1"/>
      <c r="L259" s="1"/>
      <c r="M259" s="1"/>
      <c r="N259" s="1"/>
      <c r="O259" s="1"/>
      <c r="P259" s="1"/>
      <c r="Q259" s="1"/>
      <c r="R259" s="150"/>
      <c r="T259" s="259">
        <v>2074</v>
      </c>
      <c r="U259" s="260">
        <v>90</v>
      </c>
      <c r="V259" s="260">
        <v>55</v>
      </c>
      <c r="W259" s="260">
        <v>1</v>
      </c>
      <c r="X259" s="261">
        <v>0.27786614903500484</v>
      </c>
      <c r="Y259" s="261">
        <v>8.5102123513730102E-2</v>
      </c>
      <c r="Z259" s="261">
        <v>1.4500653490431288</v>
      </c>
      <c r="AA259" s="261">
        <v>5.0043893588586359</v>
      </c>
      <c r="AB259" s="262">
        <v>2100</v>
      </c>
      <c r="AC259" s="262">
        <v>15239.05236504224</v>
      </c>
      <c r="AD259" s="262">
        <v>4234.4167956170704</v>
      </c>
      <c r="AE259" s="262">
        <v>360.35786114921717</v>
      </c>
      <c r="AF259" s="265">
        <v>0.2</v>
      </c>
      <c r="AG259" s="262">
        <v>3047.8104730084483</v>
      </c>
      <c r="AH259" s="262">
        <v>846.88335912341404</v>
      </c>
      <c r="AI259" s="263">
        <v>72.071572229843426</v>
      </c>
      <c r="AM259" s="241"/>
    </row>
    <row r="260" spans="1:39" x14ac:dyDescent="0.25">
      <c r="A260" s="1"/>
      <c r="B260" s="90"/>
      <c r="C260" s="1"/>
      <c r="D260" s="1"/>
      <c r="E260" s="1"/>
      <c r="F260" s="1"/>
      <c r="G260" s="1"/>
      <c r="H260" s="1"/>
      <c r="I260" s="1"/>
      <c r="J260" s="1"/>
      <c r="K260" s="1"/>
      <c r="L260" s="1"/>
      <c r="M260" s="1"/>
      <c r="N260" s="1"/>
      <c r="O260" s="1"/>
      <c r="P260" s="1"/>
      <c r="Q260" s="1"/>
      <c r="R260" s="150"/>
      <c r="AM260" s="241"/>
    </row>
    <row r="261" spans="1:39" x14ac:dyDescent="0.25">
      <c r="R261" s="150"/>
      <c r="T261" s="241" t="s">
        <v>415</v>
      </c>
      <c r="AM261" s="241"/>
    </row>
    <row r="262" spans="1:39" x14ac:dyDescent="0.25">
      <c r="A262" s="2" t="s">
        <v>0</v>
      </c>
      <c r="R262" s="150"/>
      <c r="T262" s="241" t="s">
        <v>416</v>
      </c>
    </row>
    <row r="263" spans="1:39" x14ac:dyDescent="0.25">
      <c r="A263" s="2" t="s">
        <v>208</v>
      </c>
      <c r="R263" s="150"/>
      <c r="T263" s="241" t="s">
        <v>417</v>
      </c>
    </row>
    <row r="264" spans="1:39" x14ac:dyDescent="0.25">
      <c r="R264" s="150"/>
      <c r="T264" s="241" t="s">
        <v>418</v>
      </c>
    </row>
    <row r="265" spans="1:39" x14ac:dyDescent="0.25">
      <c r="R265" s="150"/>
      <c r="T265" s="241" t="s">
        <v>419</v>
      </c>
    </row>
    <row r="266" spans="1:39" x14ac:dyDescent="0.25">
      <c r="R266" s="150"/>
      <c r="T266" s="241"/>
    </row>
    <row r="267" spans="1:39" x14ac:dyDescent="0.25">
      <c r="A267" s="2" t="s">
        <v>227</v>
      </c>
      <c r="R267" s="150"/>
      <c r="T267" s="238" t="s">
        <v>393</v>
      </c>
    </row>
    <row r="268" spans="1:39" x14ac:dyDescent="0.25">
      <c r="R268" s="150"/>
      <c r="T268" s="237" t="s">
        <v>420</v>
      </c>
    </row>
    <row r="269" spans="1:39" x14ac:dyDescent="0.25">
      <c r="R269" s="150"/>
      <c r="T269" s="237" t="s">
        <v>421</v>
      </c>
    </row>
    <row r="270" spans="1:39" x14ac:dyDescent="0.25">
      <c r="R270" s="150"/>
      <c r="T270" s="266" t="s">
        <v>422</v>
      </c>
      <c r="W270" s="237"/>
    </row>
    <row r="271" spans="1:39" x14ac:dyDescent="0.25">
      <c r="R271" s="150"/>
      <c r="T271" s="241"/>
      <c r="W271" s="237"/>
    </row>
    <row r="272" spans="1:39" x14ac:dyDescent="0.25">
      <c r="R272" s="150"/>
      <c r="T272" s="240" t="s">
        <v>394</v>
      </c>
      <c r="U272" s="241"/>
      <c r="V272" s="241"/>
      <c r="W272" s="266"/>
      <c r="X272" s="241"/>
      <c r="Y272" s="241"/>
      <c r="Z272" s="241"/>
      <c r="AA272" s="241"/>
      <c r="AB272" s="241"/>
      <c r="AC272" s="241"/>
      <c r="AD272" s="241"/>
      <c r="AE272" s="241"/>
      <c r="AF272" s="241"/>
      <c r="AG272" s="241"/>
      <c r="AH272" s="241"/>
      <c r="AI272" s="241"/>
      <c r="AJ272" s="241"/>
    </row>
    <row r="273" spans="1:36" x14ac:dyDescent="0.25">
      <c r="A273" s="3" t="s">
        <v>2</v>
      </c>
      <c r="B273" s="3"/>
      <c r="C273" s="3"/>
      <c r="D273" s="3"/>
      <c r="E273" s="3"/>
      <c r="F273" s="3"/>
      <c r="G273" s="3"/>
      <c r="H273" s="3"/>
      <c r="I273" s="3"/>
      <c r="J273" s="3"/>
      <c r="K273" s="1"/>
      <c r="L273" s="1"/>
      <c r="M273" s="1"/>
      <c r="N273" s="1"/>
      <c r="O273" s="1"/>
      <c r="P273" s="1"/>
      <c r="Q273" s="1"/>
      <c r="R273" s="1"/>
      <c r="T273" s="241" t="s">
        <v>423</v>
      </c>
      <c r="U273" s="241"/>
      <c r="V273" s="241"/>
      <c r="W273" s="241"/>
      <c r="X273" s="241"/>
      <c r="Y273" s="241"/>
      <c r="Z273" s="241"/>
      <c r="AA273" s="241"/>
      <c r="AB273" s="241"/>
      <c r="AC273" s="241"/>
      <c r="AD273" s="241"/>
      <c r="AE273" s="241"/>
      <c r="AF273" s="241"/>
      <c r="AG273" s="241"/>
      <c r="AH273" s="241"/>
      <c r="AI273" s="241"/>
      <c r="AJ273" s="241"/>
    </row>
    <row r="274" spans="1:36" x14ac:dyDescent="0.25">
      <c r="T274" s="241"/>
      <c r="U274" s="241"/>
      <c r="V274" s="241"/>
      <c r="W274" s="241"/>
      <c r="X274" s="241"/>
      <c r="Y274" s="241"/>
      <c r="Z274" s="241"/>
      <c r="AA274" s="241"/>
      <c r="AB274" s="241"/>
      <c r="AC274" s="241"/>
      <c r="AD274" s="241"/>
      <c r="AE274" s="241"/>
      <c r="AF274" s="241"/>
      <c r="AG274" s="241"/>
      <c r="AH274" s="241"/>
      <c r="AI274" s="241"/>
      <c r="AJ274" s="241"/>
    </row>
    <row r="275" spans="1:36" x14ac:dyDescent="0.25">
      <c r="T275" s="267"/>
      <c r="U275" s="268" t="s">
        <v>424</v>
      </c>
      <c r="V275" s="269"/>
      <c r="W275" s="268" t="s">
        <v>425</v>
      </c>
      <c r="X275" s="269"/>
      <c r="Y275" s="241"/>
      <c r="Z275" s="241"/>
      <c r="AA275" s="241"/>
      <c r="AB275" s="241"/>
      <c r="AC275" s="241"/>
      <c r="AD275" s="241"/>
      <c r="AE275" s="241"/>
      <c r="AF275" s="241"/>
      <c r="AG275" s="241"/>
      <c r="AH275" s="241"/>
      <c r="AI275" s="241"/>
      <c r="AJ275" s="241"/>
    </row>
    <row r="276" spans="1:36" x14ac:dyDescent="0.25">
      <c r="T276" s="270"/>
      <c r="U276" s="271" t="s">
        <v>426</v>
      </c>
      <c r="V276" s="272" t="s">
        <v>427</v>
      </c>
      <c r="W276" s="273" t="s">
        <v>426</v>
      </c>
      <c r="X276" s="274" t="s">
        <v>427</v>
      </c>
      <c r="Y276" s="241"/>
      <c r="Z276" s="241"/>
      <c r="AA276" s="241"/>
      <c r="AB276" s="241"/>
      <c r="AC276" s="241"/>
      <c r="AD276" s="241"/>
      <c r="AE276" s="241"/>
      <c r="AF276" s="241"/>
      <c r="AG276" s="241"/>
      <c r="AH276" s="241"/>
      <c r="AI276" s="241"/>
      <c r="AJ276" s="241"/>
    </row>
    <row r="277" spans="1:36" x14ac:dyDescent="0.25">
      <c r="T277" s="275" t="s">
        <v>428</v>
      </c>
      <c r="U277" s="276">
        <f>+SUM(AE47:AE97)</f>
        <v>73370.020327035265</v>
      </c>
      <c r="V277" s="277">
        <f>+SUM(AE101:AE151)</f>
        <v>73370.020327035265</v>
      </c>
      <c r="W277" s="276">
        <f>+SUM(AE155:AE205)</f>
        <v>41325.049442749943</v>
      </c>
      <c r="X277" s="278">
        <f>+SUM(AE209:AE259)</f>
        <v>41325.049442749943</v>
      </c>
      <c r="Y277" s="241"/>
      <c r="Z277" s="241"/>
      <c r="AA277" s="241"/>
      <c r="AB277" s="241"/>
      <c r="AC277" s="241"/>
      <c r="AD277" s="241"/>
      <c r="AE277" s="241"/>
      <c r="AF277" s="241"/>
      <c r="AG277" s="241"/>
      <c r="AH277" s="241"/>
      <c r="AI277" s="241"/>
      <c r="AJ277" s="241"/>
    </row>
    <row r="278" spans="1:36" x14ac:dyDescent="0.25">
      <c r="T278" s="270" t="s">
        <v>429</v>
      </c>
      <c r="U278" s="279">
        <f>+SUM(AI47:AI97)</f>
        <v>5101.2467803099717</v>
      </c>
      <c r="V278" s="280">
        <f>+SUM(AI101:AI151)</f>
        <v>14674.004065407056</v>
      </c>
      <c r="W278" s="279">
        <f>+SUM(AI155:AI205)</f>
        <v>5101.2467803099717</v>
      </c>
      <c r="X278" s="281">
        <f>+SUM(AI209:AI259)</f>
        <v>8265.0098885499901</v>
      </c>
      <c r="Y278" s="241"/>
      <c r="Z278" s="241"/>
      <c r="AA278" s="241"/>
      <c r="AB278" s="241"/>
      <c r="AC278" s="241"/>
      <c r="AD278" s="241"/>
      <c r="AE278" s="241"/>
      <c r="AF278" s="241"/>
      <c r="AG278" s="241"/>
      <c r="AH278" s="241"/>
      <c r="AI278" s="241"/>
      <c r="AJ278" s="241"/>
    </row>
    <row r="279" spans="1:36" x14ac:dyDescent="0.25">
      <c r="T279" s="282" t="s">
        <v>430</v>
      </c>
      <c r="U279" s="283">
        <f>+U277-U278</f>
        <v>68268.773546725293</v>
      </c>
      <c r="V279" s="284">
        <f t="shared" ref="V279:X279" si="0">+V277-V278</f>
        <v>58696.01626162821</v>
      </c>
      <c r="W279" s="283">
        <f t="shared" si="0"/>
        <v>36223.802662439972</v>
      </c>
      <c r="X279" s="285">
        <f t="shared" si="0"/>
        <v>33060.039554199953</v>
      </c>
      <c r="Y279" s="241"/>
      <c r="Z279" s="241"/>
      <c r="AA279" s="241"/>
      <c r="AB279" s="241"/>
      <c r="AC279" s="241"/>
      <c r="AD279" s="241"/>
      <c r="AE279" s="241"/>
      <c r="AF279" s="241"/>
      <c r="AG279" s="241"/>
      <c r="AH279" s="241"/>
      <c r="AI279" s="241"/>
      <c r="AJ279" s="241"/>
    </row>
    <row r="280" spans="1:36" x14ac:dyDescent="0.25">
      <c r="T280" s="241"/>
      <c r="U280" s="241"/>
      <c r="V280" s="241"/>
      <c r="W280" s="241"/>
      <c r="X280" s="241"/>
      <c r="Y280" s="241"/>
      <c r="Z280" s="241"/>
      <c r="AA280" s="241"/>
      <c r="AB280" s="241"/>
      <c r="AC280" s="241"/>
      <c r="AD280" s="241"/>
      <c r="AE280" s="241"/>
      <c r="AF280" s="241"/>
      <c r="AG280" s="241"/>
      <c r="AH280" s="241"/>
      <c r="AI280" s="241"/>
      <c r="AJ280" s="241"/>
    </row>
    <row r="281" spans="1:36" x14ac:dyDescent="0.25">
      <c r="T281" s="286" t="s">
        <v>431</v>
      </c>
      <c r="U281" s="240"/>
      <c r="V281" s="287">
        <v>45292</v>
      </c>
      <c r="W281" s="241"/>
      <c r="X281" s="241"/>
      <c r="Y281" s="241"/>
      <c r="Z281" s="241"/>
      <c r="AA281" s="241"/>
      <c r="AB281" s="241"/>
      <c r="AC281" s="288"/>
      <c r="AD281" s="241"/>
      <c r="AE281" s="241"/>
      <c r="AF281" s="241"/>
      <c r="AG281" s="241"/>
      <c r="AH281" s="241"/>
      <c r="AI281" s="241"/>
      <c r="AJ281" s="241"/>
    </row>
    <row r="282" spans="1:36" ht="57.75" x14ac:dyDescent="0.25">
      <c r="T282" s="289" t="s">
        <v>432</v>
      </c>
      <c r="U282" s="289" t="s">
        <v>433</v>
      </c>
      <c r="V282" s="289" t="s">
        <v>263</v>
      </c>
      <c r="W282" s="289" t="s">
        <v>434</v>
      </c>
      <c r="X282" s="289" t="s">
        <v>435</v>
      </c>
      <c r="Y282" s="289" t="s">
        <v>436</v>
      </c>
      <c r="Z282" s="289" t="s">
        <v>437</v>
      </c>
      <c r="AA282" s="290" t="s">
        <v>438</v>
      </c>
      <c r="AB282" s="290" t="s">
        <v>439</v>
      </c>
      <c r="AC282" s="290" t="s">
        <v>440</v>
      </c>
      <c r="AD282" s="291" t="s">
        <v>441</v>
      </c>
      <c r="AE282" s="291" t="s">
        <v>442</v>
      </c>
      <c r="AF282" s="291" t="s">
        <v>443</v>
      </c>
      <c r="AG282" s="241"/>
      <c r="AH282" s="241"/>
      <c r="AI282" s="241"/>
      <c r="AJ282" s="241"/>
    </row>
    <row r="283" spans="1:36" x14ac:dyDescent="0.25">
      <c r="T283" s="292">
        <v>1</v>
      </c>
      <c r="U283" s="292">
        <v>1</v>
      </c>
      <c r="V283" s="293">
        <v>40</v>
      </c>
      <c r="W283" s="293">
        <f>+ROUND(($V$281-X283)/365.25,0)</f>
        <v>5</v>
      </c>
      <c r="X283" s="294">
        <v>43465</v>
      </c>
      <c r="Y283" s="294">
        <v>50771</v>
      </c>
      <c r="Z283" s="292">
        <f>ROUND((Y283-X283)/365.25,0)</f>
        <v>20</v>
      </c>
      <c r="AA283" s="295">
        <f>+U279</f>
        <v>68268.773546725293</v>
      </c>
      <c r="AB283" s="295">
        <f>($W283/$Z283)*AA283</f>
        <v>17067.193386681323</v>
      </c>
      <c r="AC283" s="295">
        <f>IF($W283=$Z283,0,(1/$Z283)*AA283)</f>
        <v>3413.4386773362648</v>
      </c>
      <c r="AD283" s="296">
        <v>1000</v>
      </c>
      <c r="AE283" s="297">
        <f>AD283*AB283</f>
        <v>17067193.386681322</v>
      </c>
      <c r="AF283" s="297">
        <f>AD283*AC283</f>
        <v>3413438.6773362649</v>
      </c>
      <c r="AG283" s="298"/>
      <c r="AH283" s="241"/>
      <c r="AI283" s="241"/>
      <c r="AJ283" s="241"/>
    </row>
    <row r="284" spans="1:36" x14ac:dyDescent="0.25">
      <c r="T284" s="292">
        <v>1</v>
      </c>
      <c r="U284" s="292">
        <v>2</v>
      </c>
      <c r="V284" s="293">
        <v>40</v>
      </c>
      <c r="W284" s="293">
        <f t="shared" ref="W284:W286" si="1">+ROUND(($V$281-X284)/365.25,0)</f>
        <v>5</v>
      </c>
      <c r="X284" s="294">
        <v>43465</v>
      </c>
      <c r="Y284" s="294">
        <v>50771</v>
      </c>
      <c r="Z284" s="292">
        <f>ROUND((Y284-X284)/365.25,0)</f>
        <v>20</v>
      </c>
      <c r="AA284" s="295">
        <f>+V279</f>
        <v>58696.01626162821</v>
      </c>
      <c r="AB284" s="295">
        <f t="shared" ref="AB284:AB286" si="2">($W284/$Z284)*AA284</f>
        <v>14674.004065407053</v>
      </c>
      <c r="AC284" s="295">
        <f t="shared" ref="AC284:AC286" si="3">IF($W284=$Z284,0,(1/$Z284)*AA284)</f>
        <v>2934.8008130814105</v>
      </c>
      <c r="AD284" s="296">
        <v>1000</v>
      </c>
      <c r="AE284" s="297">
        <f>AD284*AB284</f>
        <v>14674004.065407053</v>
      </c>
      <c r="AF284" s="297">
        <f>AD284*AC284</f>
        <v>2934800.8130814107</v>
      </c>
      <c r="AG284" s="241"/>
      <c r="AH284" s="241"/>
      <c r="AI284" s="241"/>
      <c r="AJ284" s="241"/>
    </row>
    <row r="285" spans="1:36" x14ac:dyDescent="0.25">
      <c r="T285" s="292">
        <v>2</v>
      </c>
      <c r="U285" s="292">
        <v>1</v>
      </c>
      <c r="V285" s="293">
        <v>40</v>
      </c>
      <c r="W285" s="293">
        <f t="shared" si="1"/>
        <v>5</v>
      </c>
      <c r="X285" s="294">
        <v>43465</v>
      </c>
      <c r="Y285" s="294">
        <v>50771</v>
      </c>
      <c r="Z285" s="292">
        <f>ROUND((Y285-X285)/365.25,0)</f>
        <v>20</v>
      </c>
      <c r="AA285" s="295">
        <f>+W279</f>
        <v>36223.802662439972</v>
      </c>
      <c r="AB285" s="295">
        <f t="shared" si="2"/>
        <v>9055.9506656099929</v>
      </c>
      <c r="AC285" s="295">
        <f t="shared" si="3"/>
        <v>1811.1901331219988</v>
      </c>
      <c r="AD285" s="296">
        <v>1000</v>
      </c>
      <c r="AE285" s="297">
        <f>AD285*AB285</f>
        <v>9055950.665609993</v>
      </c>
      <c r="AF285" s="297">
        <f>AD285*AC285</f>
        <v>1811190.1331219987</v>
      </c>
      <c r="AG285" s="241"/>
      <c r="AH285" s="241"/>
      <c r="AI285" s="241"/>
      <c r="AJ285" s="241"/>
    </row>
    <row r="286" spans="1:36" x14ac:dyDescent="0.25">
      <c r="T286" s="292">
        <v>2</v>
      </c>
      <c r="U286" s="292">
        <v>2</v>
      </c>
      <c r="V286" s="293">
        <v>40</v>
      </c>
      <c r="W286" s="293">
        <f t="shared" si="1"/>
        <v>5</v>
      </c>
      <c r="X286" s="294">
        <v>43465</v>
      </c>
      <c r="Y286" s="294">
        <v>50771</v>
      </c>
      <c r="Z286" s="292">
        <f>ROUND((Y286-X286)/365.25,0)</f>
        <v>20</v>
      </c>
      <c r="AA286" s="295">
        <f>+X279</f>
        <v>33060.039554199953</v>
      </c>
      <c r="AB286" s="295">
        <f t="shared" si="2"/>
        <v>8265.0098885499883</v>
      </c>
      <c r="AC286" s="295">
        <f t="shared" si="3"/>
        <v>1653.0019777099978</v>
      </c>
      <c r="AD286" s="296">
        <v>1000</v>
      </c>
      <c r="AE286" s="297">
        <f>AD286*AB286</f>
        <v>8265009.8885499882</v>
      </c>
      <c r="AF286" s="297">
        <f>AD286*AC286</f>
        <v>1653001.9777099979</v>
      </c>
      <c r="AG286" s="241"/>
      <c r="AH286" s="241"/>
      <c r="AI286" s="241"/>
      <c r="AJ286" s="241"/>
    </row>
    <row r="287" spans="1:36" x14ac:dyDescent="0.25">
      <c r="T287" s="241"/>
      <c r="U287" s="241"/>
      <c r="V287" s="241"/>
      <c r="W287" s="241"/>
      <c r="X287" s="241"/>
      <c r="Y287" s="241"/>
      <c r="Z287" s="241"/>
      <c r="AA287" s="241"/>
      <c r="AB287" s="241"/>
      <c r="AC287" s="241"/>
      <c r="AD287" s="241"/>
      <c r="AE287" s="241"/>
      <c r="AF287" s="241"/>
      <c r="AG287" s="241"/>
      <c r="AH287" s="241"/>
      <c r="AI287" s="241"/>
      <c r="AJ287" s="241"/>
    </row>
    <row r="288" spans="1:36" x14ac:dyDescent="0.25">
      <c r="T288" s="241" t="s">
        <v>444</v>
      </c>
      <c r="U288" s="241"/>
      <c r="V288" s="241"/>
      <c r="W288" s="299">
        <v>3000000</v>
      </c>
      <c r="X288" s="241"/>
      <c r="Y288" s="241"/>
      <c r="Z288" s="241"/>
      <c r="AA288" s="241"/>
      <c r="AB288" s="241"/>
      <c r="AC288" s="241"/>
      <c r="AD288" s="241"/>
      <c r="AE288" s="300"/>
      <c r="AF288" s="241"/>
      <c r="AG288" s="241"/>
      <c r="AH288" s="241"/>
      <c r="AI288" s="241"/>
      <c r="AJ288" s="241"/>
    </row>
    <row r="289" spans="20:36" x14ac:dyDescent="0.25">
      <c r="T289" s="241" t="s">
        <v>445</v>
      </c>
      <c r="U289" s="241"/>
      <c r="V289" s="241"/>
      <c r="W289" s="301" t="s">
        <v>446</v>
      </c>
      <c r="X289" s="301"/>
      <c r="Y289" s="241"/>
      <c r="Z289" s="241"/>
      <c r="AA289" s="241"/>
      <c r="AB289" s="241"/>
      <c r="AC289" s="241"/>
      <c r="AD289" s="241"/>
      <c r="AE289" s="300"/>
      <c r="AF289" s="241"/>
      <c r="AG289" s="241"/>
      <c r="AH289" s="241"/>
      <c r="AI289" s="241"/>
      <c r="AJ289" s="241"/>
    </row>
    <row r="290" spans="20:36" x14ac:dyDescent="0.25">
      <c r="T290" s="241"/>
      <c r="U290" s="241"/>
      <c r="V290" s="241"/>
      <c r="W290" s="241"/>
      <c r="X290" s="241"/>
      <c r="Y290" s="241"/>
      <c r="Z290" s="241"/>
      <c r="AA290" s="241"/>
      <c r="AB290" s="241"/>
      <c r="AC290" s="241"/>
      <c r="AD290" s="241"/>
      <c r="AE290" s="241"/>
      <c r="AF290" s="241"/>
      <c r="AG290" s="241"/>
      <c r="AH290" s="241"/>
      <c r="AI290" s="241"/>
      <c r="AJ290" s="241"/>
    </row>
    <row r="291" spans="20:36" x14ac:dyDescent="0.25">
      <c r="T291" s="302" t="s">
        <v>447</v>
      </c>
      <c r="U291" s="241"/>
      <c r="V291" s="241"/>
      <c r="W291" s="241"/>
      <c r="X291" s="241"/>
      <c r="Y291" s="241"/>
      <c r="Z291" s="241"/>
      <c r="AA291" s="241"/>
      <c r="AB291" s="241"/>
      <c r="AC291" s="241"/>
      <c r="AD291" s="241"/>
      <c r="AE291" s="241"/>
      <c r="AF291" s="241"/>
      <c r="AG291" s="241"/>
      <c r="AH291" s="241"/>
      <c r="AI291" s="241"/>
      <c r="AJ291" s="241"/>
    </row>
    <row r="292" spans="20:36" x14ac:dyDescent="0.25">
      <c r="T292" s="240" t="s">
        <v>448</v>
      </c>
      <c r="U292" s="241"/>
      <c r="V292" s="241"/>
      <c r="W292" s="241"/>
      <c r="X292" s="241"/>
      <c r="Y292" s="241"/>
      <c r="Z292" s="241"/>
      <c r="AA292" s="241"/>
      <c r="AB292" s="241"/>
      <c r="AC292" s="241"/>
      <c r="AD292" s="241"/>
      <c r="AE292" s="241"/>
      <c r="AF292" s="241"/>
      <c r="AG292" s="241"/>
      <c r="AH292" s="241"/>
      <c r="AI292" s="241"/>
      <c r="AJ292" s="241"/>
    </row>
    <row r="293" spans="20:36" x14ac:dyDescent="0.25">
      <c r="T293" s="240" t="s">
        <v>449</v>
      </c>
      <c r="U293" s="241"/>
      <c r="V293" s="241"/>
      <c r="W293" s="241"/>
      <c r="X293" s="241"/>
      <c r="Y293" s="241"/>
      <c r="Z293" s="241"/>
      <c r="AA293" s="241"/>
      <c r="AB293" s="241"/>
      <c r="AC293" s="241"/>
      <c r="AD293" s="241"/>
      <c r="AE293" s="241"/>
      <c r="AF293" s="241"/>
      <c r="AG293" s="241"/>
      <c r="AH293" s="241"/>
      <c r="AI293" s="241"/>
      <c r="AJ293" s="241"/>
    </row>
    <row r="294" spans="20:36" x14ac:dyDescent="0.25">
      <c r="T294" s="240"/>
      <c r="U294" s="241"/>
      <c r="V294" s="241"/>
      <c r="W294" s="241"/>
      <c r="X294" s="241"/>
      <c r="Y294" s="241"/>
      <c r="Z294" s="241"/>
      <c r="AA294" s="241"/>
      <c r="AB294" s="241"/>
      <c r="AC294" s="241"/>
      <c r="AD294" s="241"/>
      <c r="AE294" s="241"/>
      <c r="AF294" s="241"/>
      <c r="AG294" s="241"/>
      <c r="AH294" s="241"/>
      <c r="AI294" s="241"/>
      <c r="AJ294" s="241"/>
    </row>
    <row r="295" spans="20:36" x14ac:dyDescent="0.25">
      <c r="T295" s="302" t="s">
        <v>450</v>
      </c>
      <c r="U295" s="241"/>
      <c r="V295" s="241"/>
      <c r="W295" s="241"/>
      <c r="X295" s="241"/>
      <c r="Y295" s="241"/>
      <c r="Z295" s="241"/>
      <c r="AA295" s="241"/>
      <c r="AB295" s="241"/>
      <c r="AC295" s="241"/>
      <c r="AD295" s="241"/>
      <c r="AE295" s="241"/>
      <c r="AF295" s="241"/>
      <c r="AG295" s="241"/>
      <c r="AH295" s="241"/>
      <c r="AI295" s="241"/>
      <c r="AJ295" s="241"/>
    </row>
    <row r="296" spans="20:36" x14ac:dyDescent="0.25">
      <c r="T296" s="240" t="s">
        <v>451</v>
      </c>
      <c r="U296" s="241"/>
      <c r="V296" s="241"/>
      <c r="W296" s="241"/>
      <c r="X296" s="241"/>
      <c r="Y296" s="241"/>
      <c r="Z296" s="241"/>
      <c r="AA296" s="241"/>
      <c r="AB296" s="241"/>
      <c r="AC296" s="241"/>
      <c r="AD296" s="241"/>
      <c r="AE296" s="241"/>
      <c r="AF296" s="241"/>
      <c r="AG296" s="241"/>
      <c r="AH296" s="241"/>
      <c r="AI296" s="241"/>
      <c r="AJ296" s="241"/>
    </row>
    <row r="297" spans="20:36" x14ac:dyDescent="0.25">
      <c r="T297" s="240" t="s">
        <v>452</v>
      </c>
      <c r="U297" s="241"/>
      <c r="V297" s="241"/>
      <c r="W297" s="241"/>
      <c r="X297" s="241"/>
      <c r="Y297" s="241"/>
      <c r="Z297" s="241"/>
      <c r="AA297" s="241"/>
      <c r="AB297" s="241"/>
      <c r="AC297" s="241"/>
      <c r="AD297" s="241"/>
      <c r="AE297" s="241"/>
      <c r="AF297" s="241"/>
      <c r="AG297" s="241"/>
      <c r="AH297" s="241"/>
      <c r="AI297" s="241"/>
      <c r="AJ297" s="241"/>
    </row>
    <row r="298" spans="20:36" x14ac:dyDescent="0.25">
      <c r="T298" s="241"/>
      <c r="U298" s="241"/>
      <c r="V298" s="241"/>
      <c r="W298" s="241"/>
      <c r="X298" s="241"/>
      <c r="Y298" s="241"/>
      <c r="Z298" s="241"/>
      <c r="AA298" s="241"/>
      <c r="AB298" s="241"/>
      <c r="AC298" s="241"/>
      <c r="AD298" s="241"/>
      <c r="AE298" s="241"/>
      <c r="AF298" s="241"/>
      <c r="AG298" s="241"/>
      <c r="AH298" s="241"/>
      <c r="AI298" s="241"/>
      <c r="AJ298" s="241"/>
    </row>
    <row r="299" spans="20:36" x14ac:dyDescent="0.25">
      <c r="T299" s="241" t="s">
        <v>453</v>
      </c>
      <c r="U299" s="242"/>
      <c r="V299" s="242"/>
      <c r="W299" s="242"/>
      <c r="X299" s="242"/>
      <c r="Y299" s="242"/>
      <c r="Z299" s="242"/>
      <c r="AA299" s="242"/>
      <c r="AB299" s="242"/>
      <c r="AC299" s="242"/>
    </row>
    <row r="300" spans="20:36" x14ac:dyDescent="0.25">
      <c r="T300" s="240" t="s">
        <v>394</v>
      </c>
      <c r="U300" s="242"/>
      <c r="V300" s="242"/>
      <c r="W300" s="242"/>
      <c r="X300" s="242"/>
      <c r="Y300" s="242"/>
      <c r="Z300" s="242"/>
      <c r="AA300" s="242"/>
      <c r="AB300" s="242"/>
      <c r="AC300" s="242"/>
    </row>
    <row r="301" spans="20:36" x14ac:dyDescent="0.25">
      <c r="T301" s="241" t="s">
        <v>454</v>
      </c>
      <c r="U301" s="242"/>
      <c r="V301" s="242"/>
      <c r="W301" s="242"/>
      <c r="X301" s="242"/>
      <c r="Y301" s="242"/>
      <c r="Z301" s="242"/>
      <c r="AA301" s="242"/>
      <c r="AB301" s="242"/>
      <c r="AC301" s="242"/>
    </row>
    <row r="302" spans="20:36" x14ac:dyDescent="0.25">
      <c r="T302" s="242"/>
      <c r="U302" s="242"/>
      <c r="V302" s="242"/>
      <c r="W302" s="242"/>
      <c r="X302" s="242"/>
      <c r="Y302" s="242"/>
      <c r="Z302" s="242"/>
      <c r="AA302" s="242"/>
      <c r="AB302" s="242"/>
      <c r="AC302" s="242"/>
    </row>
    <row r="303" spans="20:36" x14ac:dyDescent="0.25">
      <c r="T303" s="242"/>
      <c r="U303" s="242"/>
      <c r="V303" s="242"/>
      <c r="W303" s="242"/>
      <c r="X303" s="242"/>
      <c r="Y303" s="242"/>
      <c r="Z303" s="242"/>
      <c r="AA303" s="242"/>
      <c r="AB303" s="242"/>
      <c r="AC303" s="242"/>
    </row>
    <row r="304" spans="20:36" x14ac:dyDescent="0.25">
      <c r="T304" s="242"/>
      <c r="U304" s="242"/>
      <c r="V304" s="242"/>
      <c r="W304" s="242"/>
      <c r="X304" s="242"/>
      <c r="Y304" s="242"/>
      <c r="Z304" s="242"/>
      <c r="AA304" s="242"/>
      <c r="AB304" s="242"/>
      <c r="AC304" s="242"/>
    </row>
    <row r="305" spans="20:33" x14ac:dyDescent="0.25">
      <c r="T305" s="242"/>
      <c r="U305" s="242"/>
      <c r="V305" s="242"/>
      <c r="W305" s="242"/>
      <c r="X305" s="242"/>
      <c r="Y305" s="242"/>
      <c r="Z305" s="242"/>
      <c r="AA305" s="242"/>
      <c r="AB305" s="242"/>
      <c r="AC305" s="242"/>
    </row>
    <row r="306" spans="20:33" x14ac:dyDescent="0.25">
      <c r="T306" s="242"/>
      <c r="U306" s="242"/>
      <c r="V306" s="242"/>
      <c r="W306" s="242"/>
      <c r="X306" s="242"/>
      <c r="Y306" s="242"/>
      <c r="Z306" s="242"/>
      <c r="AA306" s="242"/>
      <c r="AB306" s="242"/>
      <c r="AC306" s="242"/>
    </row>
    <row r="307" spans="20:33" x14ac:dyDescent="0.25">
      <c r="T307" s="241"/>
      <c r="U307" s="268" t="s">
        <v>424</v>
      </c>
      <c r="V307" s="269"/>
      <c r="W307" s="268" t="s">
        <v>425</v>
      </c>
      <c r="X307" s="269"/>
      <c r="Y307" s="303" t="s">
        <v>455</v>
      </c>
      <c r="Z307" s="241"/>
      <c r="AA307" s="241"/>
      <c r="AB307" s="241"/>
      <c r="AC307" s="241"/>
      <c r="AD307" s="241"/>
      <c r="AE307" s="241"/>
      <c r="AF307" s="241"/>
      <c r="AG307" s="241"/>
    </row>
    <row r="308" spans="20:33" ht="30" x14ac:dyDescent="0.25">
      <c r="T308" s="251" t="s">
        <v>183</v>
      </c>
      <c r="U308" s="251" t="s">
        <v>269</v>
      </c>
      <c r="V308" s="304" t="s">
        <v>71</v>
      </c>
      <c r="W308" s="251" t="s">
        <v>269</v>
      </c>
      <c r="X308" s="304" t="s">
        <v>71</v>
      </c>
      <c r="Y308" s="305" t="s">
        <v>71</v>
      </c>
      <c r="Z308" s="241"/>
      <c r="AA308" s="241"/>
      <c r="AB308" s="241"/>
      <c r="AC308" s="241"/>
      <c r="AD308" s="241"/>
      <c r="AE308" s="241"/>
      <c r="AF308" s="241"/>
      <c r="AG308" s="241"/>
    </row>
    <row r="309" spans="20:33" x14ac:dyDescent="0.25">
      <c r="T309" s="255">
        <v>2024</v>
      </c>
      <c r="U309" s="306">
        <v>1</v>
      </c>
      <c r="V309" s="307"/>
      <c r="W309" s="306">
        <v>1</v>
      </c>
      <c r="X309" s="307"/>
      <c r="Y309" s="308"/>
      <c r="Z309" s="241"/>
      <c r="AA309" s="241"/>
      <c r="AB309" s="241"/>
      <c r="AC309" s="241"/>
      <c r="AD309" s="241"/>
      <c r="AE309" s="241"/>
      <c r="AF309" s="241"/>
      <c r="AG309" s="241"/>
    </row>
    <row r="310" spans="20:33" x14ac:dyDescent="0.25">
      <c r="T310" s="255">
        <v>2025</v>
      </c>
      <c r="U310" s="306">
        <v>1.075</v>
      </c>
      <c r="V310" s="309">
        <f>+U310/U309-1</f>
        <v>7.4999999999999956E-2</v>
      </c>
      <c r="W310" s="306">
        <v>1.0549999999999999</v>
      </c>
      <c r="X310" s="309">
        <f>+W310/W309-1</f>
        <v>5.4999999999999938E-2</v>
      </c>
      <c r="Y310" s="310">
        <f>+V310-X310</f>
        <v>2.0000000000000018E-2</v>
      </c>
      <c r="Z310" s="241"/>
      <c r="AA310" s="241"/>
      <c r="AB310" s="241"/>
      <c r="AC310" s="241"/>
      <c r="AD310" s="241"/>
      <c r="AE310" s="241"/>
      <c r="AF310" s="241"/>
      <c r="AG310" s="241"/>
    </row>
    <row r="311" spans="20:33" x14ac:dyDescent="0.25">
      <c r="T311" s="255">
        <v>2026</v>
      </c>
      <c r="U311" s="306">
        <v>1.1529374999999999</v>
      </c>
      <c r="V311" s="309">
        <f t="shared" ref="V311:X359" si="4">+U311/U310-1</f>
        <v>7.2500000000000009E-2</v>
      </c>
      <c r="W311" s="306">
        <v>1.1103874999999999</v>
      </c>
      <c r="X311" s="309">
        <f t="shared" si="4"/>
        <v>5.2499999999999991E-2</v>
      </c>
      <c r="Y311" s="310">
        <f t="shared" ref="Y311:Y359" si="5">+V311-X311</f>
        <v>2.0000000000000018E-2</v>
      </c>
      <c r="Z311" s="241"/>
      <c r="AA311" s="241"/>
      <c r="AB311" s="241"/>
      <c r="AC311" s="241"/>
      <c r="AD311" s="241"/>
      <c r="AE311" s="241"/>
      <c r="AF311" s="241"/>
      <c r="AG311" s="241"/>
    </row>
    <row r="312" spans="20:33" x14ac:dyDescent="0.25">
      <c r="T312" s="255">
        <v>2027</v>
      </c>
      <c r="U312" s="306">
        <v>1.233643125</v>
      </c>
      <c r="V312" s="309">
        <f t="shared" si="4"/>
        <v>7.0000000000000062E-2</v>
      </c>
      <c r="W312" s="306">
        <v>1.1659068749999999</v>
      </c>
      <c r="X312" s="309">
        <f t="shared" si="4"/>
        <v>5.0000000000000044E-2</v>
      </c>
      <c r="Y312" s="310">
        <f t="shared" si="5"/>
        <v>2.0000000000000018E-2</v>
      </c>
      <c r="Z312" s="241"/>
      <c r="AA312" s="241"/>
      <c r="AB312" s="241"/>
      <c r="AC312" s="241"/>
      <c r="AD312" s="241"/>
      <c r="AE312" s="241"/>
      <c r="AF312" s="241"/>
      <c r="AG312" s="241"/>
    </row>
    <row r="313" spans="20:33" x14ac:dyDescent="0.25">
      <c r="T313" s="255">
        <v>2028</v>
      </c>
      <c r="U313" s="306">
        <v>1.3169140359374998</v>
      </c>
      <c r="V313" s="309">
        <f t="shared" si="4"/>
        <v>6.7499999999999893E-2</v>
      </c>
      <c r="W313" s="306">
        <v>1.2212874515624998</v>
      </c>
      <c r="X313" s="309">
        <f t="shared" si="4"/>
        <v>4.7499999999999876E-2</v>
      </c>
      <c r="Y313" s="310">
        <f t="shared" si="5"/>
        <v>2.0000000000000018E-2</v>
      </c>
      <c r="Z313" s="241"/>
      <c r="AA313" s="241"/>
      <c r="AB313" s="241"/>
      <c r="AC313" s="241"/>
      <c r="AD313" s="241"/>
      <c r="AE313" s="241"/>
      <c r="AF313" s="241"/>
      <c r="AG313" s="241"/>
    </row>
    <row r="314" spans="20:33" x14ac:dyDescent="0.25">
      <c r="T314" s="255">
        <v>2029</v>
      </c>
      <c r="U314" s="306">
        <v>1.4025134482734372</v>
      </c>
      <c r="V314" s="309">
        <f t="shared" si="4"/>
        <v>6.4999999999999947E-2</v>
      </c>
      <c r="W314" s="306">
        <v>1.2762453868828123</v>
      </c>
      <c r="X314" s="309">
        <f t="shared" si="4"/>
        <v>4.4999999999999929E-2</v>
      </c>
      <c r="Y314" s="310">
        <f t="shared" si="5"/>
        <v>2.0000000000000018E-2</v>
      </c>
      <c r="Z314" s="241"/>
      <c r="AA314" s="241"/>
      <c r="AB314" s="241"/>
      <c r="AC314" s="241"/>
      <c r="AD314" s="241"/>
      <c r="AE314" s="241"/>
      <c r="AF314" s="241"/>
      <c r="AG314" s="241"/>
    </row>
    <row r="315" spans="20:33" x14ac:dyDescent="0.25">
      <c r="T315" s="255">
        <v>2030</v>
      </c>
      <c r="U315" s="306">
        <v>1.4901705387905271</v>
      </c>
      <c r="V315" s="309">
        <f t="shared" si="4"/>
        <v>6.25E-2</v>
      </c>
      <c r="W315" s="306">
        <v>1.3304858158253319</v>
      </c>
      <c r="X315" s="309">
        <f t="shared" si="4"/>
        <v>4.2499999999999982E-2</v>
      </c>
      <c r="Y315" s="310">
        <f t="shared" si="5"/>
        <v>2.0000000000000018E-2</v>
      </c>
      <c r="Z315" s="241"/>
      <c r="AA315" s="241"/>
      <c r="AB315" s="241"/>
      <c r="AC315" s="241"/>
      <c r="AD315" s="241"/>
      <c r="AE315" s="241"/>
      <c r="AF315" s="241"/>
      <c r="AG315" s="241"/>
    </row>
    <row r="316" spans="20:33" x14ac:dyDescent="0.25">
      <c r="T316" s="255">
        <v>2031</v>
      </c>
      <c r="U316" s="306">
        <v>1.5795807711179588</v>
      </c>
      <c r="V316" s="309">
        <f t="shared" si="4"/>
        <v>6.0000000000000053E-2</v>
      </c>
      <c r="W316" s="306">
        <v>1.3837052484583452</v>
      </c>
      <c r="X316" s="309">
        <f t="shared" si="4"/>
        <v>4.0000000000000036E-2</v>
      </c>
      <c r="Y316" s="310">
        <f t="shared" si="5"/>
        <v>2.0000000000000018E-2</v>
      </c>
      <c r="Z316" s="241"/>
      <c r="AA316" s="241"/>
      <c r="AB316" s="241"/>
      <c r="AC316" s="241"/>
      <c r="AD316" s="241"/>
      <c r="AE316" s="241"/>
      <c r="AF316" s="241"/>
      <c r="AG316" s="241"/>
    </row>
    <row r="317" spans="20:33" x14ac:dyDescent="0.25">
      <c r="T317" s="255">
        <v>2032</v>
      </c>
      <c r="U317" s="306">
        <v>1.6704066654572411</v>
      </c>
      <c r="V317" s="309">
        <f t="shared" si="4"/>
        <v>5.7499999999999885E-2</v>
      </c>
      <c r="W317" s="306">
        <v>1.4355941952755333</v>
      </c>
      <c r="X317" s="309">
        <f t="shared" si="4"/>
        <v>3.7500000000000089E-2</v>
      </c>
      <c r="Y317" s="310">
        <f t="shared" si="5"/>
        <v>1.9999999999999796E-2</v>
      </c>
      <c r="Z317" s="241"/>
      <c r="AA317" s="241"/>
      <c r="AB317" s="241"/>
      <c r="AC317" s="241"/>
      <c r="AD317" s="241"/>
      <c r="AE317" s="241"/>
      <c r="AF317" s="241"/>
      <c r="AG317" s="241"/>
    </row>
    <row r="318" spans="20:33" x14ac:dyDescent="0.25">
      <c r="T318" s="255">
        <v>2033</v>
      </c>
      <c r="U318" s="306">
        <v>1.7622790320573893</v>
      </c>
      <c r="V318" s="309">
        <f t="shared" si="4"/>
        <v>5.4999999999999938E-2</v>
      </c>
      <c r="W318" s="306">
        <v>1.4858399921101768</v>
      </c>
      <c r="X318" s="309">
        <f t="shared" si="4"/>
        <v>3.499999999999992E-2</v>
      </c>
      <c r="Y318" s="310">
        <f t="shared" si="5"/>
        <v>2.0000000000000018E-2</v>
      </c>
      <c r="Z318" s="241"/>
      <c r="AA318" s="241"/>
      <c r="AB318" s="241"/>
      <c r="AC318" s="241"/>
      <c r="AD318" s="241"/>
      <c r="AE318" s="241"/>
      <c r="AF318" s="241"/>
      <c r="AG318" s="241"/>
    </row>
    <row r="319" spans="20:33" x14ac:dyDescent="0.25">
      <c r="T319" s="255">
        <v>2034</v>
      </c>
      <c r="U319" s="306">
        <v>1.8547986812404023</v>
      </c>
      <c r="V319" s="309">
        <f t="shared" si="4"/>
        <v>5.2499999999999991E-2</v>
      </c>
      <c r="W319" s="306">
        <v>1.5341297918537575</v>
      </c>
      <c r="X319" s="309">
        <f t="shared" si="4"/>
        <v>3.2499999999999973E-2</v>
      </c>
      <c r="Y319" s="310">
        <f t="shared" si="5"/>
        <v>2.0000000000000018E-2</v>
      </c>
      <c r="Z319" s="241"/>
      <c r="AA319" s="241"/>
      <c r="AB319" s="241"/>
      <c r="AC319" s="241"/>
      <c r="AD319" s="241"/>
      <c r="AE319" s="241"/>
      <c r="AF319" s="241"/>
      <c r="AG319" s="241"/>
    </row>
    <row r="320" spans="20:33" x14ac:dyDescent="0.25">
      <c r="T320" s="255">
        <v>2035</v>
      </c>
      <c r="U320" s="306">
        <v>1.9475386153024226</v>
      </c>
      <c r="V320" s="309">
        <f t="shared" si="4"/>
        <v>5.0000000000000044E-2</v>
      </c>
      <c r="W320" s="306">
        <v>1.5801536856093703</v>
      </c>
      <c r="X320" s="309">
        <f t="shared" si="4"/>
        <v>3.0000000000000027E-2</v>
      </c>
      <c r="Y320" s="310">
        <f t="shared" si="5"/>
        <v>2.0000000000000018E-2</v>
      </c>
      <c r="Z320" s="241"/>
      <c r="AA320" s="241"/>
      <c r="AB320" s="241"/>
      <c r="AC320" s="241"/>
      <c r="AD320" s="241"/>
      <c r="AE320" s="241"/>
      <c r="AF320" s="241"/>
      <c r="AG320" s="241"/>
    </row>
    <row r="321" spans="20:33" x14ac:dyDescent="0.25">
      <c r="T321" s="255">
        <v>2036</v>
      </c>
      <c r="U321" s="306">
        <v>2.0449155460675437</v>
      </c>
      <c r="V321" s="309">
        <f t="shared" si="4"/>
        <v>5.0000000000000044E-2</v>
      </c>
      <c r="W321" s="306">
        <v>1.6275582961776514</v>
      </c>
      <c r="X321" s="309">
        <f t="shared" si="4"/>
        <v>3.0000000000000027E-2</v>
      </c>
      <c r="Y321" s="310">
        <f t="shared" si="5"/>
        <v>2.0000000000000018E-2</v>
      </c>
      <c r="Z321" s="241"/>
      <c r="AA321" s="241"/>
      <c r="AB321" s="241"/>
      <c r="AC321" s="241"/>
      <c r="AD321" s="241"/>
      <c r="AE321" s="241"/>
      <c r="AF321" s="241"/>
      <c r="AG321" s="241"/>
    </row>
    <row r="322" spans="20:33" x14ac:dyDescent="0.25">
      <c r="T322" s="255">
        <v>2037</v>
      </c>
      <c r="U322" s="306">
        <v>2.1471613233709208</v>
      </c>
      <c r="V322" s="309">
        <f t="shared" si="4"/>
        <v>5.0000000000000044E-2</v>
      </c>
      <c r="W322" s="306">
        <v>1.6763850450629809</v>
      </c>
      <c r="X322" s="309">
        <f t="shared" si="4"/>
        <v>3.0000000000000027E-2</v>
      </c>
      <c r="Y322" s="310">
        <f t="shared" si="5"/>
        <v>2.0000000000000018E-2</v>
      </c>
      <c r="Z322" s="241"/>
      <c r="AA322" s="241"/>
      <c r="AB322" s="241"/>
      <c r="AC322" s="241"/>
      <c r="AD322" s="241"/>
      <c r="AE322" s="241"/>
      <c r="AF322" s="241"/>
      <c r="AG322" s="241"/>
    </row>
    <row r="323" spans="20:33" x14ac:dyDescent="0.25">
      <c r="T323" s="255">
        <v>2038</v>
      </c>
      <c r="U323" s="306">
        <v>2.2545193895394671</v>
      </c>
      <c r="V323" s="309">
        <f t="shared" si="4"/>
        <v>5.0000000000000044E-2</v>
      </c>
      <c r="W323" s="306">
        <v>1.7266765964148705</v>
      </c>
      <c r="X323" s="309">
        <f t="shared" si="4"/>
        <v>3.0000000000000027E-2</v>
      </c>
      <c r="Y323" s="310">
        <f t="shared" si="5"/>
        <v>2.0000000000000018E-2</v>
      </c>
      <c r="Z323" s="241"/>
      <c r="AA323" s="241"/>
      <c r="AB323" s="241"/>
      <c r="AC323" s="241"/>
      <c r="AD323" s="241"/>
      <c r="AE323" s="241"/>
      <c r="AF323" s="241"/>
      <c r="AG323" s="241"/>
    </row>
    <row r="324" spans="20:33" x14ac:dyDescent="0.25">
      <c r="T324" s="255">
        <v>2039</v>
      </c>
      <c r="U324" s="306">
        <v>2.3672453590164406</v>
      </c>
      <c r="V324" s="309">
        <f t="shared" si="4"/>
        <v>5.0000000000000044E-2</v>
      </c>
      <c r="W324" s="306">
        <v>1.7784768943073166</v>
      </c>
      <c r="X324" s="309">
        <f t="shared" si="4"/>
        <v>3.0000000000000027E-2</v>
      </c>
      <c r="Y324" s="310">
        <f t="shared" si="5"/>
        <v>2.0000000000000018E-2</v>
      </c>
      <c r="Z324" s="241"/>
      <c r="AA324" s="241"/>
      <c r="AB324" s="241"/>
      <c r="AC324" s="241"/>
      <c r="AD324" s="241"/>
      <c r="AE324" s="241"/>
      <c r="AF324" s="241"/>
      <c r="AG324" s="241"/>
    </row>
    <row r="325" spans="20:33" x14ac:dyDescent="0.25">
      <c r="T325" s="255">
        <v>2040</v>
      </c>
      <c r="U325" s="306">
        <v>2.4856076269672629</v>
      </c>
      <c r="V325" s="309">
        <f t="shared" si="4"/>
        <v>5.0000000000000044E-2</v>
      </c>
      <c r="W325" s="306">
        <v>1.8318312011365361</v>
      </c>
      <c r="X325" s="309">
        <f t="shared" si="4"/>
        <v>3.0000000000000027E-2</v>
      </c>
      <c r="Y325" s="310">
        <f t="shared" si="5"/>
        <v>2.0000000000000018E-2</v>
      </c>
      <c r="Z325" s="241"/>
      <c r="AA325" s="241"/>
      <c r="AB325" s="241"/>
      <c r="AC325" s="241"/>
      <c r="AD325" s="241"/>
      <c r="AE325" s="241"/>
      <c r="AF325" s="241"/>
      <c r="AG325" s="241"/>
    </row>
    <row r="326" spans="20:33" x14ac:dyDescent="0.25">
      <c r="T326" s="255">
        <v>2041</v>
      </c>
      <c r="U326" s="306">
        <v>2.6098880083156262</v>
      </c>
      <c r="V326" s="309">
        <f t="shared" si="4"/>
        <v>5.0000000000000044E-2</v>
      </c>
      <c r="W326" s="306">
        <v>1.8867861371706323</v>
      </c>
      <c r="X326" s="309">
        <f t="shared" si="4"/>
        <v>3.0000000000000027E-2</v>
      </c>
      <c r="Y326" s="310">
        <f t="shared" si="5"/>
        <v>2.0000000000000018E-2</v>
      </c>
      <c r="Z326" s="241"/>
      <c r="AA326" s="241"/>
      <c r="AB326" s="241"/>
      <c r="AC326" s="241"/>
      <c r="AD326" s="241"/>
      <c r="AE326" s="241"/>
      <c r="AF326" s="241"/>
      <c r="AG326" s="241"/>
    </row>
    <row r="327" spans="20:33" x14ac:dyDescent="0.25">
      <c r="T327" s="255">
        <v>2042</v>
      </c>
      <c r="U327" s="306">
        <v>2.7403824087314077</v>
      </c>
      <c r="V327" s="309">
        <f t="shared" si="4"/>
        <v>5.0000000000000044E-2</v>
      </c>
      <c r="W327" s="306">
        <v>1.9433897212857514</v>
      </c>
      <c r="X327" s="309">
        <f t="shared" si="4"/>
        <v>3.0000000000000027E-2</v>
      </c>
      <c r="Y327" s="310">
        <f t="shared" si="5"/>
        <v>2.0000000000000018E-2</v>
      </c>
      <c r="Z327" s="241"/>
      <c r="AA327" s="241"/>
      <c r="AB327" s="241"/>
      <c r="AC327" s="241"/>
      <c r="AD327" s="241"/>
      <c r="AE327" s="241"/>
      <c r="AF327" s="241"/>
      <c r="AG327" s="241"/>
    </row>
    <row r="328" spans="20:33" x14ac:dyDescent="0.25">
      <c r="T328" s="255">
        <v>2043</v>
      </c>
      <c r="U328" s="306">
        <v>2.8774015291679782</v>
      </c>
      <c r="V328" s="309">
        <f t="shared" si="4"/>
        <v>5.0000000000000044E-2</v>
      </c>
      <c r="W328" s="306">
        <v>2.0016914129243242</v>
      </c>
      <c r="X328" s="309">
        <f t="shared" si="4"/>
        <v>3.0000000000000027E-2</v>
      </c>
      <c r="Y328" s="310">
        <f t="shared" si="5"/>
        <v>2.0000000000000018E-2</v>
      </c>
      <c r="Z328" s="241"/>
      <c r="AA328" s="241"/>
      <c r="AB328" s="241"/>
      <c r="AC328" s="241"/>
      <c r="AD328" s="241"/>
      <c r="AE328" s="241"/>
      <c r="AF328" s="241"/>
      <c r="AG328" s="241"/>
    </row>
    <row r="329" spans="20:33" x14ac:dyDescent="0.25">
      <c r="T329" s="255">
        <v>2044</v>
      </c>
      <c r="U329" s="306">
        <v>3.0212716056263771</v>
      </c>
      <c r="V329" s="309">
        <f t="shared" si="4"/>
        <v>5.0000000000000044E-2</v>
      </c>
      <c r="W329" s="306">
        <v>2.0617421553120541</v>
      </c>
      <c r="X329" s="309">
        <f t="shared" si="4"/>
        <v>3.0000000000000027E-2</v>
      </c>
      <c r="Y329" s="310">
        <f t="shared" si="5"/>
        <v>2.0000000000000018E-2</v>
      </c>
      <c r="Z329" s="241"/>
      <c r="AA329" s="241"/>
      <c r="AB329" s="241"/>
      <c r="AC329" s="241"/>
      <c r="AD329" s="241"/>
      <c r="AE329" s="241"/>
      <c r="AF329" s="241"/>
      <c r="AG329" s="241"/>
    </row>
    <row r="330" spans="20:33" x14ac:dyDescent="0.25">
      <c r="T330" s="255">
        <v>2045</v>
      </c>
      <c r="U330" s="306">
        <v>3.1723351859076963</v>
      </c>
      <c r="V330" s="309">
        <f t="shared" si="4"/>
        <v>5.0000000000000044E-2</v>
      </c>
      <c r="W330" s="306">
        <v>2.1235944199714156</v>
      </c>
      <c r="X330" s="309">
        <f t="shared" si="4"/>
        <v>3.0000000000000027E-2</v>
      </c>
      <c r="Y330" s="310">
        <f t="shared" si="5"/>
        <v>2.0000000000000018E-2</v>
      </c>
      <c r="Z330" s="241"/>
      <c r="AA330" s="241"/>
      <c r="AB330" s="241"/>
      <c r="AC330" s="241"/>
      <c r="AD330" s="241"/>
      <c r="AE330" s="241"/>
      <c r="AF330" s="241"/>
      <c r="AG330" s="241"/>
    </row>
    <row r="331" spans="20:33" x14ac:dyDescent="0.25">
      <c r="T331" s="255">
        <v>2046</v>
      </c>
      <c r="U331" s="306">
        <v>3.3309519452030814</v>
      </c>
      <c r="V331" s="309">
        <f t="shared" si="4"/>
        <v>5.0000000000000044E-2</v>
      </c>
      <c r="W331" s="306">
        <v>2.1873022525705581</v>
      </c>
      <c r="X331" s="309">
        <f t="shared" si="4"/>
        <v>3.0000000000000027E-2</v>
      </c>
      <c r="Y331" s="310">
        <f t="shared" si="5"/>
        <v>2.0000000000000018E-2</v>
      </c>
      <c r="Z331" s="241"/>
      <c r="AA331" s="241"/>
      <c r="AB331" s="241"/>
      <c r="AC331" s="241"/>
      <c r="AD331" s="241"/>
      <c r="AE331" s="241"/>
      <c r="AF331" s="241"/>
      <c r="AG331" s="241"/>
    </row>
    <row r="332" spans="20:33" x14ac:dyDescent="0.25">
      <c r="T332" s="255">
        <v>2047</v>
      </c>
      <c r="U332" s="306">
        <v>3.4974995424632356</v>
      </c>
      <c r="V332" s="309">
        <f t="shared" si="4"/>
        <v>5.0000000000000044E-2</v>
      </c>
      <c r="W332" s="306">
        <v>2.2529213201476748</v>
      </c>
      <c r="X332" s="309">
        <f t="shared" si="4"/>
        <v>3.0000000000000027E-2</v>
      </c>
      <c r="Y332" s="310">
        <f t="shared" si="5"/>
        <v>2.0000000000000018E-2</v>
      </c>
      <c r="Z332" s="241"/>
      <c r="AA332" s="241"/>
      <c r="AB332" s="241"/>
      <c r="AC332" s="241"/>
      <c r="AD332" s="241"/>
      <c r="AE332" s="241"/>
      <c r="AF332" s="241"/>
      <c r="AG332" s="241"/>
    </row>
    <row r="333" spans="20:33" x14ac:dyDescent="0.25">
      <c r="T333" s="255">
        <v>2048</v>
      </c>
      <c r="U333" s="306">
        <v>3.6723745195863975</v>
      </c>
      <c r="V333" s="309">
        <f t="shared" si="4"/>
        <v>5.0000000000000044E-2</v>
      </c>
      <c r="W333" s="306">
        <v>2.3205089597521051</v>
      </c>
      <c r="X333" s="309">
        <f t="shared" si="4"/>
        <v>3.0000000000000027E-2</v>
      </c>
      <c r="Y333" s="310">
        <f t="shared" si="5"/>
        <v>2.0000000000000018E-2</v>
      </c>
      <c r="Z333" s="241"/>
      <c r="AA333" s="241"/>
      <c r="AB333" s="241"/>
      <c r="AC333" s="241"/>
      <c r="AD333" s="241"/>
      <c r="AE333" s="241"/>
      <c r="AF333" s="241"/>
      <c r="AG333" s="241"/>
    </row>
    <row r="334" spans="20:33" x14ac:dyDescent="0.25">
      <c r="T334" s="255">
        <v>2049</v>
      </c>
      <c r="U334" s="306">
        <v>3.8559932455657173</v>
      </c>
      <c r="V334" s="309">
        <f t="shared" si="4"/>
        <v>5.0000000000000044E-2</v>
      </c>
      <c r="W334" s="306">
        <v>2.3901242285446682</v>
      </c>
      <c r="X334" s="309">
        <f t="shared" si="4"/>
        <v>3.0000000000000027E-2</v>
      </c>
      <c r="Y334" s="310">
        <f t="shared" si="5"/>
        <v>2.0000000000000018E-2</v>
      </c>
      <c r="Z334" s="241"/>
      <c r="AA334" s="241"/>
      <c r="AB334" s="241"/>
      <c r="AC334" s="241"/>
      <c r="AD334" s="241"/>
      <c r="AE334" s="241"/>
      <c r="AF334" s="241"/>
      <c r="AG334" s="241"/>
    </row>
    <row r="335" spans="20:33" x14ac:dyDescent="0.25">
      <c r="T335" s="255">
        <v>2050</v>
      </c>
      <c r="U335" s="306">
        <v>4.0487929078440033</v>
      </c>
      <c r="V335" s="309">
        <f t="shared" si="4"/>
        <v>5.0000000000000044E-2</v>
      </c>
      <c r="W335" s="306">
        <v>2.4618279554010085</v>
      </c>
      <c r="X335" s="309">
        <f t="shared" si="4"/>
        <v>3.0000000000000027E-2</v>
      </c>
      <c r="Y335" s="310">
        <f t="shared" si="5"/>
        <v>2.0000000000000018E-2</v>
      </c>
      <c r="Z335" s="241"/>
      <c r="AA335" s="241"/>
      <c r="AB335" s="241"/>
      <c r="AC335" s="241"/>
      <c r="AD335" s="241"/>
      <c r="AE335" s="241"/>
      <c r="AF335" s="241"/>
      <c r="AG335" s="241"/>
    </row>
    <row r="336" spans="20:33" x14ac:dyDescent="0.25">
      <c r="T336" s="255">
        <v>2051</v>
      </c>
      <c r="U336" s="306">
        <v>4.2512325532362034</v>
      </c>
      <c r="V336" s="309">
        <f t="shared" si="4"/>
        <v>5.0000000000000044E-2</v>
      </c>
      <c r="W336" s="306">
        <v>2.5356827940630389</v>
      </c>
      <c r="X336" s="309">
        <f t="shared" si="4"/>
        <v>3.0000000000000027E-2</v>
      </c>
      <c r="Y336" s="310">
        <f t="shared" si="5"/>
        <v>2.0000000000000018E-2</v>
      </c>
      <c r="Z336" s="241"/>
      <c r="AA336" s="241"/>
      <c r="AB336" s="241"/>
      <c r="AC336" s="241"/>
      <c r="AD336" s="241"/>
      <c r="AE336" s="241"/>
      <c r="AF336" s="241"/>
      <c r="AG336" s="241"/>
    </row>
    <row r="337" spans="20:33" x14ac:dyDescent="0.25">
      <c r="T337" s="255">
        <v>2052</v>
      </c>
      <c r="U337" s="306">
        <v>4.4637941808980139</v>
      </c>
      <c r="V337" s="309">
        <f t="shared" si="4"/>
        <v>5.0000000000000044E-2</v>
      </c>
      <c r="W337" s="306">
        <v>2.6117532778849299</v>
      </c>
      <c r="X337" s="309">
        <f t="shared" si="4"/>
        <v>3.0000000000000027E-2</v>
      </c>
      <c r="Y337" s="310">
        <f t="shared" si="5"/>
        <v>2.0000000000000018E-2</v>
      </c>
      <c r="Z337" s="241"/>
      <c r="AA337" s="241"/>
      <c r="AB337" s="241"/>
      <c r="AC337" s="241"/>
      <c r="AD337" s="241"/>
      <c r="AE337" s="241"/>
      <c r="AF337" s="241"/>
      <c r="AG337" s="241"/>
    </row>
    <row r="338" spans="20:33" x14ac:dyDescent="0.25">
      <c r="T338" s="255">
        <v>2053</v>
      </c>
      <c r="U338" s="306">
        <v>4.6869838899429146</v>
      </c>
      <c r="V338" s="309">
        <f t="shared" si="4"/>
        <v>5.0000000000000044E-2</v>
      </c>
      <c r="W338" s="306">
        <v>2.690105876221478</v>
      </c>
      <c r="X338" s="309">
        <f t="shared" si="4"/>
        <v>3.0000000000000027E-2</v>
      </c>
      <c r="Y338" s="310">
        <f t="shared" si="5"/>
        <v>2.0000000000000018E-2</v>
      </c>
      <c r="Z338" s="241"/>
      <c r="AA338" s="241"/>
      <c r="AB338" s="241"/>
      <c r="AC338" s="241"/>
      <c r="AD338" s="241"/>
      <c r="AE338" s="241"/>
      <c r="AF338" s="241"/>
      <c r="AG338" s="241"/>
    </row>
    <row r="339" spans="20:33" x14ac:dyDescent="0.25">
      <c r="T339" s="255">
        <v>2054</v>
      </c>
      <c r="U339" s="306">
        <v>4.9213330844400609</v>
      </c>
      <c r="V339" s="309">
        <f t="shared" si="4"/>
        <v>5.0000000000000044E-2</v>
      </c>
      <c r="W339" s="306">
        <v>2.7708090525081226</v>
      </c>
      <c r="X339" s="309">
        <f t="shared" si="4"/>
        <v>3.0000000000000027E-2</v>
      </c>
      <c r="Y339" s="310">
        <f t="shared" si="5"/>
        <v>2.0000000000000018E-2</v>
      </c>
      <c r="Z339" s="241"/>
      <c r="AA339" s="241"/>
      <c r="AB339" s="241"/>
      <c r="AC339" s="241"/>
      <c r="AD339" s="241"/>
      <c r="AE339" s="241"/>
      <c r="AF339" s="241"/>
      <c r="AG339" s="241"/>
    </row>
    <row r="340" spans="20:33" x14ac:dyDescent="0.25">
      <c r="T340" s="255">
        <v>2055</v>
      </c>
      <c r="U340" s="306">
        <v>5.1673997386620645</v>
      </c>
      <c r="V340" s="309">
        <f t="shared" si="4"/>
        <v>5.0000000000000044E-2</v>
      </c>
      <c r="W340" s="306">
        <v>2.8539333240833664</v>
      </c>
      <c r="X340" s="309">
        <f t="shared" si="4"/>
        <v>3.0000000000000027E-2</v>
      </c>
      <c r="Y340" s="310">
        <f t="shared" si="5"/>
        <v>2.0000000000000018E-2</v>
      </c>
      <c r="Z340" s="241"/>
      <c r="AA340" s="241"/>
      <c r="AB340" s="241"/>
      <c r="AC340" s="241"/>
      <c r="AD340" s="241"/>
      <c r="AE340" s="241"/>
      <c r="AF340" s="241"/>
      <c r="AG340" s="241"/>
    </row>
    <row r="341" spans="20:33" x14ac:dyDescent="0.25">
      <c r="T341" s="255">
        <v>2056</v>
      </c>
      <c r="U341" s="306">
        <v>5.4257697255951678</v>
      </c>
      <c r="V341" s="309">
        <f t="shared" si="4"/>
        <v>5.0000000000000044E-2</v>
      </c>
      <c r="W341" s="306">
        <v>2.9395513238058677</v>
      </c>
      <c r="X341" s="309">
        <f t="shared" si="4"/>
        <v>3.0000000000000027E-2</v>
      </c>
      <c r="Y341" s="310">
        <f t="shared" si="5"/>
        <v>2.0000000000000018E-2</v>
      </c>
      <c r="Z341" s="241"/>
      <c r="AA341" s="241"/>
      <c r="AB341" s="241"/>
      <c r="AC341" s="241"/>
      <c r="AD341" s="241"/>
      <c r="AE341" s="241"/>
      <c r="AF341" s="241"/>
      <c r="AG341" s="241"/>
    </row>
    <row r="342" spans="20:33" x14ac:dyDescent="0.25">
      <c r="T342" s="255">
        <v>2057</v>
      </c>
      <c r="U342" s="306">
        <v>5.6970582118749267</v>
      </c>
      <c r="V342" s="309">
        <f t="shared" si="4"/>
        <v>5.0000000000000044E-2</v>
      </c>
      <c r="W342" s="306">
        <v>3.0277378635200436</v>
      </c>
      <c r="X342" s="309">
        <f t="shared" si="4"/>
        <v>3.0000000000000027E-2</v>
      </c>
      <c r="Y342" s="310">
        <f t="shared" si="5"/>
        <v>2.0000000000000018E-2</v>
      </c>
      <c r="Z342" s="241"/>
      <c r="AA342" s="241"/>
      <c r="AB342" s="241"/>
      <c r="AC342" s="241"/>
      <c r="AD342" s="241"/>
      <c r="AE342" s="241"/>
      <c r="AF342" s="241"/>
      <c r="AG342" s="241"/>
    </row>
    <row r="343" spans="20:33" x14ac:dyDescent="0.25">
      <c r="T343" s="255">
        <v>2058</v>
      </c>
      <c r="U343" s="306">
        <v>5.9819111224686736</v>
      </c>
      <c r="V343" s="309">
        <f t="shared" si="4"/>
        <v>5.0000000000000044E-2</v>
      </c>
      <c r="W343" s="306">
        <v>3.1185699994256448</v>
      </c>
      <c r="X343" s="309">
        <f t="shared" si="4"/>
        <v>3.0000000000000027E-2</v>
      </c>
      <c r="Y343" s="310">
        <f t="shared" si="5"/>
        <v>2.0000000000000018E-2</v>
      </c>
      <c r="Z343" s="241"/>
      <c r="AA343" s="241"/>
      <c r="AB343" s="241"/>
      <c r="AC343" s="241"/>
      <c r="AD343" s="241"/>
      <c r="AE343" s="241"/>
      <c r="AF343" s="241"/>
      <c r="AG343" s="241"/>
    </row>
    <row r="344" spans="20:33" x14ac:dyDescent="0.25">
      <c r="T344" s="255">
        <v>2059</v>
      </c>
      <c r="U344" s="306">
        <v>6.2810066785921075</v>
      </c>
      <c r="V344" s="309">
        <f t="shared" si="4"/>
        <v>5.0000000000000044E-2</v>
      </c>
      <c r="W344" s="306">
        <v>3.2121270994084141</v>
      </c>
      <c r="X344" s="309">
        <f t="shared" si="4"/>
        <v>3.0000000000000027E-2</v>
      </c>
      <c r="Y344" s="310">
        <f t="shared" si="5"/>
        <v>2.0000000000000018E-2</v>
      </c>
      <c r="Z344" s="241"/>
      <c r="AA344" s="241"/>
      <c r="AB344" s="241"/>
      <c r="AC344" s="241"/>
      <c r="AD344" s="241"/>
      <c r="AE344" s="241"/>
      <c r="AF344" s="241"/>
      <c r="AG344" s="241"/>
    </row>
    <row r="345" spans="20:33" x14ac:dyDescent="0.25">
      <c r="T345" s="255">
        <v>2060</v>
      </c>
      <c r="U345" s="306">
        <v>6.5950570125217132</v>
      </c>
      <c r="V345" s="309">
        <f t="shared" si="4"/>
        <v>5.0000000000000044E-2</v>
      </c>
      <c r="W345" s="306">
        <v>3.3084909123906665</v>
      </c>
      <c r="X345" s="309">
        <f t="shared" si="4"/>
        <v>3.0000000000000027E-2</v>
      </c>
      <c r="Y345" s="310">
        <f t="shared" si="5"/>
        <v>2.0000000000000018E-2</v>
      </c>
      <c r="Z345" s="241"/>
      <c r="AA345" s="241"/>
      <c r="AB345" s="241"/>
      <c r="AC345" s="241"/>
      <c r="AD345" s="241"/>
      <c r="AE345" s="241"/>
      <c r="AF345" s="241"/>
      <c r="AG345" s="241"/>
    </row>
    <row r="346" spans="20:33" x14ac:dyDescent="0.25">
      <c r="T346" s="255">
        <v>2061</v>
      </c>
      <c r="U346" s="306">
        <v>6.9248098631477992</v>
      </c>
      <c r="V346" s="309">
        <f t="shared" si="4"/>
        <v>5.0000000000000044E-2</v>
      </c>
      <c r="W346" s="306">
        <v>3.4077456397623864</v>
      </c>
      <c r="X346" s="309">
        <f t="shared" si="4"/>
        <v>3.0000000000000027E-2</v>
      </c>
      <c r="Y346" s="310">
        <f t="shared" si="5"/>
        <v>2.0000000000000018E-2</v>
      </c>
      <c r="Z346" s="241"/>
      <c r="AA346" s="241"/>
      <c r="AB346" s="241"/>
      <c r="AC346" s="241"/>
      <c r="AD346" s="241"/>
      <c r="AE346" s="241"/>
      <c r="AF346" s="241"/>
      <c r="AG346" s="241"/>
    </row>
    <row r="347" spans="20:33" x14ac:dyDescent="0.25">
      <c r="T347" s="255">
        <v>2062</v>
      </c>
      <c r="U347" s="306">
        <v>7.2710503563051896</v>
      </c>
      <c r="V347" s="309">
        <f t="shared" si="4"/>
        <v>5.0000000000000044E-2</v>
      </c>
      <c r="W347" s="306">
        <v>3.5099780089552581</v>
      </c>
      <c r="X347" s="309">
        <f t="shared" si="4"/>
        <v>3.0000000000000027E-2</v>
      </c>
      <c r="Y347" s="310">
        <f t="shared" si="5"/>
        <v>2.0000000000000018E-2</v>
      </c>
      <c r="Z347" s="241"/>
      <c r="AA347" s="241"/>
      <c r="AB347" s="241"/>
      <c r="AC347" s="241"/>
      <c r="AD347" s="241"/>
      <c r="AE347" s="241"/>
      <c r="AF347" s="241"/>
      <c r="AG347" s="241"/>
    </row>
    <row r="348" spans="20:33" x14ac:dyDescent="0.25">
      <c r="T348" s="255">
        <v>2063</v>
      </c>
      <c r="U348" s="306">
        <v>7.634602874120449</v>
      </c>
      <c r="V348" s="309">
        <f t="shared" si="4"/>
        <v>5.0000000000000044E-2</v>
      </c>
      <c r="W348" s="306">
        <v>3.6152773492239159</v>
      </c>
      <c r="X348" s="309">
        <f t="shared" si="4"/>
        <v>3.0000000000000027E-2</v>
      </c>
      <c r="Y348" s="310">
        <f t="shared" si="5"/>
        <v>2.0000000000000018E-2</v>
      </c>
      <c r="Z348" s="241"/>
      <c r="AA348" s="241"/>
      <c r="AB348" s="241"/>
      <c r="AC348" s="241"/>
      <c r="AD348" s="241"/>
      <c r="AE348" s="241"/>
      <c r="AF348" s="241"/>
      <c r="AG348" s="241"/>
    </row>
    <row r="349" spans="20:33" x14ac:dyDescent="0.25">
      <c r="T349" s="255">
        <v>2064</v>
      </c>
      <c r="U349" s="306">
        <v>8.0163330178264722</v>
      </c>
      <c r="V349" s="309">
        <f t="shared" si="4"/>
        <v>5.0000000000000044E-2</v>
      </c>
      <c r="W349" s="306">
        <v>3.7237356697006336</v>
      </c>
      <c r="X349" s="309">
        <f t="shared" si="4"/>
        <v>3.0000000000000027E-2</v>
      </c>
      <c r="Y349" s="310">
        <f t="shared" si="5"/>
        <v>2.0000000000000018E-2</v>
      </c>
      <c r="Z349" s="241"/>
      <c r="AA349" s="241"/>
      <c r="AB349" s="241"/>
      <c r="AC349" s="241"/>
      <c r="AD349" s="241"/>
      <c r="AE349" s="241"/>
      <c r="AF349" s="241"/>
      <c r="AG349" s="241"/>
    </row>
    <row r="350" spans="20:33" x14ac:dyDescent="0.25">
      <c r="T350" s="255">
        <v>2065</v>
      </c>
      <c r="U350" s="306">
        <v>8.417149668717796</v>
      </c>
      <c r="V350" s="309">
        <f t="shared" si="4"/>
        <v>5.0000000000000044E-2</v>
      </c>
      <c r="W350" s="306">
        <v>3.8354477397916527</v>
      </c>
      <c r="X350" s="309">
        <f t="shared" si="4"/>
        <v>3.0000000000000027E-2</v>
      </c>
      <c r="Y350" s="310">
        <f t="shared" si="5"/>
        <v>2.0000000000000018E-2</v>
      </c>
      <c r="Z350" s="241"/>
      <c r="AA350" s="241"/>
      <c r="AB350" s="241"/>
      <c r="AC350" s="241"/>
      <c r="AD350" s="241"/>
      <c r="AE350" s="241"/>
      <c r="AF350" s="241"/>
      <c r="AG350" s="241"/>
    </row>
    <row r="351" spans="20:33" x14ac:dyDescent="0.25">
      <c r="T351" s="255">
        <v>2066</v>
      </c>
      <c r="U351" s="306">
        <v>8.8380071521536863</v>
      </c>
      <c r="V351" s="309">
        <f t="shared" si="4"/>
        <v>5.0000000000000044E-2</v>
      </c>
      <c r="W351" s="306">
        <v>3.9505111719854025</v>
      </c>
      <c r="X351" s="309">
        <f t="shared" si="4"/>
        <v>3.0000000000000027E-2</v>
      </c>
      <c r="Y351" s="310">
        <f t="shared" si="5"/>
        <v>2.0000000000000018E-2</v>
      </c>
      <c r="Z351" s="241"/>
      <c r="AA351" s="241"/>
      <c r="AB351" s="241"/>
      <c r="AC351" s="241"/>
      <c r="AD351" s="241"/>
      <c r="AE351" s="241"/>
      <c r="AF351" s="241"/>
      <c r="AG351" s="241"/>
    </row>
    <row r="352" spans="20:33" x14ac:dyDescent="0.25">
      <c r="T352" s="255">
        <v>2067</v>
      </c>
      <c r="U352" s="306">
        <v>9.2799075097613706</v>
      </c>
      <c r="V352" s="309">
        <f t="shared" si="4"/>
        <v>5.0000000000000044E-2</v>
      </c>
      <c r="W352" s="306">
        <v>4.0690265071449643</v>
      </c>
      <c r="X352" s="309">
        <f t="shared" si="4"/>
        <v>3.0000000000000027E-2</v>
      </c>
      <c r="Y352" s="310">
        <f t="shared" si="5"/>
        <v>2.0000000000000018E-2</v>
      </c>
      <c r="Z352" s="241"/>
      <c r="AA352" s="241"/>
      <c r="AB352" s="241"/>
      <c r="AC352" s="241"/>
      <c r="AD352" s="241"/>
      <c r="AE352" s="241"/>
      <c r="AF352" s="241"/>
      <c r="AG352" s="241"/>
    </row>
    <row r="353" spans="20:33" x14ac:dyDescent="0.25">
      <c r="T353" s="255">
        <v>2068</v>
      </c>
      <c r="U353" s="306">
        <v>9.7439028852494403</v>
      </c>
      <c r="V353" s="309">
        <f t="shared" si="4"/>
        <v>5.0000000000000044E-2</v>
      </c>
      <c r="W353" s="306">
        <v>4.1910973023593137</v>
      </c>
      <c r="X353" s="309">
        <f t="shared" si="4"/>
        <v>3.0000000000000027E-2</v>
      </c>
      <c r="Y353" s="310">
        <f t="shared" si="5"/>
        <v>2.0000000000000018E-2</v>
      </c>
      <c r="Z353" s="241"/>
      <c r="AA353" s="241"/>
      <c r="AB353" s="241"/>
      <c r="AC353" s="241"/>
      <c r="AD353" s="241"/>
      <c r="AE353" s="241"/>
      <c r="AF353" s="241"/>
      <c r="AG353" s="241"/>
    </row>
    <row r="354" spans="20:33" x14ac:dyDescent="0.25">
      <c r="T354" s="255">
        <v>2069</v>
      </c>
      <c r="U354" s="306">
        <v>10.231098029511912</v>
      </c>
      <c r="V354" s="309">
        <f t="shared" si="4"/>
        <v>5.0000000000000044E-2</v>
      </c>
      <c r="W354" s="306">
        <v>4.3168302214300933</v>
      </c>
      <c r="X354" s="309">
        <f t="shared" si="4"/>
        <v>3.0000000000000027E-2</v>
      </c>
      <c r="Y354" s="310">
        <f t="shared" si="5"/>
        <v>2.0000000000000018E-2</v>
      </c>
      <c r="Z354" s="241"/>
      <c r="AA354" s="241"/>
      <c r="AB354" s="241"/>
      <c r="AC354" s="241"/>
      <c r="AD354" s="241"/>
      <c r="AE354" s="241"/>
      <c r="AF354" s="241"/>
      <c r="AG354" s="241"/>
    </row>
    <row r="355" spans="20:33" x14ac:dyDescent="0.25">
      <c r="T355" s="255">
        <v>2070</v>
      </c>
      <c r="U355" s="306">
        <v>10.742652930987509</v>
      </c>
      <c r="V355" s="309">
        <f t="shared" si="4"/>
        <v>5.0000000000000044E-2</v>
      </c>
      <c r="W355" s="306">
        <v>4.4463351280729961</v>
      </c>
      <c r="X355" s="309">
        <f t="shared" si="4"/>
        <v>3.0000000000000027E-2</v>
      </c>
      <c r="Y355" s="310">
        <f t="shared" si="5"/>
        <v>2.0000000000000018E-2</v>
      </c>
      <c r="Z355" s="241"/>
      <c r="AA355" s="241"/>
      <c r="AB355" s="241"/>
      <c r="AC355" s="241"/>
      <c r="AD355" s="241"/>
      <c r="AE355" s="241"/>
      <c r="AF355" s="241"/>
      <c r="AG355" s="241"/>
    </row>
    <row r="356" spans="20:33" x14ac:dyDescent="0.25">
      <c r="T356" s="255">
        <v>2071</v>
      </c>
      <c r="U356" s="306">
        <v>11.279785577536884</v>
      </c>
      <c r="V356" s="309">
        <f t="shared" si="4"/>
        <v>5.0000000000000044E-2</v>
      </c>
      <c r="W356" s="306">
        <v>4.5797251819151858</v>
      </c>
      <c r="X356" s="309">
        <f t="shared" si="4"/>
        <v>3.0000000000000027E-2</v>
      </c>
      <c r="Y356" s="310">
        <f t="shared" si="5"/>
        <v>2.0000000000000018E-2</v>
      </c>
      <c r="Z356" s="241"/>
      <c r="AA356" s="241"/>
      <c r="AB356" s="241"/>
      <c r="AC356" s="241"/>
      <c r="AD356" s="241"/>
      <c r="AE356" s="241"/>
      <c r="AF356" s="241"/>
      <c r="AG356" s="241"/>
    </row>
    <row r="357" spans="20:33" x14ac:dyDescent="0.25">
      <c r="T357" s="255">
        <v>2072</v>
      </c>
      <c r="U357" s="306">
        <v>11.843774856413729</v>
      </c>
      <c r="V357" s="309">
        <f t="shared" si="4"/>
        <v>5.0000000000000044E-2</v>
      </c>
      <c r="W357" s="306">
        <v>4.7171169373726416</v>
      </c>
      <c r="X357" s="309">
        <f t="shared" si="4"/>
        <v>3.0000000000000027E-2</v>
      </c>
      <c r="Y357" s="310">
        <f t="shared" si="5"/>
        <v>2.0000000000000018E-2</v>
      </c>
      <c r="Z357" s="241"/>
      <c r="AA357" s="241"/>
      <c r="AB357" s="241"/>
      <c r="AC357" s="241"/>
      <c r="AD357" s="241"/>
      <c r="AE357" s="241"/>
      <c r="AF357" s="241"/>
      <c r="AG357" s="241"/>
    </row>
    <row r="358" spans="20:33" x14ac:dyDescent="0.25">
      <c r="T358" s="255">
        <v>2073</v>
      </c>
      <c r="U358" s="306">
        <v>12.435963599234416</v>
      </c>
      <c r="V358" s="309">
        <f t="shared" si="4"/>
        <v>5.0000000000000044E-2</v>
      </c>
      <c r="W358" s="306">
        <v>4.8586304454938212</v>
      </c>
      <c r="X358" s="309">
        <f t="shared" si="4"/>
        <v>3.0000000000000027E-2</v>
      </c>
      <c r="Y358" s="310">
        <f t="shared" si="5"/>
        <v>2.0000000000000018E-2</v>
      </c>
      <c r="Z358" s="241"/>
      <c r="AA358" s="241"/>
      <c r="AB358" s="241"/>
      <c r="AC358" s="241"/>
      <c r="AD358" s="241"/>
      <c r="AE358" s="241"/>
      <c r="AF358" s="241"/>
      <c r="AG358" s="241"/>
    </row>
    <row r="359" spans="20:33" x14ac:dyDescent="0.25">
      <c r="T359" s="259">
        <v>2074</v>
      </c>
      <c r="U359" s="311">
        <v>13.057761779196138</v>
      </c>
      <c r="V359" s="312">
        <f t="shared" si="4"/>
        <v>5.0000000000000044E-2</v>
      </c>
      <c r="W359" s="311">
        <v>5.0043893588586359</v>
      </c>
      <c r="X359" s="312">
        <f t="shared" si="4"/>
        <v>3.0000000000000027E-2</v>
      </c>
      <c r="Y359" s="313">
        <f t="shared" si="5"/>
        <v>2.0000000000000018E-2</v>
      </c>
      <c r="Z359" s="241"/>
      <c r="AA359" s="241"/>
      <c r="AB359" s="241"/>
      <c r="AC359" s="241"/>
      <c r="AD359" s="241"/>
      <c r="AE359" s="241"/>
      <c r="AF359" s="241"/>
      <c r="AG359" s="241"/>
    </row>
    <row r="360" spans="20:33" x14ac:dyDescent="0.25">
      <c r="T360" s="241"/>
      <c r="U360" s="241"/>
      <c r="V360" s="241"/>
      <c r="W360" s="241"/>
      <c r="X360" s="241"/>
      <c r="Y360" s="241"/>
      <c r="Z360" s="241"/>
      <c r="AA360" s="241"/>
      <c r="AB360" s="241"/>
      <c r="AC360" s="241"/>
      <c r="AD360" s="241"/>
      <c r="AE360" s="241"/>
      <c r="AF360" s="241"/>
      <c r="AG360" s="241"/>
    </row>
    <row r="361" spans="20:33" x14ac:dyDescent="0.25">
      <c r="T361" s="241" t="s">
        <v>456</v>
      </c>
      <c r="U361" s="241"/>
      <c r="V361" s="241"/>
      <c r="W361" s="241"/>
      <c r="X361" s="241"/>
      <c r="Y361" s="241"/>
      <c r="Z361" s="241"/>
      <c r="AA361" s="241"/>
      <c r="AB361" s="241"/>
      <c r="AC361" s="241"/>
      <c r="AD361" s="241"/>
      <c r="AE361" s="241"/>
      <c r="AF361" s="241"/>
      <c r="AG361" s="241"/>
    </row>
    <row r="362" spans="20:33" x14ac:dyDescent="0.25">
      <c r="T362" s="241" t="s">
        <v>457</v>
      </c>
      <c r="U362" s="241"/>
      <c r="V362" s="241"/>
      <c r="W362" s="241"/>
      <c r="X362" s="241"/>
      <c r="Y362" s="241"/>
      <c r="Z362" s="241"/>
      <c r="AA362" s="241"/>
      <c r="AB362" s="241"/>
      <c r="AC362" s="241"/>
      <c r="AD362" s="241"/>
      <c r="AE362" s="241"/>
      <c r="AF362" s="241"/>
      <c r="AG362" s="241"/>
    </row>
    <row r="363" spans="20:33" x14ac:dyDescent="0.25">
      <c r="T363" s="241"/>
      <c r="U363" s="241"/>
      <c r="V363" s="241"/>
      <c r="W363" s="241"/>
      <c r="X363" s="241"/>
      <c r="Y363" s="241"/>
      <c r="Z363" s="241"/>
      <c r="AA363" s="241"/>
      <c r="AB363" s="241"/>
      <c r="AC363" s="241"/>
      <c r="AD363" s="241"/>
      <c r="AE363" s="241"/>
      <c r="AF363" s="241"/>
      <c r="AG363" s="241"/>
    </row>
    <row r="364" spans="20:33" x14ac:dyDescent="0.25">
      <c r="T364" s="241" t="s">
        <v>458</v>
      </c>
      <c r="U364" s="241"/>
      <c r="V364" s="241"/>
      <c r="W364" s="241"/>
      <c r="X364" s="241"/>
      <c r="Y364" s="241"/>
      <c r="Z364" s="241"/>
      <c r="AA364" s="241"/>
      <c r="AB364" s="241"/>
      <c r="AC364" s="241"/>
      <c r="AD364" s="241"/>
      <c r="AE364" s="241"/>
      <c r="AF364" s="241"/>
      <c r="AG364" s="241"/>
    </row>
    <row r="365" spans="20:33" x14ac:dyDescent="0.25">
      <c r="T365" s="241"/>
      <c r="U365" s="241"/>
      <c r="V365" s="241"/>
      <c r="W365" s="241"/>
      <c r="X365" s="241"/>
      <c r="Y365" s="241"/>
      <c r="Z365" s="241"/>
      <c r="AA365" s="241"/>
      <c r="AB365" s="241"/>
      <c r="AC365" s="241"/>
      <c r="AD365" s="241"/>
      <c r="AE365" s="241"/>
      <c r="AF365" s="241"/>
      <c r="AG365" s="241"/>
    </row>
    <row r="366" spans="20:33" x14ac:dyDescent="0.25">
      <c r="T366" s="241"/>
      <c r="U366" s="241"/>
      <c r="V366" s="241"/>
      <c r="W366" s="241"/>
      <c r="X366" s="241"/>
      <c r="Y366" s="241"/>
      <c r="Z366" s="241"/>
      <c r="AA366" s="241"/>
      <c r="AB366" s="241"/>
      <c r="AC366" s="241"/>
      <c r="AD366" s="241"/>
      <c r="AE366" s="241"/>
      <c r="AF366" s="241"/>
      <c r="AG366" s="241"/>
    </row>
    <row r="367" spans="20:33" x14ac:dyDescent="0.25">
      <c r="T367" s="241"/>
      <c r="U367" s="241"/>
      <c r="V367" s="241"/>
      <c r="W367" s="241"/>
      <c r="X367" s="241"/>
      <c r="Y367" s="241"/>
      <c r="Z367" s="241"/>
      <c r="AA367" s="241"/>
      <c r="AB367" s="241"/>
      <c r="AC367" s="241"/>
      <c r="AD367" s="241"/>
      <c r="AE367" s="241"/>
      <c r="AF367" s="241"/>
      <c r="AG367" s="241"/>
    </row>
    <row r="368" spans="20:33" x14ac:dyDescent="0.25">
      <c r="T368" s="241"/>
      <c r="U368" s="241"/>
      <c r="V368" s="241"/>
      <c r="W368" s="241"/>
      <c r="X368" s="241"/>
      <c r="Y368" s="241"/>
      <c r="Z368" s="241"/>
      <c r="AA368" s="241"/>
      <c r="AB368" s="241"/>
      <c r="AC368" s="241"/>
      <c r="AD368" s="241"/>
      <c r="AE368" s="241"/>
      <c r="AF368" s="241"/>
      <c r="AG368" s="241"/>
    </row>
    <row r="369" spans="20:33" x14ac:dyDescent="0.25">
      <c r="T369" s="241"/>
      <c r="U369" s="241"/>
      <c r="V369" s="241"/>
      <c r="W369" s="241"/>
      <c r="X369" s="241"/>
      <c r="Y369" s="241"/>
      <c r="Z369" s="241"/>
      <c r="AA369" s="241"/>
      <c r="AB369" s="241"/>
      <c r="AC369" s="241"/>
      <c r="AD369" s="241"/>
      <c r="AE369" s="241"/>
      <c r="AF369" s="241"/>
      <c r="AG369" s="241"/>
    </row>
    <row r="370" spans="20:33" x14ac:dyDescent="0.25">
      <c r="T370" s="241"/>
      <c r="U370" s="241"/>
      <c r="V370" s="241"/>
      <c r="W370" s="241"/>
      <c r="X370" s="241"/>
      <c r="Y370" s="241"/>
      <c r="Z370" s="241"/>
      <c r="AA370" s="241"/>
      <c r="AB370" s="241"/>
      <c r="AC370" s="241"/>
      <c r="AD370" s="241"/>
      <c r="AE370" s="241"/>
      <c r="AF370" s="241"/>
      <c r="AG370" s="241"/>
    </row>
    <row r="371" spans="20:33" x14ac:dyDescent="0.25">
      <c r="T371" s="241"/>
      <c r="U371" s="241"/>
      <c r="V371" s="241"/>
      <c r="W371" s="241"/>
      <c r="X371" s="241"/>
      <c r="Y371" s="241"/>
      <c r="Z371" s="241"/>
      <c r="AA371" s="241"/>
      <c r="AB371" s="241"/>
      <c r="AC371" s="241"/>
      <c r="AD371" s="241"/>
      <c r="AE371" s="241"/>
      <c r="AF371" s="241"/>
      <c r="AG371" s="241"/>
    </row>
    <row r="372" spans="20:33" x14ac:dyDescent="0.25">
      <c r="T372" s="241"/>
      <c r="U372" s="241"/>
      <c r="V372" s="241"/>
      <c r="W372" s="241"/>
      <c r="X372" s="241"/>
      <c r="Y372" s="241"/>
      <c r="Z372" s="241"/>
      <c r="AA372" s="241"/>
      <c r="AB372" s="241"/>
      <c r="AC372" s="241"/>
      <c r="AD372" s="241"/>
      <c r="AE372" s="241"/>
      <c r="AF372" s="241"/>
      <c r="AG372" s="241"/>
    </row>
    <row r="373" spans="20:33" x14ac:dyDescent="0.25">
      <c r="T373" s="241"/>
      <c r="U373" s="241"/>
      <c r="V373" s="241"/>
      <c r="W373" s="241"/>
      <c r="X373" s="241"/>
      <c r="Y373" s="241"/>
      <c r="Z373" s="241"/>
      <c r="AA373" s="241"/>
      <c r="AB373" s="241"/>
      <c r="AC373" s="241"/>
      <c r="AD373" s="241"/>
      <c r="AE373" s="241"/>
      <c r="AF373" s="241"/>
      <c r="AG373" s="241"/>
    </row>
  </sheetData>
  <pageMargins left="0.7" right="0.7" top="0.75" bottom="0.75" header="0.3" footer="0.3"/>
  <pageSetup scale="4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71C60-744C-7949-A415-E90021D1FFE7}">
  <dimension ref="A1:X85"/>
  <sheetViews>
    <sheetView workbookViewId="0"/>
  </sheetViews>
  <sheetFormatPr defaultColWidth="9.140625" defaultRowHeight="15.75" x14ac:dyDescent="0.25"/>
  <cols>
    <col min="1" max="1" width="34.140625" style="2" customWidth="1"/>
    <col min="2" max="5" width="15.7109375" style="2" customWidth="1"/>
    <col min="6" max="10" width="9.140625" style="2"/>
    <col min="11" max="11" width="3.28515625" style="2" customWidth="1"/>
    <col min="12" max="12" width="4.140625" style="2" customWidth="1"/>
    <col min="13" max="13" width="3.42578125" style="2" bestFit="1" customWidth="1"/>
    <col min="14" max="14" width="34.28515625" style="2" bestFit="1" customWidth="1"/>
    <col min="15" max="23" width="9.140625" style="2"/>
    <col min="24" max="24" width="3.28515625" style="2" customWidth="1"/>
    <col min="25" max="16384" width="9.140625" style="2"/>
  </cols>
  <sheetData>
    <row r="1" spans="1:24" x14ac:dyDescent="0.25">
      <c r="A1" s="6" t="s">
        <v>210</v>
      </c>
      <c r="B1" s="1"/>
      <c r="C1" s="1"/>
      <c r="D1" s="1"/>
      <c r="E1" s="1"/>
      <c r="F1" s="1"/>
      <c r="G1" s="1"/>
      <c r="H1" s="1"/>
      <c r="I1" s="1"/>
      <c r="J1" s="1"/>
      <c r="K1" s="150"/>
      <c r="L1" s="2" t="s">
        <v>0</v>
      </c>
      <c r="X1" s="150"/>
    </row>
    <row r="2" spans="1:24" x14ac:dyDescent="0.25">
      <c r="A2" s="1" t="s">
        <v>24</v>
      </c>
      <c r="B2" s="1"/>
      <c r="C2" s="1"/>
      <c r="D2" s="1"/>
      <c r="E2" s="1"/>
      <c r="F2" s="1"/>
      <c r="G2" s="1"/>
      <c r="H2" s="1"/>
      <c r="I2" s="1"/>
      <c r="J2" s="1"/>
      <c r="K2" s="150"/>
      <c r="X2" s="150"/>
    </row>
    <row r="3" spans="1:24" x14ac:dyDescent="0.25">
      <c r="K3" s="150"/>
      <c r="X3" s="150"/>
    </row>
    <row r="4" spans="1:24" x14ac:dyDescent="0.25">
      <c r="A4" s="90" t="s">
        <v>254</v>
      </c>
      <c r="B4" s="1"/>
      <c r="C4" s="1"/>
      <c r="D4" s="1"/>
      <c r="E4" s="1"/>
      <c r="F4" s="1"/>
      <c r="G4" s="1"/>
      <c r="H4" s="1"/>
      <c r="I4" s="1"/>
      <c r="J4" s="1"/>
      <c r="K4" s="150"/>
      <c r="X4" s="150"/>
    </row>
    <row r="5" spans="1:24" x14ac:dyDescent="0.25">
      <c r="A5" s="7"/>
      <c r="B5" s="7"/>
      <c r="C5" s="1"/>
      <c r="D5" s="1"/>
      <c r="E5" s="1"/>
      <c r="F5" s="1"/>
      <c r="G5" s="1"/>
      <c r="H5" s="1"/>
      <c r="I5" s="1"/>
      <c r="J5" s="1"/>
      <c r="K5" s="150"/>
      <c r="X5" s="150"/>
    </row>
    <row r="6" spans="1:24" x14ac:dyDescent="0.25">
      <c r="A6" s="90"/>
      <c r="B6" s="98" t="s">
        <v>211</v>
      </c>
      <c r="C6" s="98" t="s">
        <v>212</v>
      </c>
      <c r="D6" s="98" t="s">
        <v>213</v>
      </c>
      <c r="E6" s="1"/>
      <c r="F6" s="1"/>
      <c r="G6" s="1"/>
      <c r="H6" s="1"/>
      <c r="I6" s="1"/>
      <c r="J6" s="1"/>
      <c r="K6" s="150"/>
      <c r="X6" s="150"/>
    </row>
    <row r="7" spans="1:24" x14ac:dyDescent="0.25">
      <c r="A7" s="131" t="s">
        <v>214</v>
      </c>
      <c r="B7" s="133">
        <v>500</v>
      </c>
      <c r="C7" s="133">
        <v>350</v>
      </c>
      <c r="D7" s="133">
        <v>200</v>
      </c>
      <c r="E7" s="1"/>
      <c r="F7" s="1"/>
      <c r="G7" s="1"/>
      <c r="H7" s="1"/>
      <c r="I7" s="1"/>
      <c r="J7" s="1"/>
      <c r="K7" s="150"/>
      <c r="X7" s="150"/>
    </row>
    <row r="8" spans="1:24" x14ac:dyDescent="0.25">
      <c r="A8" s="132" t="s">
        <v>27</v>
      </c>
      <c r="B8" s="134">
        <v>100</v>
      </c>
      <c r="C8" s="134">
        <v>250</v>
      </c>
      <c r="D8" s="134">
        <v>500</v>
      </c>
      <c r="E8" s="1"/>
      <c r="F8" s="1"/>
      <c r="G8" s="1"/>
      <c r="H8" s="1"/>
      <c r="I8" s="1"/>
      <c r="J8" s="1"/>
      <c r="K8" s="150"/>
      <c r="X8" s="150"/>
    </row>
    <row r="9" spans="1:24" x14ac:dyDescent="0.25">
      <c r="A9" s="131" t="s">
        <v>215</v>
      </c>
      <c r="B9" s="116">
        <v>600</v>
      </c>
      <c r="C9" s="116">
        <v>500</v>
      </c>
      <c r="D9" s="116">
        <v>400</v>
      </c>
      <c r="E9" s="1"/>
      <c r="F9" s="1"/>
      <c r="G9" s="1"/>
      <c r="H9" s="1"/>
      <c r="I9" s="1"/>
      <c r="J9" s="1"/>
      <c r="K9" s="150"/>
      <c r="X9" s="150"/>
    </row>
    <row r="10" spans="1:24" x14ac:dyDescent="0.25">
      <c r="A10" s="132" t="s">
        <v>216</v>
      </c>
      <c r="B10" s="118">
        <v>500</v>
      </c>
      <c r="C10" s="118">
        <v>400</v>
      </c>
      <c r="D10" s="118">
        <v>300</v>
      </c>
      <c r="E10" s="1"/>
      <c r="F10" s="1"/>
      <c r="G10" s="1"/>
      <c r="H10" s="1"/>
      <c r="I10" s="1"/>
      <c r="J10" s="1"/>
      <c r="K10" s="150"/>
      <c r="X10" s="150"/>
    </row>
    <row r="11" spans="1:24" x14ac:dyDescent="0.25">
      <c r="A11" s="131" t="s">
        <v>217</v>
      </c>
      <c r="B11" s="135">
        <v>0.7</v>
      </c>
      <c r="C11" s="135">
        <v>0.7</v>
      </c>
      <c r="D11" s="135">
        <v>0.7</v>
      </c>
      <c r="E11" s="1"/>
      <c r="F11" s="1"/>
      <c r="G11" s="1"/>
      <c r="H11" s="1"/>
      <c r="I11" s="1"/>
      <c r="J11" s="1"/>
      <c r="K11" s="150"/>
      <c r="X11" s="150"/>
    </row>
    <row r="12" spans="1:24" x14ac:dyDescent="0.25">
      <c r="A12" s="132" t="s">
        <v>218</v>
      </c>
      <c r="B12" s="136">
        <v>0.9</v>
      </c>
      <c r="C12" s="136">
        <v>0.9</v>
      </c>
      <c r="D12" s="136">
        <v>0.9</v>
      </c>
      <c r="E12" s="1"/>
      <c r="F12" s="1"/>
      <c r="G12" s="1"/>
      <c r="H12" s="1"/>
      <c r="I12" s="1"/>
      <c r="J12" s="1"/>
      <c r="K12" s="150"/>
      <c r="X12" s="150"/>
    </row>
    <row r="13" spans="1:24" x14ac:dyDescent="0.25">
      <c r="A13" s="1"/>
      <c r="B13" s="1"/>
      <c r="C13" s="1"/>
      <c r="D13" s="1"/>
      <c r="E13" s="1"/>
      <c r="F13" s="1"/>
      <c r="G13" s="1"/>
      <c r="H13" s="1"/>
      <c r="I13" s="1"/>
      <c r="J13" s="1"/>
      <c r="K13" s="150"/>
      <c r="X13" s="150"/>
    </row>
    <row r="14" spans="1:24" x14ac:dyDescent="0.25">
      <c r="A14" s="7"/>
      <c r="B14" s="21"/>
      <c r="C14" s="1"/>
      <c r="D14" s="1"/>
      <c r="E14" s="1"/>
      <c r="F14" s="1"/>
      <c r="G14" s="1"/>
      <c r="H14" s="1"/>
      <c r="I14" s="1"/>
      <c r="J14" s="1"/>
      <c r="K14" s="150"/>
      <c r="X14" s="150"/>
    </row>
    <row r="15" spans="1:24" x14ac:dyDescent="0.25">
      <c r="A15" s="92" t="s">
        <v>219</v>
      </c>
      <c r="B15" s="92"/>
      <c r="C15" s="1"/>
      <c r="D15" s="1"/>
      <c r="E15" s="1"/>
      <c r="F15" s="1"/>
      <c r="G15" s="1"/>
      <c r="H15" s="1"/>
      <c r="I15" s="1"/>
      <c r="J15" s="1"/>
      <c r="K15" s="150"/>
      <c r="X15" s="150"/>
    </row>
    <row r="16" spans="1:24" x14ac:dyDescent="0.25">
      <c r="A16" s="93" t="s">
        <v>255</v>
      </c>
      <c r="B16" s="93"/>
      <c r="C16" s="21"/>
      <c r="D16" s="1"/>
      <c r="E16" s="1"/>
      <c r="F16" s="1"/>
      <c r="G16" s="1"/>
      <c r="H16" s="1"/>
      <c r="I16" s="1"/>
      <c r="J16" s="1"/>
      <c r="K16" s="150"/>
      <c r="X16" s="150"/>
    </row>
    <row r="17" spans="1:24" x14ac:dyDescent="0.25">
      <c r="A17" s="93" t="s">
        <v>256</v>
      </c>
      <c r="B17" s="93"/>
      <c r="C17" s="93"/>
      <c r="D17" s="1"/>
      <c r="E17" s="1"/>
      <c r="F17" s="1"/>
      <c r="G17" s="1"/>
      <c r="H17" s="1"/>
      <c r="I17" s="1"/>
      <c r="J17" s="1"/>
      <c r="K17" s="150"/>
      <c r="X17" s="150"/>
    </row>
    <row r="18" spans="1:24" x14ac:dyDescent="0.25">
      <c r="A18" s="96" t="s">
        <v>23</v>
      </c>
      <c r="B18" s="90"/>
      <c r="C18" s="21"/>
      <c r="D18" s="1"/>
      <c r="E18" s="1"/>
      <c r="F18" s="1"/>
      <c r="G18" s="1"/>
      <c r="H18" s="1"/>
      <c r="I18" s="1"/>
      <c r="J18" s="1"/>
      <c r="K18" s="150"/>
      <c r="X18" s="150"/>
    </row>
    <row r="19" spans="1:24" x14ac:dyDescent="0.25">
      <c r="A19" s="1"/>
      <c r="B19" s="90"/>
      <c r="C19" s="90"/>
      <c r="D19" s="1"/>
      <c r="E19" s="1"/>
      <c r="F19" s="1"/>
      <c r="G19" s="1"/>
      <c r="H19" s="1"/>
      <c r="I19" s="1"/>
      <c r="J19" s="1"/>
      <c r="K19" s="150"/>
      <c r="X19" s="150"/>
    </row>
    <row r="20" spans="1:24" x14ac:dyDescent="0.25">
      <c r="B20" s="89"/>
      <c r="C20"/>
      <c r="K20" s="150"/>
      <c r="X20" s="150"/>
    </row>
    <row r="21" spans="1:24" x14ac:dyDescent="0.25">
      <c r="A21" s="2" t="s">
        <v>0</v>
      </c>
      <c r="K21" s="150"/>
      <c r="M21" s="2" t="s">
        <v>305</v>
      </c>
      <c r="X21" s="150"/>
    </row>
    <row r="22" spans="1:24" x14ac:dyDescent="0.25">
      <c r="A22" s="2" t="s">
        <v>208</v>
      </c>
      <c r="K22" s="150"/>
      <c r="X22" s="150"/>
    </row>
    <row r="23" spans="1:24" x14ac:dyDescent="0.25">
      <c r="K23" s="150"/>
      <c r="N23" s="151" t="s">
        <v>208</v>
      </c>
      <c r="O23" s="314" t="s">
        <v>459</v>
      </c>
      <c r="P23" s="315">
        <f>(B7*SUM(B9:B10)+C7*SUM(C9:C10)+D7*SUM(D9:D10))/SUM(B9:D10)</f>
        <v>372.22222222222223</v>
      </c>
      <c r="X23" s="150"/>
    </row>
    <row r="24" spans="1:24" x14ac:dyDescent="0.25">
      <c r="K24" s="150"/>
      <c r="X24" s="150"/>
    </row>
    <row r="25" spans="1:24" x14ac:dyDescent="0.25">
      <c r="K25" s="150"/>
      <c r="X25" s="150"/>
    </row>
    <row r="26" spans="1:24" x14ac:dyDescent="0.25">
      <c r="A26" s="2" t="s">
        <v>227</v>
      </c>
      <c r="K26" s="150"/>
      <c r="X26" s="150"/>
    </row>
    <row r="27" spans="1:24" x14ac:dyDescent="0.25">
      <c r="K27" s="150"/>
      <c r="N27" s="151" t="s">
        <v>227</v>
      </c>
      <c r="O27" s="314" t="s">
        <v>459</v>
      </c>
      <c r="P27" s="315">
        <f>(B7*B11*B9+B7*B12*B10+C7*C11*C9+C7*C12*C10+D7*D11*D9+D7*D12*D10)/SUM(B9:D10)</f>
        <v>293.88888888888891</v>
      </c>
      <c r="X27" s="150"/>
    </row>
    <row r="28" spans="1:24" x14ac:dyDescent="0.25">
      <c r="K28" s="150"/>
      <c r="X28" s="150"/>
    </row>
    <row r="29" spans="1:24" x14ac:dyDescent="0.25">
      <c r="K29" s="150"/>
      <c r="X29" s="150"/>
    </row>
    <row r="30" spans="1:24" x14ac:dyDescent="0.25">
      <c r="K30" s="150"/>
      <c r="X30" s="150"/>
    </row>
    <row r="31" spans="1:24" x14ac:dyDescent="0.25">
      <c r="K31" s="150"/>
      <c r="X31" s="150"/>
    </row>
    <row r="32" spans="1:24" x14ac:dyDescent="0.25">
      <c r="A32" s="1" t="s">
        <v>258</v>
      </c>
      <c r="B32" s="1"/>
      <c r="C32" s="1"/>
      <c r="D32" s="1"/>
      <c r="E32" s="1"/>
      <c r="F32" s="1"/>
      <c r="G32" s="1"/>
      <c r="H32" s="1"/>
      <c r="I32" s="1"/>
      <c r="J32" s="1"/>
      <c r="K32" s="150"/>
      <c r="X32" s="150"/>
    </row>
    <row r="33" spans="1:24" x14ac:dyDescent="0.25">
      <c r="A33" s="1"/>
      <c r="B33" s="1"/>
      <c r="C33" s="1"/>
      <c r="D33" s="1"/>
      <c r="E33" s="1"/>
      <c r="F33" s="1"/>
      <c r="G33" s="1"/>
      <c r="H33" s="1"/>
      <c r="I33" s="1"/>
      <c r="J33" s="1"/>
      <c r="K33" s="150"/>
      <c r="X33" s="150"/>
    </row>
    <row r="34" spans="1:24" x14ac:dyDescent="0.25">
      <c r="A34" s="90"/>
      <c r="B34" s="21"/>
      <c r="C34" s="21"/>
      <c r="D34" s="21"/>
      <c r="E34" s="1"/>
      <c r="F34" s="1"/>
      <c r="G34" s="1"/>
      <c r="H34" s="1"/>
      <c r="I34" s="1"/>
      <c r="J34" s="1"/>
      <c r="K34" s="150"/>
      <c r="X34" s="150"/>
    </row>
    <row r="35" spans="1:24" x14ac:dyDescent="0.25">
      <c r="A35" s="90"/>
      <c r="B35" s="98" t="s">
        <v>211</v>
      </c>
      <c r="C35" s="98" t="s">
        <v>212</v>
      </c>
      <c r="D35" s="98" t="s">
        <v>213</v>
      </c>
      <c r="E35" s="1"/>
      <c r="F35" s="1"/>
      <c r="G35" s="1"/>
      <c r="H35" s="1"/>
      <c r="I35" s="1"/>
      <c r="J35" s="1"/>
      <c r="K35" s="150"/>
      <c r="X35" s="150"/>
    </row>
    <row r="36" spans="1:24" x14ac:dyDescent="0.25">
      <c r="A36" s="97" t="s">
        <v>257</v>
      </c>
      <c r="B36" s="137">
        <v>0.05</v>
      </c>
      <c r="C36" s="137">
        <v>2.5000000000000001E-2</v>
      </c>
      <c r="D36" s="137">
        <v>0.02</v>
      </c>
      <c r="E36" s="1"/>
      <c r="F36" s="1"/>
      <c r="G36" s="1"/>
      <c r="H36" s="1"/>
      <c r="I36" s="1"/>
      <c r="J36" s="1"/>
      <c r="K36" s="150"/>
      <c r="X36" s="150"/>
    </row>
    <row r="37" spans="1:24" x14ac:dyDescent="0.25">
      <c r="A37" s="3"/>
      <c r="B37" s="3"/>
      <c r="C37" s="3"/>
      <c r="D37" s="3"/>
      <c r="E37" s="3"/>
      <c r="F37" s="3"/>
      <c r="G37" s="3"/>
      <c r="H37" s="3"/>
      <c r="I37" s="3"/>
      <c r="J37" s="3"/>
      <c r="K37" s="150"/>
      <c r="X37" s="150"/>
    </row>
    <row r="38" spans="1:24" x14ac:dyDescent="0.25">
      <c r="A38" s="90" t="s">
        <v>299</v>
      </c>
      <c r="B38" s="1"/>
      <c r="C38" s="1"/>
      <c r="D38" s="1"/>
      <c r="E38" s="1"/>
      <c r="F38" s="1"/>
      <c r="G38" s="1"/>
      <c r="H38" s="1"/>
      <c r="I38" s="1"/>
      <c r="J38" s="1"/>
      <c r="K38" s="150"/>
      <c r="X38" s="150"/>
    </row>
    <row r="39" spans="1:24" x14ac:dyDescent="0.25">
      <c r="A39" s="1"/>
      <c r="B39" s="1"/>
      <c r="C39" s="1"/>
      <c r="D39" s="1"/>
      <c r="E39" s="1"/>
      <c r="F39" s="1"/>
      <c r="G39" s="1"/>
      <c r="H39" s="1"/>
      <c r="I39" s="1"/>
      <c r="J39" s="1"/>
      <c r="K39" s="150"/>
      <c r="X39" s="150"/>
    </row>
    <row r="40" spans="1:24" x14ac:dyDescent="0.25">
      <c r="A40" s="1" t="s">
        <v>220</v>
      </c>
      <c r="B40" s="12"/>
      <c r="C40" s="12"/>
      <c r="D40" s="12"/>
      <c r="E40" s="1"/>
      <c r="F40" s="1"/>
      <c r="G40" s="1"/>
      <c r="H40" s="1"/>
      <c r="I40" s="1"/>
      <c r="J40" s="1"/>
      <c r="K40" s="150"/>
      <c r="X40" s="150"/>
    </row>
    <row r="41" spans="1:24" x14ac:dyDescent="0.25">
      <c r="A41" s="138"/>
      <c r="B41" s="375" t="s">
        <v>224</v>
      </c>
      <c r="C41" s="375"/>
      <c r="D41" s="375"/>
      <c r="E41" s="1"/>
      <c r="F41" s="1"/>
      <c r="G41" s="1"/>
      <c r="H41" s="1"/>
      <c r="I41" s="1"/>
      <c r="J41" s="1"/>
      <c r="K41" s="150"/>
      <c r="X41" s="150"/>
    </row>
    <row r="42" spans="1:24" x14ac:dyDescent="0.25">
      <c r="A42" s="139" t="s">
        <v>223</v>
      </c>
      <c r="B42" s="139" t="s">
        <v>211</v>
      </c>
      <c r="C42" s="139" t="s">
        <v>212</v>
      </c>
      <c r="D42" s="139" t="s">
        <v>213</v>
      </c>
      <c r="E42" s="1"/>
      <c r="F42" s="1"/>
      <c r="G42" s="1"/>
      <c r="H42" s="1"/>
      <c r="I42" s="1"/>
      <c r="J42" s="1"/>
      <c r="K42" s="150"/>
      <c r="X42" s="150"/>
    </row>
    <row r="43" spans="1:24" x14ac:dyDescent="0.25">
      <c r="A43" s="139" t="s">
        <v>211</v>
      </c>
      <c r="B43" s="140">
        <v>160</v>
      </c>
      <c r="C43" s="140">
        <v>330</v>
      </c>
      <c r="D43" s="140">
        <v>110</v>
      </c>
      <c r="E43" s="1"/>
      <c r="F43" s="1"/>
      <c r="G43" s="1"/>
      <c r="H43" s="1"/>
      <c r="I43" s="1"/>
      <c r="J43" s="1"/>
      <c r="K43" s="150"/>
      <c r="X43" s="150"/>
    </row>
    <row r="44" spans="1:24" x14ac:dyDescent="0.25">
      <c r="A44" s="139" t="s">
        <v>212</v>
      </c>
      <c r="B44" s="140">
        <v>0</v>
      </c>
      <c r="C44" s="140">
        <v>140</v>
      </c>
      <c r="D44" s="140">
        <v>360</v>
      </c>
      <c r="E44" s="1"/>
      <c r="F44" s="1"/>
      <c r="G44" s="1"/>
      <c r="H44" s="1"/>
      <c r="I44" s="1"/>
      <c r="J44" s="1"/>
      <c r="K44" s="150"/>
      <c r="X44" s="150"/>
    </row>
    <row r="45" spans="1:24" x14ac:dyDescent="0.25">
      <c r="A45" s="139" t="s">
        <v>213</v>
      </c>
      <c r="B45" s="140">
        <v>0</v>
      </c>
      <c r="C45" s="140">
        <v>0</v>
      </c>
      <c r="D45" s="140">
        <v>400</v>
      </c>
      <c r="E45" s="1"/>
      <c r="F45" s="1"/>
      <c r="G45" s="1"/>
      <c r="H45" s="1"/>
      <c r="I45" s="1"/>
      <c r="J45" s="1"/>
      <c r="K45" s="150"/>
      <c r="X45" s="150"/>
    </row>
    <row r="46" spans="1:24" x14ac:dyDescent="0.25">
      <c r="A46" s="12"/>
      <c r="B46" s="12"/>
      <c r="C46" s="12"/>
      <c r="D46" s="12"/>
      <c r="E46" s="1"/>
      <c r="F46" s="1"/>
      <c r="G46" s="1"/>
      <c r="H46" s="1"/>
      <c r="I46" s="1"/>
      <c r="J46" s="1"/>
      <c r="K46" s="150"/>
      <c r="X46" s="150"/>
    </row>
    <row r="47" spans="1:24" x14ac:dyDescent="0.25">
      <c r="A47" s="1" t="s">
        <v>221</v>
      </c>
      <c r="B47" s="12"/>
      <c r="C47" s="12"/>
      <c r="D47" s="12"/>
      <c r="E47" s="1"/>
      <c r="F47" s="1"/>
      <c r="G47" s="1"/>
      <c r="H47" s="1"/>
      <c r="I47" s="1"/>
      <c r="J47" s="1"/>
      <c r="K47" s="150"/>
      <c r="X47" s="150"/>
    </row>
    <row r="48" spans="1:24" x14ac:dyDescent="0.25">
      <c r="A48" s="1"/>
      <c r="B48" s="1"/>
      <c r="C48" s="1"/>
      <c r="D48" s="1"/>
      <c r="E48" s="1"/>
      <c r="F48" s="1"/>
      <c r="G48" s="1"/>
      <c r="H48" s="1"/>
      <c r="I48" s="1"/>
      <c r="J48" s="1"/>
      <c r="K48" s="150"/>
      <c r="M48" s="151"/>
      <c r="X48" s="150"/>
    </row>
    <row r="49" spans="1:24" x14ac:dyDescent="0.25">
      <c r="A49" s="92" t="s">
        <v>207</v>
      </c>
      <c r="B49" s="92" t="s">
        <v>259</v>
      </c>
      <c r="C49" s="1"/>
      <c r="D49" s="1"/>
      <c r="E49" s="1"/>
      <c r="F49" s="1"/>
      <c r="G49" s="1"/>
      <c r="H49" s="1"/>
      <c r="I49" s="1"/>
      <c r="J49" s="1"/>
      <c r="K49" s="150"/>
      <c r="X49" s="150"/>
    </row>
    <row r="50" spans="1:24" x14ac:dyDescent="0.25">
      <c r="K50" s="150"/>
      <c r="M50" s="151" t="s">
        <v>207</v>
      </c>
      <c r="X50" s="150"/>
    </row>
    <row r="51" spans="1:24" x14ac:dyDescent="0.25">
      <c r="K51" s="150"/>
      <c r="N51" s="2" t="s">
        <v>0</v>
      </c>
      <c r="X51" s="150"/>
    </row>
    <row r="52" spans="1:24" x14ac:dyDescent="0.25">
      <c r="K52" s="150"/>
      <c r="N52" s="2" t="s">
        <v>460</v>
      </c>
      <c r="O52" s="152">
        <f>P23</f>
        <v>372.22222222222223</v>
      </c>
      <c r="X52" s="150"/>
    </row>
    <row r="53" spans="1:24" x14ac:dyDescent="0.25">
      <c r="K53" s="150"/>
      <c r="N53" s="2" t="s">
        <v>461</v>
      </c>
      <c r="O53" s="152">
        <f>(B7*(1+B36)*SUM(B9:B10)+C7*(1+C36)*SUM(C9:C10)+D7*(1+D36)*SUM(D9:D10))/SUM(B9:D10)</f>
        <v>386.36111111111109</v>
      </c>
      <c r="X53" s="150"/>
    </row>
    <row r="54" spans="1:24" x14ac:dyDescent="0.25">
      <c r="K54" s="150"/>
      <c r="N54" s="2" t="s">
        <v>462</v>
      </c>
      <c r="O54" s="152">
        <f>O53-O52</f>
        <v>14.138888888888857</v>
      </c>
      <c r="X54" s="150"/>
    </row>
    <row r="55" spans="1:24" x14ac:dyDescent="0.25">
      <c r="K55" s="150"/>
      <c r="X55" s="150"/>
    </row>
    <row r="56" spans="1:24" x14ac:dyDescent="0.25">
      <c r="K56" s="150"/>
      <c r="N56" s="2" t="s">
        <v>463</v>
      </c>
      <c r="O56" s="316">
        <f>(B7*(1+B36)*(B10+B43)+C7*(1+C36)*(C10+C43+C44)+D7*(1+D36)*(D10+D43+D44+D45))/(SUM(B10:D10)+SUM(B43:D45))</f>
        <v>332.33055555555558</v>
      </c>
      <c r="X56" s="150"/>
    </row>
    <row r="57" spans="1:24" x14ac:dyDescent="0.25">
      <c r="K57" s="150"/>
      <c r="N57" s="2" t="s">
        <v>464</v>
      </c>
      <c r="O57" s="316">
        <f>O56-O52</f>
        <v>-39.891666666666652</v>
      </c>
      <c r="X57" s="150"/>
    </row>
    <row r="58" spans="1:24" x14ac:dyDescent="0.25">
      <c r="K58" s="150"/>
      <c r="X58" s="150"/>
    </row>
    <row r="59" spans="1:24" x14ac:dyDescent="0.25">
      <c r="K59" s="150"/>
      <c r="N59" s="317" t="s">
        <v>465</v>
      </c>
      <c r="O59" s="318">
        <f>O57-O54</f>
        <v>-54.030555555555509</v>
      </c>
      <c r="X59" s="150"/>
    </row>
    <row r="60" spans="1:24" x14ac:dyDescent="0.25">
      <c r="K60" s="150"/>
      <c r="X60" s="150"/>
    </row>
    <row r="61" spans="1:24" x14ac:dyDescent="0.25">
      <c r="K61" s="150"/>
      <c r="X61" s="150"/>
    </row>
    <row r="62" spans="1:24" x14ac:dyDescent="0.25">
      <c r="A62" s="1" t="s">
        <v>260</v>
      </c>
      <c r="B62" s="1"/>
      <c r="C62" s="1"/>
      <c r="D62" s="1"/>
      <c r="E62" s="1"/>
      <c r="F62" s="1"/>
      <c r="G62" s="1"/>
      <c r="H62" s="1"/>
      <c r="I62" s="1"/>
      <c r="J62" s="1"/>
      <c r="K62" s="150"/>
      <c r="X62" s="150"/>
    </row>
    <row r="63" spans="1:24" x14ac:dyDescent="0.25">
      <c r="A63" s="1"/>
      <c r="B63" s="1"/>
      <c r="C63" s="1"/>
      <c r="D63" s="1"/>
      <c r="E63" s="1"/>
      <c r="F63" s="1"/>
      <c r="G63" s="1"/>
      <c r="H63" s="1"/>
      <c r="I63" s="1"/>
      <c r="J63" s="1"/>
      <c r="K63" s="150"/>
      <c r="X63" s="150"/>
    </row>
    <row r="64" spans="1:24" x14ac:dyDescent="0.25">
      <c r="A64" s="92" t="s">
        <v>48</v>
      </c>
      <c r="B64" s="92" t="s">
        <v>261</v>
      </c>
      <c r="C64" s="1"/>
      <c r="D64" s="1"/>
      <c r="E64" s="1"/>
      <c r="F64" s="1"/>
      <c r="G64" s="1"/>
      <c r="H64" s="1"/>
      <c r="I64" s="1"/>
      <c r="J64" s="1"/>
      <c r="K64" s="150"/>
      <c r="M64" s="151" t="s">
        <v>48</v>
      </c>
      <c r="X64" s="150"/>
    </row>
    <row r="65" spans="1:24" x14ac:dyDescent="0.25">
      <c r="K65" s="150"/>
      <c r="X65" s="150"/>
    </row>
    <row r="66" spans="1:24" x14ac:dyDescent="0.25">
      <c r="K66" s="150"/>
      <c r="N66" s="2" t="s">
        <v>0</v>
      </c>
      <c r="X66" s="150"/>
    </row>
    <row r="67" spans="1:24" x14ac:dyDescent="0.25">
      <c r="K67" s="150"/>
      <c r="N67" s="2" t="s">
        <v>466</v>
      </c>
      <c r="O67" s="152">
        <f>P27</f>
        <v>293.88888888888891</v>
      </c>
      <c r="X67" s="150"/>
    </row>
    <row r="68" spans="1:24" x14ac:dyDescent="0.25">
      <c r="K68" s="150"/>
      <c r="N68" s="2" t="s">
        <v>467</v>
      </c>
      <c r="O68" s="152">
        <f>(B7*B11*B9*(1+B36)+B7*B12*B10*(1+B36)+C7*C11*C9*(1+C36)+C7*C12*C10*(1+C36)+D7*D11*D9*(1+D36)+D7*D12*D10*(1+D36))/SUM(B9:D10)</f>
        <v>305.06018518518516</v>
      </c>
      <c r="X68" s="150"/>
    </row>
    <row r="69" spans="1:24" x14ac:dyDescent="0.25">
      <c r="K69" s="150"/>
      <c r="N69" s="2" t="s">
        <v>462</v>
      </c>
      <c r="O69" s="152">
        <f>O68-O67</f>
        <v>11.171296296296248</v>
      </c>
      <c r="X69" s="150"/>
    </row>
    <row r="70" spans="1:24" x14ac:dyDescent="0.25">
      <c r="K70" s="150"/>
      <c r="X70" s="150"/>
    </row>
    <row r="71" spans="1:24" x14ac:dyDescent="0.25">
      <c r="K71" s="150"/>
      <c r="N71" s="2" t="s">
        <v>468</v>
      </c>
      <c r="O71" s="316">
        <f>(B7*(1+B36)*B11*B43+B7*(1+B36)*B12*B10+C7*(1+C36)*C11*(C43+C44)+C7*(1+C36)*C12*C10+D7*(1+D36)*D11*(D43+D44+D45)+D7*(1+D36)*D12*D10)/(SUM(B10:D10)+SUM(B43:D45))</f>
        <v>267.2387962962963</v>
      </c>
      <c r="X71" s="150"/>
    </row>
    <row r="72" spans="1:24" x14ac:dyDescent="0.25">
      <c r="K72" s="150"/>
      <c r="N72" s="2" t="s">
        <v>464</v>
      </c>
      <c r="O72" s="316">
        <f>O71-O67</f>
        <v>-26.650092592592614</v>
      </c>
      <c r="X72" s="150"/>
    </row>
    <row r="73" spans="1:24" x14ac:dyDescent="0.25">
      <c r="K73" s="150"/>
      <c r="X73" s="150"/>
    </row>
    <row r="74" spans="1:24" x14ac:dyDescent="0.25">
      <c r="K74" s="150"/>
      <c r="N74" s="317" t="s">
        <v>465</v>
      </c>
      <c r="O74" s="318">
        <f>O72-O69</f>
        <v>-37.821388888888862</v>
      </c>
      <c r="X74" s="150"/>
    </row>
    <row r="75" spans="1:24" x14ac:dyDescent="0.25">
      <c r="K75" s="150"/>
      <c r="X75" s="150"/>
    </row>
    <row r="76" spans="1:24" x14ac:dyDescent="0.25">
      <c r="A76" s="1"/>
      <c r="B76" s="1"/>
      <c r="C76" s="1"/>
      <c r="D76" s="1"/>
      <c r="E76" s="1"/>
      <c r="F76" s="1"/>
      <c r="G76" s="1"/>
      <c r="H76" s="1"/>
      <c r="I76" s="1"/>
      <c r="J76" s="1"/>
      <c r="K76" s="150"/>
      <c r="X76" s="150"/>
    </row>
    <row r="77" spans="1:24" x14ac:dyDescent="0.25">
      <c r="A77" s="92" t="s">
        <v>128</v>
      </c>
      <c r="B77" s="92" t="s">
        <v>262</v>
      </c>
      <c r="C77" s="1"/>
      <c r="D77" s="1"/>
      <c r="E77" s="1"/>
      <c r="F77" s="1"/>
      <c r="G77" s="1"/>
      <c r="H77" s="1"/>
      <c r="I77" s="1"/>
      <c r="J77" s="1"/>
      <c r="K77" s="150"/>
      <c r="M77" s="151" t="s">
        <v>128</v>
      </c>
      <c r="X77" s="150"/>
    </row>
    <row r="78" spans="1:24" x14ac:dyDescent="0.25">
      <c r="K78" s="150"/>
      <c r="X78" s="150"/>
    </row>
    <row r="79" spans="1:24" x14ac:dyDescent="0.25">
      <c r="K79" s="150"/>
      <c r="N79" s="2" t="s">
        <v>469</v>
      </c>
      <c r="X79" s="150"/>
    </row>
    <row r="80" spans="1:24" x14ac:dyDescent="0.25">
      <c r="K80" s="150"/>
      <c r="N80" s="2" t="s">
        <v>470</v>
      </c>
      <c r="X80" s="150"/>
    </row>
    <row r="81" spans="1:24" x14ac:dyDescent="0.25">
      <c r="K81" s="150"/>
      <c r="X81" s="150"/>
    </row>
    <row r="82" spans="1:24" x14ac:dyDescent="0.25">
      <c r="K82" s="150"/>
      <c r="X82" s="150"/>
    </row>
    <row r="83" spans="1:24" x14ac:dyDescent="0.25">
      <c r="K83" s="150"/>
      <c r="X83" s="150"/>
    </row>
    <row r="84" spans="1:24" x14ac:dyDescent="0.25">
      <c r="K84" s="150"/>
      <c r="X84" s="150"/>
    </row>
    <row r="85" spans="1:24" x14ac:dyDescent="0.25">
      <c r="A85" s="3" t="s">
        <v>2</v>
      </c>
      <c r="B85" s="1"/>
      <c r="C85" s="1"/>
      <c r="D85" s="1"/>
      <c r="E85" s="1"/>
      <c r="F85" s="1"/>
      <c r="G85" s="1"/>
      <c r="H85" s="1"/>
      <c r="I85" s="1"/>
      <c r="J85" s="1"/>
      <c r="K85" s="1"/>
      <c r="L85" s="1"/>
      <c r="M85" s="1"/>
      <c r="N85" s="1"/>
      <c r="O85" s="1"/>
      <c r="P85" s="1"/>
      <c r="Q85" s="1"/>
      <c r="R85" s="1"/>
      <c r="S85" s="1"/>
      <c r="T85" s="1"/>
      <c r="U85" s="1"/>
      <c r="V85" s="1"/>
      <c r="W85" s="1"/>
      <c r="X85" s="1"/>
    </row>
  </sheetData>
  <mergeCells count="1">
    <mergeCell ref="B41:D4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05A0D-7B47-F94D-8AEE-8E8FE35568E7}">
  <dimension ref="A1:X60"/>
  <sheetViews>
    <sheetView tabSelected="1" workbookViewId="0"/>
  </sheetViews>
  <sheetFormatPr defaultColWidth="9.140625" defaultRowHeight="15.75" x14ac:dyDescent="0.25"/>
  <cols>
    <col min="1" max="2" width="15.28515625" style="332" customWidth="1"/>
    <col min="3" max="3" width="17.7109375" style="332" customWidth="1"/>
    <col min="4" max="9" width="12.7109375" style="332" customWidth="1"/>
    <col min="10" max="10" width="9.140625" style="332"/>
    <col min="11" max="11" width="3.28515625" style="332" customWidth="1"/>
    <col min="12" max="12" width="4.140625" style="332" customWidth="1"/>
    <col min="13" max="13" width="13.28515625" style="332" bestFit="1" customWidth="1"/>
    <col min="14" max="16" width="15.140625" style="332" customWidth="1"/>
    <col min="17" max="23" width="9.140625" style="332"/>
    <col min="24" max="24" width="3.28515625" style="332" customWidth="1"/>
    <col min="25" max="16384" width="9.140625" style="332"/>
  </cols>
  <sheetData>
    <row r="1" spans="1:24" x14ac:dyDescent="0.25">
      <c r="A1" s="147" t="s">
        <v>1</v>
      </c>
      <c r="B1" s="5"/>
      <c r="C1" s="5"/>
      <c r="D1" s="5"/>
      <c r="E1" s="5"/>
      <c r="F1" s="5"/>
      <c r="G1" s="5"/>
      <c r="H1" s="5"/>
      <c r="I1" s="5"/>
      <c r="J1" s="5"/>
      <c r="K1" s="331"/>
      <c r="L1" s="332" t="s">
        <v>0</v>
      </c>
      <c r="X1" s="331"/>
    </row>
    <row r="2" spans="1:24" x14ac:dyDescent="0.25">
      <c r="A2" s="5" t="s">
        <v>24</v>
      </c>
      <c r="B2" s="5"/>
      <c r="C2" s="5"/>
      <c r="D2" s="5"/>
      <c r="E2" s="5"/>
      <c r="F2" s="5"/>
      <c r="G2" s="5"/>
      <c r="H2" s="5"/>
      <c r="I2" s="5"/>
      <c r="J2" s="5"/>
      <c r="K2" s="331"/>
      <c r="X2" s="331"/>
    </row>
    <row r="3" spans="1:24" x14ac:dyDescent="0.25">
      <c r="K3" s="331"/>
      <c r="M3" s="332" t="s">
        <v>300</v>
      </c>
      <c r="N3" s="332" t="s">
        <v>301</v>
      </c>
      <c r="X3" s="331"/>
    </row>
    <row r="4" spans="1:24" x14ac:dyDescent="0.25">
      <c r="A4" s="4" t="s">
        <v>222</v>
      </c>
      <c r="B4" s="5"/>
      <c r="C4" s="5"/>
      <c r="D4" s="5"/>
      <c r="E4" s="5"/>
      <c r="F4" s="5"/>
      <c r="G4" s="5"/>
      <c r="H4" s="5"/>
      <c r="I4" s="5"/>
      <c r="J4" s="5"/>
      <c r="K4" s="331"/>
      <c r="X4" s="331"/>
    </row>
    <row r="5" spans="1:24" x14ac:dyDescent="0.25">
      <c r="K5" s="331"/>
      <c r="X5" s="331"/>
    </row>
    <row r="6" spans="1:24" x14ac:dyDescent="0.25">
      <c r="A6" s="5" t="s">
        <v>53</v>
      </c>
      <c r="B6" s="5"/>
      <c r="C6" s="5"/>
      <c r="D6" s="5"/>
      <c r="E6" s="5"/>
      <c r="F6" s="5"/>
      <c r="G6" s="5"/>
      <c r="H6" s="5"/>
      <c r="I6" s="5"/>
      <c r="J6" s="5"/>
      <c r="K6" s="331"/>
      <c r="M6" s="333" t="s">
        <v>48</v>
      </c>
      <c r="N6" s="241"/>
      <c r="O6" s="346" t="s">
        <v>309</v>
      </c>
      <c r="P6" s="346" t="s">
        <v>310</v>
      </c>
      <c r="X6" s="331"/>
    </row>
    <row r="7" spans="1:24" x14ac:dyDescent="0.25">
      <c r="A7" s="5" t="s">
        <v>230</v>
      </c>
      <c r="B7" s="5"/>
      <c r="C7" s="5"/>
      <c r="D7" s="5"/>
      <c r="E7" s="5"/>
      <c r="F7" s="5"/>
      <c r="G7" s="5"/>
      <c r="H7" s="5"/>
      <c r="I7" s="5"/>
      <c r="J7" s="5"/>
      <c r="K7" s="331"/>
      <c r="N7" s="347" t="s">
        <v>311</v>
      </c>
      <c r="O7" s="346"/>
      <c r="P7" s="346"/>
      <c r="X7" s="331"/>
    </row>
    <row r="8" spans="1:24" x14ac:dyDescent="0.25">
      <c r="A8" s="5" t="s">
        <v>229</v>
      </c>
      <c r="B8" s="5"/>
      <c r="C8" s="5"/>
      <c r="D8" s="5"/>
      <c r="E8" s="5"/>
      <c r="F8" s="5"/>
      <c r="G8" s="5"/>
      <c r="H8" s="5"/>
      <c r="I8" s="5"/>
      <c r="J8" s="5"/>
      <c r="K8" s="331"/>
      <c r="N8" s="241" t="s">
        <v>28</v>
      </c>
      <c r="O8" s="348">
        <f>(C22+B22*B13-B22*B34)/B22</f>
        <v>229</v>
      </c>
      <c r="P8" s="349" t="s">
        <v>312</v>
      </c>
      <c r="X8" s="331"/>
    </row>
    <row r="9" spans="1:24" x14ac:dyDescent="0.25">
      <c r="A9" s="5"/>
      <c r="B9" s="5"/>
      <c r="C9" s="5"/>
      <c r="D9" s="5"/>
      <c r="E9" s="5"/>
      <c r="F9" s="5"/>
      <c r="G9" s="5"/>
      <c r="H9" s="5"/>
      <c r="I9" s="5"/>
      <c r="J9" s="5"/>
      <c r="K9" s="331"/>
      <c r="N9" s="241" t="s">
        <v>29</v>
      </c>
      <c r="O9" s="348">
        <f>(C23+B23*B12-B23*B33)/B23</f>
        <v>59.5</v>
      </c>
      <c r="P9" s="349" t="s">
        <v>313</v>
      </c>
      <c r="X9" s="331"/>
    </row>
    <row r="10" spans="1:24" x14ac:dyDescent="0.25">
      <c r="A10" s="355" t="s">
        <v>226</v>
      </c>
      <c r="B10" s="355"/>
      <c r="C10" s="5"/>
      <c r="D10" s="5"/>
      <c r="E10" s="5"/>
      <c r="F10" s="5"/>
      <c r="G10" s="5"/>
      <c r="H10" s="5"/>
      <c r="I10" s="5"/>
      <c r="J10" s="5"/>
      <c r="K10" s="331"/>
      <c r="N10" s="241"/>
      <c r="O10" s="346"/>
      <c r="P10" s="346"/>
      <c r="X10" s="331"/>
    </row>
    <row r="11" spans="1:24" x14ac:dyDescent="0.25">
      <c r="A11" s="334" t="s">
        <v>54</v>
      </c>
      <c r="B11" s="335" t="s">
        <v>55</v>
      </c>
      <c r="C11" s="5"/>
      <c r="D11" s="5"/>
      <c r="E11" s="5"/>
      <c r="F11" s="5"/>
      <c r="G11" s="5"/>
      <c r="H11" s="5"/>
      <c r="I11" s="5"/>
      <c r="J11" s="5"/>
      <c r="K11" s="331"/>
      <c r="N11" s="347" t="s">
        <v>314</v>
      </c>
      <c r="O11" s="346"/>
      <c r="P11" s="346"/>
      <c r="X11" s="331"/>
    </row>
    <row r="12" spans="1:24" x14ac:dyDescent="0.25">
      <c r="A12" s="334" t="s">
        <v>29</v>
      </c>
      <c r="B12" s="336">
        <v>10</v>
      </c>
      <c r="C12" s="5"/>
      <c r="D12" s="5"/>
      <c r="E12" s="5"/>
      <c r="F12" s="5"/>
      <c r="G12" s="5"/>
      <c r="H12" s="5"/>
      <c r="I12" s="5"/>
      <c r="J12" s="5"/>
      <c r="K12" s="331"/>
      <c r="N12" s="241" t="s">
        <v>28</v>
      </c>
      <c r="O12" s="350">
        <f>O8/(1-B30)</f>
        <v>254.44444444444443</v>
      </c>
      <c r="P12" s="350">
        <f>O12*(1+C18)</f>
        <v>284.97777777777776</v>
      </c>
      <c r="X12" s="331"/>
    </row>
    <row r="13" spans="1:24" x14ac:dyDescent="0.25">
      <c r="A13" s="334" t="s">
        <v>28</v>
      </c>
      <c r="B13" s="336">
        <v>30</v>
      </c>
      <c r="C13" s="5"/>
      <c r="D13" s="5"/>
      <c r="E13" s="5"/>
      <c r="F13" s="5"/>
      <c r="G13" s="5"/>
      <c r="H13" s="5"/>
      <c r="I13" s="5"/>
      <c r="J13" s="5"/>
      <c r="K13" s="331"/>
      <c r="N13" s="241" t="s">
        <v>29</v>
      </c>
      <c r="O13" s="350">
        <f>O9/(1-B29)</f>
        <v>238</v>
      </c>
      <c r="P13" s="350">
        <f>O13*(1+B18)</f>
        <v>233.24</v>
      </c>
      <c r="X13" s="331"/>
    </row>
    <row r="14" spans="1:24" x14ac:dyDescent="0.25">
      <c r="A14" s="5"/>
      <c r="B14" s="5"/>
      <c r="C14" s="5"/>
      <c r="D14" s="5"/>
      <c r="E14" s="5"/>
      <c r="F14" s="5"/>
      <c r="G14" s="5"/>
      <c r="H14" s="5"/>
      <c r="I14" s="5"/>
      <c r="J14" s="5"/>
      <c r="K14" s="331"/>
      <c r="N14" s="241"/>
      <c r="O14" s="346"/>
      <c r="P14" s="346"/>
      <c r="X14" s="331"/>
    </row>
    <row r="15" spans="1:24" x14ac:dyDescent="0.25">
      <c r="A15" s="355" t="s">
        <v>51</v>
      </c>
      <c r="B15" s="355"/>
      <c r="C15" s="355"/>
      <c r="D15" s="5"/>
      <c r="E15" s="5"/>
      <c r="F15" s="5"/>
      <c r="G15" s="5"/>
      <c r="H15" s="5"/>
      <c r="I15" s="5"/>
      <c r="J15" s="5"/>
      <c r="K15" s="331"/>
      <c r="N15" s="347" t="s">
        <v>315</v>
      </c>
      <c r="O15" s="346"/>
      <c r="P15" s="346"/>
      <c r="X15" s="331"/>
    </row>
    <row r="16" spans="1:24" x14ac:dyDescent="0.25">
      <c r="A16" s="334" t="s">
        <v>56</v>
      </c>
      <c r="B16" s="337" t="s">
        <v>29</v>
      </c>
      <c r="C16" s="337" t="s">
        <v>28</v>
      </c>
      <c r="D16" s="5"/>
      <c r="E16" s="5"/>
      <c r="F16" s="5"/>
      <c r="G16" s="5"/>
      <c r="H16" s="5"/>
      <c r="I16" s="5"/>
      <c r="J16" s="5"/>
      <c r="K16" s="331"/>
      <c r="N16" s="241" t="s">
        <v>28</v>
      </c>
      <c r="O16" s="350"/>
      <c r="P16" s="348">
        <f>P12*(1-C30)</f>
        <v>250.78044444444444</v>
      </c>
      <c r="Q16" s="349" t="s">
        <v>312</v>
      </c>
      <c r="X16" s="331"/>
    </row>
    <row r="17" spans="1:24" x14ac:dyDescent="0.25">
      <c r="A17" s="334" t="s">
        <v>57</v>
      </c>
      <c r="B17" s="338">
        <v>0</v>
      </c>
      <c r="C17" s="338">
        <v>0.03</v>
      </c>
      <c r="D17" s="5"/>
      <c r="E17" s="5"/>
      <c r="F17" s="5"/>
      <c r="G17" s="5"/>
      <c r="H17" s="5"/>
      <c r="I17" s="5"/>
      <c r="J17" s="5"/>
      <c r="K17" s="331"/>
      <c r="N17" s="241" t="s">
        <v>29</v>
      </c>
      <c r="O17" s="350"/>
      <c r="P17" s="348">
        <f>P13*(1-C29)</f>
        <v>53.645199999999996</v>
      </c>
      <c r="Q17" s="349" t="s">
        <v>313</v>
      </c>
      <c r="X17" s="331"/>
    </row>
    <row r="18" spans="1:24" x14ac:dyDescent="0.25">
      <c r="A18" s="334" t="s">
        <v>58</v>
      </c>
      <c r="B18" s="338">
        <v>-0.02</v>
      </c>
      <c r="C18" s="338">
        <v>0.12</v>
      </c>
      <c r="D18" s="5"/>
      <c r="E18" s="5"/>
      <c r="F18" s="5"/>
      <c r="G18" s="5"/>
      <c r="H18" s="5"/>
      <c r="I18" s="5"/>
      <c r="J18" s="5"/>
      <c r="K18" s="331"/>
      <c r="N18" s="241"/>
      <c r="O18" s="346"/>
      <c r="P18" s="346"/>
      <c r="X18" s="331"/>
    </row>
    <row r="19" spans="1:24" x14ac:dyDescent="0.25">
      <c r="A19" s="5"/>
      <c r="B19" s="5"/>
      <c r="C19" s="5"/>
      <c r="D19" s="5"/>
      <c r="E19" s="5"/>
      <c r="F19" s="5"/>
      <c r="G19" s="5"/>
      <c r="H19" s="5"/>
      <c r="I19" s="5"/>
      <c r="J19" s="5"/>
      <c r="K19" s="331"/>
      <c r="N19" s="241"/>
      <c r="O19" s="346" t="s">
        <v>309</v>
      </c>
      <c r="P19" s="346" t="s">
        <v>310</v>
      </c>
      <c r="X19" s="331"/>
    </row>
    <row r="20" spans="1:24" x14ac:dyDescent="0.25">
      <c r="A20" s="355" t="s">
        <v>225</v>
      </c>
      <c r="B20" s="355"/>
      <c r="C20" s="355"/>
      <c r="D20" s="5"/>
      <c r="E20" s="5"/>
      <c r="F20" s="5"/>
      <c r="G20" s="5"/>
      <c r="H20" s="5"/>
      <c r="I20" s="5"/>
      <c r="J20" s="5"/>
      <c r="K20" s="331"/>
      <c r="N20" s="347" t="s">
        <v>59</v>
      </c>
      <c r="O20" s="346"/>
      <c r="P20" s="346"/>
      <c r="X20" s="331"/>
    </row>
    <row r="21" spans="1:24" x14ac:dyDescent="0.25">
      <c r="A21" s="334" t="s">
        <v>54</v>
      </c>
      <c r="B21" s="337" t="s">
        <v>59</v>
      </c>
      <c r="C21" s="337" t="s">
        <v>60</v>
      </c>
      <c r="D21" s="5"/>
      <c r="E21" s="5"/>
      <c r="F21" s="5"/>
      <c r="G21" s="5"/>
      <c r="H21" s="5"/>
      <c r="I21" s="5"/>
      <c r="J21" s="5"/>
      <c r="K21" s="331"/>
      <c r="N21" s="241" t="s">
        <v>28</v>
      </c>
      <c r="O21" s="351">
        <f>B22</f>
        <v>500</v>
      </c>
      <c r="P21" s="351">
        <f>O21*(1+C17)</f>
        <v>515</v>
      </c>
      <c r="X21" s="331"/>
    </row>
    <row r="22" spans="1:24" x14ac:dyDescent="0.25">
      <c r="A22" s="334" t="s">
        <v>28</v>
      </c>
      <c r="B22" s="337">
        <v>500</v>
      </c>
      <c r="C22" s="336">
        <v>100000</v>
      </c>
      <c r="D22" s="5"/>
      <c r="E22" s="5"/>
      <c r="F22" s="5"/>
      <c r="G22" s="5"/>
      <c r="H22" s="5"/>
      <c r="I22" s="5"/>
      <c r="J22" s="5"/>
      <c r="K22" s="331"/>
      <c r="N22" s="241" t="s">
        <v>29</v>
      </c>
      <c r="O22" s="351">
        <f>B23</f>
        <v>1000</v>
      </c>
      <c r="P22" s="351">
        <f>O22*(1+B17)</f>
        <v>1000</v>
      </c>
      <c r="X22" s="331"/>
    </row>
    <row r="23" spans="1:24" x14ac:dyDescent="0.25">
      <c r="A23" s="334" t="s">
        <v>29</v>
      </c>
      <c r="B23" s="339">
        <v>1000</v>
      </c>
      <c r="C23" s="336">
        <v>50000</v>
      </c>
      <c r="D23" s="5"/>
      <c r="E23" s="5"/>
      <c r="F23" s="5"/>
      <c r="G23" s="5"/>
      <c r="H23" s="5"/>
      <c r="I23" s="5"/>
      <c r="J23" s="5"/>
      <c r="K23" s="331"/>
      <c r="N23" s="241"/>
      <c r="O23" s="346"/>
      <c r="P23" s="346"/>
      <c r="X23" s="331"/>
    </row>
    <row r="24" spans="1:24" x14ac:dyDescent="0.25">
      <c r="A24" s="334" t="s">
        <v>30</v>
      </c>
      <c r="B24" s="339">
        <v>1500</v>
      </c>
      <c r="C24" s="336">
        <v>150000</v>
      </c>
      <c r="D24" s="5"/>
      <c r="E24" s="5"/>
      <c r="F24" s="5"/>
      <c r="G24" s="5"/>
      <c r="H24" s="5"/>
      <c r="I24" s="5"/>
      <c r="J24" s="5"/>
      <c r="K24" s="331"/>
      <c r="N24" s="347" t="s">
        <v>316</v>
      </c>
      <c r="O24" s="346"/>
      <c r="P24" s="346"/>
      <c r="X24" s="331"/>
    </row>
    <row r="25" spans="1:24" x14ac:dyDescent="0.25">
      <c r="A25" s="5"/>
      <c r="B25" s="5"/>
      <c r="C25" s="5"/>
      <c r="D25" s="5"/>
      <c r="E25" s="5"/>
      <c r="F25" s="5"/>
      <c r="G25" s="5"/>
      <c r="H25" s="5"/>
      <c r="I25" s="5"/>
      <c r="J25" s="5"/>
      <c r="K25" s="331"/>
      <c r="N25" s="241" t="s">
        <v>28</v>
      </c>
      <c r="O25" s="350">
        <f>(O8+B34-B13)*O21</f>
        <v>100000</v>
      </c>
      <c r="P25" s="350">
        <f>(P16+C34-B13)*P21</f>
        <v>114216.92888888888</v>
      </c>
      <c r="X25" s="331"/>
    </row>
    <row r="26" spans="1:24" x14ac:dyDescent="0.25">
      <c r="A26" s="355" t="s">
        <v>61</v>
      </c>
      <c r="B26" s="355"/>
      <c r="C26" s="355"/>
      <c r="D26" s="5"/>
      <c r="E26" s="5"/>
      <c r="F26" s="5"/>
      <c r="G26" s="5"/>
      <c r="H26" s="5"/>
      <c r="I26" s="5"/>
      <c r="J26" s="5"/>
      <c r="K26" s="331"/>
      <c r="N26" s="241" t="s">
        <v>29</v>
      </c>
      <c r="O26" s="352">
        <f>(O9+B33-B12)*O22</f>
        <v>50000</v>
      </c>
      <c r="P26" s="352">
        <f>(P17+C33-B12)*P22</f>
        <v>44145.2</v>
      </c>
      <c r="X26" s="331"/>
    </row>
    <row r="27" spans="1:24" x14ac:dyDescent="0.25">
      <c r="A27" s="354" t="s">
        <v>62</v>
      </c>
      <c r="B27" s="354"/>
      <c r="C27" s="354"/>
      <c r="D27" s="5"/>
      <c r="E27" s="5"/>
      <c r="F27" s="5"/>
      <c r="G27" s="5"/>
      <c r="H27" s="5"/>
      <c r="I27" s="5"/>
      <c r="J27" s="5"/>
      <c r="K27" s="331"/>
      <c r="N27" s="241"/>
      <c r="O27" s="350">
        <f>SUM(O25:O26)</f>
        <v>150000</v>
      </c>
      <c r="P27" s="353">
        <f>SUM(P25:P26)</f>
        <v>158362.12888888887</v>
      </c>
      <c r="Q27" s="349" t="s">
        <v>317</v>
      </c>
      <c r="X27" s="331"/>
    </row>
    <row r="28" spans="1:24" x14ac:dyDescent="0.25">
      <c r="A28" s="334" t="s">
        <v>54</v>
      </c>
      <c r="B28" s="337" t="s">
        <v>223</v>
      </c>
      <c r="C28" s="337" t="s">
        <v>224</v>
      </c>
      <c r="D28" s="5"/>
      <c r="E28" s="5"/>
      <c r="F28" s="5"/>
      <c r="G28" s="5"/>
      <c r="H28" s="5"/>
      <c r="I28" s="5"/>
      <c r="J28" s="5"/>
      <c r="K28" s="331"/>
      <c r="X28" s="331"/>
    </row>
    <row r="29" spans="1:24" x14ac:dyDescent="0.25">
      <c r="A29" s="334" t="s">
        <v>29</v>
      </c>
      <c r="B29" s="338">
        <v>0.75</v>
      </c>
      <c r="C29" s="338">
        <v>0.77</v>
      </c>
      <c r="D29" s="5"/>
      <c r="E29" s="5"/>
      <c r="F29" s="5"/>
      <c r="G29" s="5"/>
      <c r="H29" s="5"/>
      <c r="I29" s="5"/>
      <c r="J29" s="5"/>
      <c r="K29" s="331"/>
      <c r="X29" s="331"/>
    </row>
    <row r="30" spans="1:24" x14ac:dyDescent="0.25">
      <c r="A30" s="334" t="s">
        <v>28</v>
      </c>
      <c r="B30" s="338">
        <v>0.1</v>
      </c>
      <c r="C30" s="338">
        <v>0.12</v>
      </c>
      <c r="D30" s="5"/>
      <c r="E30" s="5"/>
      <c r="F30" s="5"/>
      <c r="G30" s="5"/>
      <c r="H30" s="5"/>
      <c r="I30" s="5"/>
      <c r="J30" s="5"/>
      <c r="K30" s="331"/>
      <c r="X30" s="331"/>
    </row>
    <row r="31" spans="1:24" x14ac:dyDescent="0.25">
      <c r="A31" s="354" t="s">
        <v>63</v>
      </c>
      <c r="B31" s="354"/>
      <c r="C31" s="354"/>
      <c r="D31" s="5"/>
      <c r="E31" s="5"/>
      <c r="F31" s="5"/>
      <c r="G31" s="5"/>
      <c r="H31" s="5"/>
      <c r="I31" s="5"/>
      <c r="J31" s="5"/>
      <c r="K31" s="331"/>
      <c r="X31" s="331"/>
    </row>
    <row r="32" spans="1:24" x14ac:dyDescent="0.25">
      <c r="A32" s="334" t="s">
        <v>54</v>
      </c>
      <c r="B32" s="337" t="s">
        <v>223</v>
      </c>
      <c r="C32" s="337" t="s">
        <v>224</v>
      </c>
      <c r="D32" s="5"/>
      <c r="E32" s="5"/>
      <c r="F32" s="5"/>
      <c r="G32" s="5"/>
      <c r="H32" s="5"/>
      <c r="I32" s="5"/>
      <c r="J32" s="5"/>
      <c r="K32" s="331"/>
      <c r="X32" s="331"/>
    </row>
    <row r="33" spans="1:24" x14ac:dyDescent="0.25">
      <c r="A33" s="334" t="s">
        <v>29</v>
      </c>
      <c r="B33" s="340">
        <v>0.5</v>
      </c>
      <c r="C33" s="340">
        <v>0.5</v>
      </c>
      <c r="D33" s="5"/>
      <c r="E33" s="5"/>
      <c r="F33" s="5"/>
      <c r="G33" s="5"/>
      <c r="H33" s="5"/>
      <c r="I33" s="5"/>
      <c r="J33" s="5"/>
      <c r="K33" s="331"/>
      <c r="X33" s="331"/>
    </row>
    <row r="34" spans="1:24" x14ac:dyDescent="0.25">
      <c r="A34" s="334" t="s">
        <v>28</v>
      </c>
      <c r="B34" s="340">
        <v>1</v>
      </c>
      <c r="C34" s="340">
        <v>1</v>
      </c>
      <c r="D34" s="5"/>
      <c r="E34" s="5"/>
      <c r="F34" s="5"/>
      <c r="G34" s="5"/>
      <c r="H34" s="5"/>
      <c r="I34" s="5"/>
      <c r="J34" s="5"/>
      <c r="K34" s="331"/>
      <c r="X34" s="331"/>
    </row>
    <row r="35" spans="1:24" x14ac:dyDescent="0.25">
      <c r="A35" s="5"/>
      <c r="B35" s="5"/>
      <c r="C35" s="5"/>
      <c r="D35" s="5"/>
      <c r="E35" s="5"/>
      <c r="F35" s="5"/>
      <c r="G35" s="5"/>
      <c r="H35" s="5"/>
      <c r="I35" s="5"/>
      <c r="J35" s="5"/>
      <c r="K35" s="331"/>
      <c r="X35" s="331"/>
    </row>
    <row r="36" spans="1:24" x14ac:dyDescent="0.25">
      <c r="A36" s="5"/>
      <c r="B36" s="5"/>
      <c r="C36" s="5"/>
      <c r="D36" s="5"/>
      <c r="E36" s="5"/>
      <c r="F36" s="5"/>
      <c r="G36" s="5"/>
      <c r="H36" s="5"/>
      <c r="I36" s="5"/>
      <c r="J36" s="5"/>
      <c r="K36" s="331"/>
      <c r="X36" s="331"/>
    </row>
    <row r="37" spans="1:24" x14ac:dyDescent="0.25">
      <c r="A37" s="5" t="s">
        <v>49</v>
      </c>
      <c r="B37" s="5" t="s">
        <v>64</v>
      </c>
      <c r="C37" s="5"/>
      <c r="D37" s="5"/>
      <c r="E37" s="5"/>
      <c r="F37" s="5"/>
      <c r="G37" s="5"/>
      <c r="H37" s="5"/>
      <c r="I37" s="5"/>
      <c r="J37" s="5"/>
      <c r="K37" s="331"/>
      <c r="X37" s="331"/>
    </row>
    <row r="38" spans="1:24" x14ac:dyDescent="0.25">
      <c r="A38" s="5"/>
      <c r="B38" s="5"/>
      <c r="C38" s="5"/>
      <c r="D38" s="5"/>
      <c r="E38" s="5"/>
      <c r="F38" s="5"/>
      <c r="G38" s="5"/>
      <c r="H38" s="5"/>
      <c r="I38" s="5"/>
      <c r="J38" s="5"/>
      <c r="K38" s="331"/>
      <c r="X38" s="331"/>
    </row>
    <row r="39" spans="1:24" x14ac:dyDescent="0.25">
      <c r="A39" s="5"/>
      <c r="B39" s="341" t="s">
        <v>167</v>
      </c>
      <c r="C39" s="5"/>
      <c r="D39" s="5"/>
      <c r="E39" s="5"/>
      <c r="F39" s="5"/>
      <c r="G39" s="5"/>
      <c r="H39" s="5"/>
      <c r="I39" s="5"/>
      <c r="J39" s="5"/>
      <c r="K39" s="331"/>
      <c r="X39" s="331"/>
    </row>
    <row r="40" spans="1:24" x14ac:dyDescent="0.25">
      <c r="A40" s="5"/>
      <c r="B40" s="341" t="s">
        <v>168</v>
      </c>
      <c r="C40" s="5"/>
      <c r="D40" s="5"/>
      <c r="E40" s="5"/>
      <c r="F40" s="5"/>
      <c r="G40" s="5"/>
      <c r="H40" s="5"/>
      <c r="I40" s="5"/>
      <c r="J40" s="5"/>
      <c r="K40" s="331"/>
      <c r="X40" s="331"/>
    </row>
    <row r="41" spans="1:24" x14ac:dyDescent="0.25">
      <c r="A41" s="5"/>
      <c r="B41" s="341" t="s">
        <v>169</v>
      </c>
      <c r="C41" s="5"/>
      <c r="D41" s="5"/>
      <c r="E41" s="5"/>
      <c r="F41" s="5"/>
      <c r="G41" s="5"/>
      <c r="H41" s="5"/>
      <c r="I41" s="5"/>
      <c r="J41" s="5"/>
      <c r="K41" s="331"/>
      <c r="X41" s="331"/>
    </row>
    <row r="42" spans="1:24" x14ac:dyDescent="0.25">
      <c r="A42" s="5"/>
      <c r="B42" s="342" t="s">
        <v>23</v>
      </c>
      <c r="C42" s="5"/>
      <c r="D42" s="5"/>
      <c r="E42" s="5"/>
      <c r="F42" s="5"/>
      <c r="G42" s="5"/>
      <c r="H42" s="5"/>
      <c r="I42" s="5"/>
      <c r="J42" s="5"/>
      <c r="K42" s="331"/>
      <c r="X42" s="331"/>
    </row>
    <row r="43" spans="1:24" x14ac:dyDescent="0.25">
      <c r="A43" s="341"/>
      <c r="B43" s="341"/>
      <c r="C43" s="5"/>
      <c r="D43" s="5"/>
      <c r="E43" s="5"/>
      <c r="F43" s="5"/>
      <c r="G43" s="5"/>
      <c r="H43" s="5"/>
      <c r="I43" s="5"/>
      <c r="J43" s="5"/>
      <c r="K43" s="331"/>
      <c r="X43" s="331"/>
    </row>
    <row r="44" spans="1:24" x14ac:dyDescent="0.25">
      <c r="B44" s="343"/>
      <c r="K44" s="331"/>
      <c r="X44" s="331"/>
    </row>
    <row r="45" spans="1:24" x14ac:dyDescent="0.25">
      <c r="A45" s="332" t="s">
        <v>0</v>
      </c>
      <c r="K45" s="331"/>
      <c r="X45" s="331"/>
    </row>
    <row r="46" spans="1:24" x14ac:dyDescent="0.25">
      <c r="A46" s="332" t="s">
        <v>208</v>
      </c>
      <c r="B46" s="332" t="s">
        <v>318</v>
      </c>
      <c r="C46" s="344">
        <f>O8</f>
        <v>229</v>
      </c>
      <c r="K46" s="331"/>
      <c r="X46" s="331"/>
    </row>
    <row r="47" spans="1:24" x14ac:dyDescent="0.25">
      <c r="B47" s="332" t="s">
        <v>319</v>
      </c>
      <c r="C47" s="344">
        <f>P16</f>
        <v>250.78044444444444</v>
      </c>
      <c r="K47" s="331"/>
      <c r="X47" s="331"/>
    </row>
    <row r="48" spans="1:24" x14ac:dyDescent="0.25">
      <c r="K48" s="331"/>
      <c r="X48" s="331"/>
    </row>
    <row r="49" spans="1:24" x14ac:dyDescent="0.25">
      <c r="K49" s="331"/>
      <c r="X49" s="331"/>
    </row>
    <row r="50" spans="1:24" x14ac:dyDescent="0.25">
      <c r="A50" s="332" t="s">
        <v>227</v>
      </c>
      <c r="B50" s="332" t="s">
        <v>320</v>
      </c>
      <c r="C50" s="344">
        <f>O9</f>
        <v>59.5</v>
      </c>
      <c r="K50" s="331"/>
      <c r="X50" s="331"/>
    </row>
    <row r="51" spans="1:24" x14ac:dyDescent="0.25">
      <c r="B51" s="332" t="s">
        <v>321</v>
      </c>
      <c r="C51" s="344">
        <f>P17</f>
        <v>53.645199999999996</v>
      </c>
      <c r="K51" s="331"/>
      <c r="X51" s="331"/>
    </row>
    <row r="52" spans="1:24" x14ac:dyDescent="0.25">
      <c r="K52" s="331"/>
      <c r="X52" s="331"/>
    </row>
    <row r="53" spans="1:24" x14ac:dyDescent="0.25">
      <c r="K53" s="331"/>
      <c r="X53" s="331"/>
    </row>
    <row r="54" spans="1:24" x14ac:dyDescent="0.25">
      <c r="A54" s="332" t="s">
        <v>228</v>
      </c>
      <c r="B54" s="344">
        <f>P27</f>
        <v>158362.12888888887</v>
      </c>
      <c r="K54" s="331"/>
      <c r="X54" s="331"/>
    </row>
    <row r="55" spans="1:24" x14ac:dyDescent="0.25">
      <c r="K55" s="331"/>
      <c r="X55" s="331"/>
    </row>
    <row r="56" spans="1:24" x14ac:dyDescent="0.25">
      <c r="K56" s="331"/>
      <c r="X56" s="331"/>
    </row>
    <row r="57" spans="1:24" x14ac:dyDescent="0.25">
      <c r="K57" s="331"/>
      <c r="X57" s="331"/>
    </row>
    <row r="58" spans="1:24" x14ac:dyDescent="0.25">
      <c r="A58" s="4" t="s">
        <v>65</v>
      </c>
      <c r="B58" s="5"/>
      <c r="C58" s="5"/>
      <c r="D58" s="5"/>
      <c r="E58" s="5"/>
      <c r="F58" s="5"/>
      <c r="G58" s="5"/>
      <c r="H58" s="5"/>
      <c r="I58" s="5"/>
      <c r="J58" s="5"/>
      <c r="K58" s="331"/>
      <c r="X58" s="331"/>
    </row>
    <row r="59" spans="1:24" x14ac:dyDescent="0.25">
      <c r="K59" s="331"/>
      <c r="X59" s="331"/>
    </row>
    <row r="60" spans="1:24" s="345" customFormat="1" x14ac:dyDescent="0.25">
      <c r="A60" s="345" t="s">
        <v>2</v>
      </c>
    </row>
  </sheetData>
  <mergeCells count="6">
    <mergeCell ref="A31:C31"/>
    <mergeCell ref="A10:B10"/>
    <mergeCell ref="A15:C15"/>
    <mergeCell ref="A20:C20"/>
    <mergeCell ref="A26:C26"/>
    <mergeCell ref="A27:C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705C-3404-DA46-A5F9-C062B4CC8683}">
  <dimension ref="A1:X60"/>
  <sheetViews>
    <sheetView workbookViewId="0"/>
  </sheetViews>
  <sheetFormatPr defaultColWidth="9.140625" defaultRowHeight="15.75" x14ac:dyDescent="0.25"/>
  <cols>
    <col min="1" max="1" width="32.7109375" style="2" customWidth="1"/>
    <col min="2" max="2" width="29.28515625" style="2" customWidth="1"/>
    <col min="3" max="3" width="27.7109375" style="2" customWidth="1"/>
    <col min="4" max="4" width="34.7109375" style="2" customWidth="1"/>
    <col min="5" max="10" width="11.28515625" style="2" customWidth="1"/>
    <col min="11" max="11" width="3.28515625" style="2" customWidth="1"/>
    <col min="12" max="12" width="4.140625" style="2" customWidth="1"/>
    <col min="13" max="13" width="13.28515625" style="2" bestFit="1" customWidth="1"/>
    <col min="14" max="14" width="53.42578125" style="2" bestFit="1" customWidth="1"/>
    <col min="15" max="15" width="30.7109375" style="2" bestFit="1" customWidth="1"/>
    <col min="16" max="16" width="28.42578125" style="2" bestFit="1" customWidth="1"/>
    <col min="17" max="17" width="66.7109375" style="2" bestFit="1" customWidth="1"/>
    <col min="18" max="23" width="9.140625" style="2"/>
    <col min="24" max="24" width="3.28515625" style="2" customWidth="1"/>
    <col min="25" max="16384" width="9.140625" style="2"/>
  </cols>
  <sheetData>
    <row r="1" spans="1:24" x14ac:dyDescent="0.25">
      <c r="A1" s="6" t="s">
        <v>12</v>
      </c>
      <c r="B1" s="1"/>
      <c r="C1" s="1"/>
      <c r="D1" s="1"/>
      <c r="E1" s="1"/>
      <c r="F1" s="1"/>
      <c r="G1" s="1"/>
      <c r="H1" s="1"/>
      <c r="I1" s="1"/>
      <c r="J1" s="1"/>
      <c r="K1" s="150"/>
      <c r="L1" s="2" t="s">
        <v>0</v>
      </c>
      <c r="X1" s="150"/>
    </row>
    <row r="2" spans="1:24" x14ac:dyDescent="0.25">
      <c r="A2" s="1" t="s">
        <v>66</v>
      </c>
      <c r="B2" s="1"/>
      <c r="C2" s="1"/>
      <c r="D2" s="1"/>
      <c r="E2" s="1"/>
      <c r="F2" s="1"/>
      <c r="G2" s="1"/>
      <c r="H2" s="1"/>
      <c r="I2" s="1"/>
      <c r="J2" s="1"/>
      <c r="K2" s="150"/>
      <c r="X2" s="150"/>
    </row>
    <row r="3" spans="1:24" x14ac:dyDescent="0.25">
      <c r="K3" s="150"/>
      <c r="M3" s="2" t="s">
        <v>302</v>
      </c>
      <c r="N3" s="2" t="s">
        <v>301</v>
      </c>
      <c r="X3" s="150"/>
    </row>
    <row r="4" spans="1:24" x14ac:dyDescent="0.25">
      <c r="A4" s="4" t="s">
        <v>22</v>
      </c>
      <c r="B4" s="1"/>
      <c r="C4" s="1"/>
      <c r="D4" s="1"/>
      <c r="E4" s="1"/>
      <c r="F4" s="1"/>
      <c r="G4" s="1"/>
      <c r="H4" s="1"/>
      <c r="I4" s="1"/>
      <c r="J4" s="1"/>
      <c r="K4" s="150"/>
      <c r="X4" s="150"/>
    </row>
    <row r="5" spans="1:24" x14ac:dyDescent="0.25">
      <c r="K5" s="150"/>
      <c r="X5" s="150"/>
    </row>
    <row r="6" spans="1:24" x14ac:dyDescent="0.25">
      <c r="A6" s="1" t="s">
        <v>230</v>
      </c>
      <c r="B6" s="28"/>
      <c r="C6" s="28"/>
      <c r="D6" s="28"/>
      <c r="E6" s="28"/>
      <c r="F6" s="28"/>
      <c r="G6" s="23"/>
      <c r="H6" s="23"/>
      <c r="I6" s="23"/>
      <c r="J6" s="23"/>
      <c r="K6" s="150"/>
      <c r="M6" s="151" t="s">
        <v>207</v>
      </c>
      <c r="N6"/>
      <c r="O6" s="19" t="s">
        <v>233</v>
      </c>
      <c r="P6" s="19" t="s">
        <v>234</v>
      </c>
      <c r="Q6"/>
      <c r="X6" s="150"/>
    </row>
    <row r="7" spans="1:24" s="24" customFormat="1" x14ac:dyDescent="0.25">
      <c r="A7" s="1"/>
      <c r="B7" s="1"/>
      <c r="C7" s="1"/>
      <c r="D7" s="1"/>
      <c r="E7" s="1"/>
      <c r="F7" s="1"/>
      <c r="G7" s="12"/>
      <c r="H7" s="12"/>
      <c r="I7" s="12"/>
      <c r="J7" s="12"/>
      <c r="K7" s="150"/>
      <c r="L7" s="2"/>
      <c r="M7" s="2"/>
      <c r="N7" s="153" t="s">
        <v>67</v>
      </c>
      <c r="O7" s="154">
        <f>B9</f>
        <v>10000</v>
      </c>
      <c r="P7" s="155">
        <f>B9</f>
        <v>10000</v>
      </c>
      <c r="Q7"/>
      <c r="R7" s="2"/>
      <c r="S7" s="2"/>
      <c r="T7" s="2"/>
      <c r="U7" s="2"/>
      <c r="V7" s="2"/>
      <c r="W7" s="2"/>
      <c r="X7" s="150"/>
    </row>
    <row r="8" spans="1:24" s="24" customFormat="1" x14ac:dyDescent="0.25">
      <c r="A8" s="1"/>
      <c r="B8" s="68" t="s">
        <v>233</v>
      </c>
      <c r="C8" s="68" t="s">
        <v>234</v>
      </c>
      <c r="D8" s="1"/>
      <c r="E8" s="1"/>
      <c r="F8" s="1"/>
      <c r="G8" s="12"/>
      <c r="H8" s="12"/>
      <c r="I8" s="12"/>
      <c r="J8" s="12"/>
      <c r="K8" s="150"/>
      <c r="L8" s="2"/>
      <c r="M8" s="2"/>
      <c r="N8" s="156" t="s">
        <v>68</v>
      </c>
      <c r="O8" s="157">
        <f>B10</f>
        <v>1</v>
      </c>
      <c r="P8" s="158">
        <f t="shared" ref="P8:P11" si="0">C10</f>
        <v>1.2</v>
      </c>
      <c r="Q8"/>
      <c r="R8" s="2"/>
      <c r="S8" s="2"/>
      <c r="T8" s="2"/>
      <c r="U8" s="2"/>
      <c r="V8" s="2"/>
      <c r="W8" s="2"/>
      <c r="X8" s="150"/>
    </row>
    <row r="9" spans="1:24" s="24" customFormat="1" ht="16.149999999999999" customHeight="1" x14ac:dyDescent="0.25">
      <c r="A9" s="10" t="s">
        <v>67</v>
      </c>
      <c r="B9" s="356">
        <v>10000</v>
      </c>
      <c r="C9" s="357"/>
      <c r="D9" s="1"/>
      <c r="E9" s="1"/>
      <c r="F9" s="1"/>
      <c r="G9" s="12"/>
      <c r="H9" s="12"/>
      <c r="I9" s="12"/>
      <c r="J9" s="12"/>
      <c r="K9" s="150"/>
      <c r="L9" s="2"/>
      <c r="M9" s="2"/>
      <c r="N9" s="159" t="s">
        <v>69</v>
      </c>
      <c r="O9" s="160">
        <f t="shared" ref="O9:O11" si="1">B11</f>
        <v>1</v>
      </c>
      <c r="P9" s="161">
        <f t="shared" si="0"/>
        <v>0.85</v>
      </c>
      <c r="Q9"/>
      <c r="R9" s="2"/>
      <c r="S9" s="2"/>
      <c r="T9" s="2"/>
      <c r="U9" s="2"/>
      <c r="V9" s="2"/>
      <c r="W9" s="2"/>
      <c r="X9" s="150"/>
    </row>
    <row r="10" spans="1:24" s="24" customFormat="1" x14ac:dyDescent="0.25">
      <c r="A10" s="29" t="s">
        <v>68</v>
      </c>
      <c r="B10" s="30">
        <v>1</v>
      </c>
      <c r="C10" s="31">
        <v>1.2</v>
      </c>
      <c r="D10" s="1"/>
      <c r="E10" s="1"/>
      <c r="F10" s="1"/>
      <c r="G10" s="12"/>
      <c r="H10" s="12"/>
      <c r="I10" s="12"/>
      <c r="J10" s="12"/>
      <c r="K10" s="150"/>
      <c r="L10" s="2"/>
      <c r="M10" s="2"/>
      <c r="N10" s="159" t="s">
        <v>70</v>
      </c>
      <c r="O10" s="160">
        <f t="shared" si="1"/>
        <v>1</v>
      </c>
      <c r="P10" s="161">
        <f t="shared" si="0"/>
        <v>0.94</v>
      </c>
      <c r="Q10"/>
      <c r="R10" s="2"/>
      <c r="S10" s="2"/>
      <c r="T10" s="2"/>
      <c r="U10" s="2"/>
      <c r="V10" s="2"/>
      <c r="W10" s="2"/>
      <c r="X10" s="150"/>
    </row>
    <row r="11" spans="1:24" s="24" customFormat="1" x14ac:dyDescent="0.25">
      <c r="A11" s="32" t="s">
        <v>69</v>
      </c>
      <c r="B11" s="33">
        <v>1</v>
      </c>
      <c r="C11" s="34">
        <v>0.85</v>
      </c>
      <c r="D11" s="1"/>
      <c r="E11" s="1"/>
      <c r="F11" s="1"/>
      <c r="G11" s="12"/>
      <c r="H11" s="12"/>
      <c r="I11" s="12"/>
      <c r="J11" s="12"/>
      <c r="K11" s="150"/>
      <c r="L11" s="2"/>
      <c r="M11" s="2"/>
      <c r="N11" s="162" t="s">
        <v>71</v>
      </c>
      <c r="O11" s="163">
        <f t="shared" si="1"/>
        <v>1.1499999999999999</v>
      </c>
      <c r="P11" s="164">
        <f t="shared" si="0"/>
        <v>1.1200000000000001</v>
      </c>
      <c r="Q11"/>
      <c r="R11" s="2"/>
      <c r="S11" s="2"/>
      <c r="T11" s="2"/>
      <c r="U11" s="2"/>
      <c r="V11" s="2"/>
      <c r="W11" s="2"/>
      <c r="X11" s="150"/>
    </row>
    <row r="12" spans="1:24" s="24" customFormat="1" x14ac:dyDescent="0.25">
      <c r="A12" s="32" t="s">
        <v>70</v>
      </c>
      <c r="B12" s="33">
        <v>1</v>
      </c>
      <c r="C12" s="34">
        <v>0.94</v>
      </c>
      <c r="D12" s="1"/>
      <c r="E12" s="1"/>
      <c r="F12" s="1"/>
      <c r="G12" s="12"/>
      <c r="H12" s="12"/>
      <c r="I12" s="12"/>
      <c r="J12" s="12"/>
      <c r="K12" s="150"/>
      <c r="L12" s="2"/>
      <c r="M12" s="2"/>
      <c r="N12"/>
      <c r="O12" s="165"/>
      <c r="P12" s="165"/>
      <c r="Q12"/>
      <c r="R12" s="2"/>
      <c r="S12" s="2"/>
      <c r="T12" s="2"/>
      <c r="U12" s="2"/>
      <c r="V12" s="2"/>
      <c r="W12" s="2"/>
      <c r="X12" s="150"/>
    </row>
    <row r="13" spans="1:24" s="24" customFormat="1" x14ac:dyDescent="0.25">
      <c r="A13" s="13" t="s">
        <v>71</v>
      </c>
      <c r="B13" s="35">
        <v>1.1499999999999999</v>
      </c>
      <c r="C13" s="36">
        <v>1.1200000000000001</v>
      </c>
      <c r="D13" s="1"/>
      <c r="E13" s="1"/>
      <c r="F13" s="1"/>
      <c r="G13" s="12"/>
      <c r="H13" s="12"/>
      <c r="I13" s="12"/>
      <c r="J13" s="12"/>
      <c r="K13" s="150"/>
      <c r="L13" s="2"/>
      <c r="M13" s="2"/>
      <c r="N13"/>
      <c r="O13" s="358" t="s">
        <v>33</v>
      </c>
      <c r="P13" s="359"/>
      <c r="Q13"/>
      <c r="R13" s="2"/>
      <c r="S13" s="2"/>
      <c r="T13" s="2"/>
      <c r="U13" s="2"/>
      <c r="V13" s="2"/>
      <c r="W13" s="2"/>
      <c r="X13" s="150"/>
    </row>
    <row r="14" spans="1:24" s="24" customFormat="1" x14ac:dyDescent="0.25">
      <c r="A14" s="1"/>
      <c r="B14" s="37"/>
      <c r="C14" s="37"/>
      <c r="D14" s="1"/>
      <c r="E14" s="1"/>
      <c r="F14" s="1"/>
      <c r="G14" s="12"/>
      <c r="H14" s="12"/>
      <c r="I14" s="12"/>
      <c r="J14" s="12"/>
      <c r="K14" s="150"/>
      <c r="L14" s="2"/>
      <c r="M14" s="2"/>
      <c r="N14" s="166" t="s">
        <v>72</v>
      </c>
      <c r="O14" s="168" t="s">
        <v>322</v>
      </c>
      <c r="P14" s="168" t="s">
        <v>323</v>
      </c>
      <c r="Q14" s="167" t="s">
        <v>73</v>
      </c>
      <c r="R14" s="2"/>
      <c r="S14" s="2"/>
      <c r="T14" s="2"/>
      <c r="U14" s="2"/>
      <c r="V14" s="2"/>
      <c r="W14" s="2"/>
      <c r="X14" s="150"/>
    </row>
    <row r="15" spans="1:24" s="24" customFormat="1" x14ac:dyDescent="0.25">
      <c r="A15" s="1"/>
      <c r="B15" s="360" t="s">
        <v>33</v>
      </c>
      <c r="C15" s="361"/>
      <c r="D15" s="1"/>
      <c r="E15" s="1"/>
      <c r="F15" s="1"/>
      <c r="G15" s="12"/>
      <c r="H15" s="12"/>
      <c r="I15" s="12"/>
      <c r="J15" s="12"/>
      <c r="K15" s="150"/>
      <c r="L15" s="2"/>
      <c r="M15" s="2"/>
      <c r="N15" s="169">
        <v>1</v>
      </c>
      <c r="O15" s="170">
        <f>B17</f>
        <v>300</v>
      </c>
      <c r="P15" s="170">
        <f t="shared" ref="P15:Q19" si="2">C17</f>
        <v>200</v>
      </c>
      <c r="Q15" s="171">
        <f>D17</f>
        <v>0.5</v>
      </c>
      <c r="R15" s="2"/>
      <c r="S15" s="2"/>
      <c r="T15" s="2"/>
      <c r="U15" s="2"/>
      <c r="V15" s="2"/>
      <c r="W15" s="2"/>
      <c r="X15" s="150"/>
    </row>
    <row r="16" spans="1:24" s="24" customFormat="1" x14ac:dyDescent="0.25">
      <c r="A16" s="17" t="s">
        <v>72</v>
      </c>
      <c r="B16" s="19" t="s">
        <v>233</v>
      </c>
      <c r="C16" s="19" t="s">
        <v>234</v>
      </c>
      <c r="D16" s="18" t="s">
        <v>73</v>
      </c>
      <c r="E16" s="1"/>
      <c r="F16" s="1"/>
      <c r="G16" s="12"/>
      <c r="H16" s="12"/>
      <c r="I16" s="12"/>
      <c r="J16" s="12"/>
      <c r="K16" s="150"/>
      <c r="L16" s="2"/>
      <c r="M16" s="2"/>
      <c r="N16" s="169">
        <v>2</v>
      </c>
      <c r="O16" s="170">
        <f t="shared" ref="O16:O19" si="3">B18</f>
        <v>75</v>
      </c>
      <c r="P16" s="170">
        <f t="shared" si="2"/>
        <v>25</v>
      </c>
      <c r="Q16" s="171">
        <f t="shared" si="2"/>
        <v>0.6</v>
      </c>
      <c r="R16" s="2"/>
      <c r="S16" s="2"/>
      <c r="T16" s="2"/>
      <c r="U16" s="2"/>
      <c r="V16" s="2"/>
      <c r="W16" s="2"/>
      <c r="X16" s="150"/>
    </row>
    <row r="17" spans="1:24" s="24" customFormat="1" x14ac:dyDescent="0.25">
      <c r="A17" s="38">
        <v>1</v>
      </c>
      <c r="B17" s="39">
        <v>300</v>
      </c>
      <c r="C17" s="39">
        <v>200</v>
      </c>
      <c r="D17" s="40">
        <v>0.5</v>
      </c>
      <c r="E17" s="1"/>
      <c r="F17" s="1"/>
      <c r="G17" s="12"/>
      <c r="H17" s="12"/>
      <c r="I17" s="12"/>
      <c r="J17" s="12"/>
      <c r="K17" s="150"/>
      <c r="L17" s="2"/>
      <c r="M17" s="2"/>
      <c r="N17" s="169">
        <v>3</v>
      </c>
      <c r="O17" s="170">
        <f t="shared" si="3"/>
        <v>160</v>
      </c>
      <c r="P17" s="170">
        <f t="shared" si="2"/>
        <v>40</v>
      </c>
      <c r="Q17" s="171">
        <f t="shared" si="2"/>
        <v>1.2</v>
      </c>
      <c r="R17" s="2"/>
      <c r="S17" s="2"/>
      <c r="T17" s="2"/>
      <c r="U17" s="2"/>
      <c r="V17" s="2"/>
      <c r="W17" s="2"/>
      <c r="X17" s="150"/>
    </row>
    <row r="18" spans="1:24" s="24" customFormat="1" x14ac:dyDescent="0.25">
      <c r="A18" s="38">
        <v>2</v>
      </c>
      <c r="B18" s="39">
        <v>75</v>
      </c>
      <c r="C18" s="39">
        <v>25</v>
      </c>
      <c r="D18" s="40">
        <v>0.6</v>
      </c>
      <c r="E18" s="1"/>
      <c r="F18" s="1"/>
      <c r="G18" s="12"/>
      <c r="H18" s="12"/>
      <c r="I18" s="12"/>
      <c r="J18" s="12"/>
      <c r="K18" s="150"/>
      <c r="L18" s="2"/>
      <c r="M18" s="2"/>
      <c r="N18" s="169">
        <v>4</v>
      </c>
      <c r="O18" s="170">
        <f t="shared" si="3"/>
        <v>95</v>
      </c>
      <c r="P18" s="170">
        <f t="shared" si="2"/>
        <v>5</v>
      </c>
      <c r="Q18" s="171">
        <f t="shared" si="2"/>
        <v>1.25</v>
      </c>
      <c r="R18" s="2"/>
      <c r="S18" s="2"/>
      <c r="T18" s="2"/>
      <c r="U18" s="2"/>
      <c r="V18" s="2"/>
      <c r="W18" s="2"/>
      <c r="X18" s="150"/>
    </row>
    <row r="19" spans="1:24" s="24" customFormat="1" x14ac:dyDescent="0.25">
      <c r="A19" s="38">
        <v>3</v>
      </c>
      <c r="B19" s="39">
        <v>160</v>
      </c>
      <c r="C19" s="39">
        <v>40</v>
      </c>
      <c r="D19" s="40">
        <v>1.2</v>
      </c>
      <c r="E19" s="1"/>
      <c r="F19" s="1"/>
      <c r="G19" s="12"/>
      <c r="H19" s="12"/>
      <c r="I19" s="12"/>
      <c r="J19" s="12"/>
      <c r="K19" s="150"/>
      <c r="L19" s="2"/>
      <c r="M19" s="2"/>
      <c r="N19" s="169">
        <v>5</v>
      </c>
      <c r="O19" s="170">
        <f t="shared" si="3"/>
        <v>100</v>
      </c>
      <c r="P19" s="170">
        <f t="shared" si="2"/>
        <v>0</v>
      </c>
      <c r="Q19" s="171">
        <f t="shared" si="2"/>
        <v>3.25</v>
      </c>
      <c r="R19" s="2"/>
      <c r="S19" s="2"/>
      <c r="T19" s="2"/>
      <c r="U19" s="2"/>
      <c r="V19" s="2"/>
      <c r="W19" s="2"/>
      <c r="X19" s="150"/>
    </row>
    <row r="20" spans="1:24" s="24" customFormat="1" x14ac:dyDescent="0.25">
      <c r="A20" s="38">
        <v>4</v>
      </c>
      <c r="B20" s="39">
        <v>95</v>
      </c>
      <c r="C20" s="39">
        <v>5</v>
      </c>
      <c r="D20" s="40">
        <v>1.25</v>
      </c>
      <c r="E20" s="1"/>
      <c r="F20" s="1"/>
      <c r="G20" s="12"/>
      <c r="H20" s="12"/>
      <c r="I20" s="12"/>
      <c r="J20" s="12"/>
      <c r="K20" s="150"/>
      <c r="L20" s="2"/>
      <c r="M20" s="2"/>
      <c r="N20" s="172" t="s">
        <v>74</v>
      </c>
      <c r="O20" s="173">
        <f>SUM(O15:O19)</f>
        <v>730</v>
      </c>
      <c r="P20" s="173">
        <f>SUM(P15:P19)</f>
        <v>270</v>
      </c>
      <c r="Q20" s="174"/>
      <c r="R20" s="2"/>
      <c r="S20" s="2"/>
      <c r="T20" s="2"/>
      <c r="U20" s="2"/>
      <c r="V20" s="2"/>
      <c r="W20" s="2"/>
      <c r="X20" s="150"/>
    </row>
    <row r="21" spans="1:24" s="24" customFormat="1" x14ac:dyDescent="0.25">
      <c r="A21" s="38">
        <v>5</v>
      </c>
      <c r="B21" s="39">
        <v>100</v>
      </c>
      <c r="C21" s="39">
        <v>0</v>
      </c>
      <c r="D21" s="40">
        <v>3.25</v>
      </c>
      <c r="E21" s="1"/>
      <c r="F21" s="1"/>
      <c r="G21" s="12"/>
      <c r="H21" s="12"/>
      <c r="I21" s="12"/>
      <c r="J21" s="12"/>
      <c r="K21" s="150"/>
      <c r="L21" s="2"/>
      <c r="M21" s="2"/>
      <c r="N21"/>
      <c r="O21"/>
      <c r="P21"/>
      <c r="Q21"/>
      <c r="R21" s="2"/>
      <c r="S21" s="2"/>
      <c r="T21" s="2"/>
      <c r="U21" s="2"/>
      <c r="V21" s="2"/>
      <c r="W21" s="2"/>
      <c r="X21" s="150"/>
    </row>
    <row r="22" spans="1:24" s="24" customFormat="1" x14ac:dyDescent="0.25">
      <c r="A22" s="41" t="s">
        <v>74</v>
      </c>
      <c r="B22" s="42">
        <v>730</v>
      </c>
      <c r="C22" s="42">
        <v>270</v>
      </c>
      <c r="D22" s="43"/>
      <c r="E22" s="1"/>
      <c r="F22" s="1"/>
      <c r="G22" s="12"/>
      <c r="H22" s="12"/>
      <c r="I22" s="12"/>
      <c r="J22" s="12"/>
      <c r="K22" s="150"/>
      <c r="L22" s="2"/>
      <c r="M22" s="2"/>
      <c r="N22" s="175"/>
      <c r="R22" s="2"/>
      <c r="S22" s="2"/>
      <c r="T22" s="2"/>
      <c r="U22" s="2"/>
      <c r="V22" s="2"/>
      <c r="W22" s="2"/>
      <c r="X22" s="150"/>
    </row>
    <row r="23" spans="1:24" x14ac:dyDescent="0.25">
      <c r="A23" s="1"/>
      <c r="B23" s="1"/>
      <c r="C23" s="1"/>
      <c r="D23" s="1"/>
      <c r="E23" s="1"/>
      <c r="F23" s="1"/>
      <c r="G23" s="12"/>
      <c r="H23" s="12"/>
      <c r="I23" s="12"/>
      <c r="J23" s="12"/>
      <c r="K23" s="150"/>
      <c r="N23" s="176" t="s">
        <v>324</v>
      </c>
      <c r="O23" s="177">
        <f>SUMPRODUCT(O15:O19,$Q$15:$Q$19)/O20</f>
        <v>1.138013698630137</v>
      </c>
      <c r="P23" s="177">
        <f>SUMPRODUCT(P15:P19,$Q$15:$Q$19)/P20</f>
        <v>0.62685185185185188</v>
      </c>
      <c r="Q23" s="178"/>
      <c r="X23" s="150"/>
    </row>
    <row r="24" spans="1:24" x14ac:dyDescent="0.25">
      <c r="A24" s="25" t="s">
        <v>232</v>
      </c>
      <c r="B24" s="1"/>
      <c r="C24" s="1"/>
      <c r="D24" s="1"/>
      <c r="E24" s="1"/>
      <c r="F24" s="1"/>
      <c r="G24" s="12"/>
      <c r="H24" s="12"/>
      <c r="I24" s="12"/>
      <c r="J24" s="12"/>
      <c r="K24" s="150"/>
      <c r="N24" s="176" t="s">
        <v>325</v>
      </c>
      <c r="O24" s="179">
        <f>PRODUCT(O7:O11,O23)</f>
        <v>13087.157534246575</v>
      </c>
      <c r="P24" s="179">
        <f>PRODUCT(P7:P11,P23)</f>
        <v>6731.4862222222237</v>
      </c>
      <c r="Q24" s="180">
        <f>SUMPRODUCT(O24:P24,$O$20:$P$20)/SUM($O$20:$P$20)</f>
        <v>11371.12628</v>
      </c>
      <c r="X24" s="150"/>
    </row>
    <row r="25" spans="1:24" x14ac:dyDescent="0.25">
      <c r="A25" s="22" t="s">
        <v>132</v>
      </c>
      <c r="B25" s="1"/>
      <c r="C25" s="1"/>
      <c r="D25" s="1"/>
      <c r="E25" s="1"/>
      <c r="F25" s="1"/>
      <c r="G25" s="12"/>
      <c r="H25" s="12"/>
      <c r="I25" s="12"/>
      <c r="J25" s="12"/>
      <c r="K25" s="150"/>
      <c r="N25" s="176" t="s">
        <v>326</v>
      </c>
      <c r="O25" s="180">
        <f>O24*O20</f>
        <v>9553625</v>
      </c>
      <c r="P25" s="180">
        <f>P24*P20</f>
        <v>1817501.2800000005</v>
      </c>
      <c r="Q25" s="179">
        <f>SUM(O25:P25)</f>
        <v>11371126.280000001</v>
      </c>
      <c r="X25" s="150"/>
    </row>
    <row r="26" spans="1:24" x14ac:dyDescent="0.25">
      <c r="A26" s="22" t="s">
        <v>133</v>
      </c>
      <c r="B26" s="1"/>
      <c r="C26" s="1"/>
      <c r="D26" s="1"/>
      <c r="E26" s="1"/>
      <c r="F26" s="1"/>
      <c r="G26" s="12"/>
      <c r="H26" s="12"/>
      <c r="I26" s="12"/>
      <c r="J26" s="12"/>
      <c r="K26" s="150"/>
      <c r="X26" s="150"/>
    </row>
    <row r="27" spans="1:24" x14ac:dyDescent="0.25">
      <c r="A27" s="1"/>
      <c r="B27" s="1"/>
      <c r="C27" s="1"/>
      <c r="D27" s="1"/>
      <c r="E27" s="1"/>
      <c r="F27" s="1"/>
      <c r="G27" s="12"/>
      <c r="H27" s="12"/>
      <c r="I27" s="12"/>
      <c r="J27" s="12"/>
      <c r="K27" s="150"/>
      <c r="X27" s="150"/>
    </row>
    <row r="28" spans="1:24" x14ac:dyDescent="0.25">
      <c r="A28" s="22" t="s">
        <v>23</v>
      </c>
      <c r="B28" s="1"/>
      <c r="C28" s="1"/>
      <c r="D28" s="1"/>
      <c r="E28" s="1"/>
      <c r="F28" s="1"/>
      <c r="G28" s="12"/>
      <c r="H28" s="12"/>
      <c r="I28" s="12"/>
      <c r="J28" s="12"/>
      <c r="K28" s="150"/>
      <c r="X28" s="150"/>
    </row>
    <row r="29" spans="1:24" x14ac:dyDescent="0.25">
      <c r="K29" s="150"/>
      <c r="X29" s="150"/>
    </row>
    <row r="30" spans="1:24" x14ac:dyDescent="0.25">
      <c r="A30" s="2" t="s">
        <v>0</v>
      </c>
      <c r="K30" s="150"/>
      <c r="X30" s="150"/>
    </row>
    <row r="31" spans="1:24" x14ac:dyDescent="0.25">
      <c r="A31" s="2" t="s">
        <v>208</v>
      </c>
      <c r="K31" s="150"/>
      <c r="X31" s="150"/>
    </row>
    <row r="32" spans="1:24" x14ac:dyDescent="0.25">
      <c r="K32" s="150"/>
      <c r="X32" s="150"/>
    </row>
    <row r="33" spans="1:24" x14ac:dyDescent="0.25">
      <c r="K33" s="150"/>
      <c r="X33" s="150"/>
    </row>
    <row r="34" spans="1:24" x14ac:dyDescent="0.25">
      <c r="K34" s="150"/>
      <c r="X34" s="150"/>
    </row>
    <row r="35" spans="1:24" x14ac:dyDescent="0.25">
      <c r="A35" s="2" t="s">
        <v>227</v>
      </c>
      <c r="K35" s="150"/>
      <c r="X35" s="150"/>
    </row>
    <row r="36" spans="1:24" x14ac:dyDescent="0.25">
      <c r="K36" s="150"/>
      <c r="X36" s="150"/>
    </row>
    <row r="37" spans="1:24" x14ac:dyDescent="0.25">
      <c r="K37" s="150"/>
      <c r="X37" s="150"/>
    </row>
    <row r="38" spans="1:24" x14ac:dyDescent="0.25">
      <c r="K38" s="150"/>
      <c r="X38" s="150"/>
    </row>
    <row r="39" spans="1:24" x14ac:dyDescent="0.25">
      <c r="K39" s="150"/>
      <c r="X39" s="150"/>
    </row>
    <row r="40" spans="1:24" x14ac:dyDescent="0.25">
      <c r="K40" s="150"/>
      <c r="X40" s="150"/>
    </row>
    <row r="41" spans="1:24" x14ac:dyDescent="0.25">
      <c r="A41" s="1" t="s">
        <v>75</v>
      </c>
      <c r="B41" s="1"/>
      <c r="C41" s="1"/>
      <c r="D41" s="1"/>
      <c r="E41" s="1"/>
      <c r="F41" s="1"/>
      <c r="G41" s="1"/>
      <c r="H41" s="1"/>
      <c r="I41" s="1"/>
      <c r="J41" s="1"/>
      <c r="K41" s="150"/>
      <c r="X41" s="150"/>
    </row>
    <row r="42" spans="1:24" x14ac:dyDescent="0.25">
      <c r="A42" s="1" t="s">
        <v>76</v>
      </c>
      <c r="B42" s="1"/>
      <c r="C42" s="1"/>
      <c r="D42" s="1"/>
      <c r="E42" s="1"/>
      <c r="F42" s="1"/>
      <c r="G42" s="1"/>
      <c r="H42" s="1"/>
      <c r="I42" s="1"/>
      <c r="J42" s="1"/>
      <c r="K42" s="150"/>
      <c r="X42" s="150"/>
    </row>
    <row r="43" spans="1:24" x14ac:dyDescent="0.25">
      <c r="A43" s="1"/>
      <c r="B43" s="1"/>
      <c r="C43" s="1"/>
      <c r="D43" s="1"/>
      <c r="E43" s="1"/>
      <c r="F43" s="1"/>
      <c r="G43" s="1"/>
      <c r="H43" s="1"/>
      <c r="I43" s="1"/>
      <c r="J43" s="1"/>
      <c r="K43" s="150"/>
      <c r="X43" s="150"/>
    </row>
    <row r="44" spans="1:24" x14ac:dyDescent="0.25">
      <c r="A44" s="25" t="s">
        <v>231</v>
      </c>
      <c r="B44" s="1"/>
      <c r="C44" s="1"/>
      <c r="D44" s="1"/>
      <c r="E44" s="1"/>
      <c r="F44" s="1"/>
      <c r="G44" s="1"/>
      <c r="H44" s="1"/>
      <c r="I44" s="1"/>
      <c r="J44" s="1"/>
      <c r="K44" s="150"/>
      <c r="X44" s="150"/>
    </row>
    <row r="45" spans="1:24" x14ac:dyDescent="0.25">
      <c r="A45" s="25"/>
      <c r="B45" s="1"/>
      <c r="C45" s="1"/>
      <c r="D45" s="1"/>
      <c r="E45" s="1"/>
      <c r="F45" s="1"/>
      <c r="G45" s="1"/>
      <c r="H45" s="1"/>
      <c r="I45" s="1"/>
      <c r="J45" s="1"/>
      <c r="K45" s="150"/>
      <c r="X45" s="150"/>
    </row>
    <row r="46" spans="1:24" x14ac:dyDescent="0.25">
      <c r="K46" s="150"/>
      <c r="M46" s="151" t="s">
        <v>48</v>
      </c>
      <c r="N46" s="176" t="s">
        <v>327</v>
      </c>
      <c r="P46" s="180">
        <f>Q25</f>
        <v>11371126.280000001</v>
      </c>
      <c r="X46" s="150"/>
    </row>
    <row r="47" spans="1:24" x14ac:dyDescent="0.25">
      <c r="A47" s="2" t="s">
        <v>0</v>
      </c>
      <c r="K47" s="150"/>
      <c r="N47" s="176" t="s">
        <v>328</v>
      </c>
      <c r="O47"/>
      <c r="P47" s="180">
        <f>PRODUCT(P7,P8:P11)</f>
        <v>10738.560000000001</v>
      </c>
      <c r="Q47" s="176" t="s">
        <v>329</v>
      </c>
      <c r="X47" s="150"/>
    </row>
    <row r="48" spans="1:24" x14ac:dyDescent="0.25">
      <c r="K48" s="150"/>
      <c r="N48" s="176" t="s">
        <v>330</v>
      </c>
      <c r="O48"/>
      <c r="P48" s="170">
        <f>SUM(O20:P20)</f>
        <v>1000</v>
      </c>
      <c r="X48" s="150"/>
    </row>
    <row r="49" spans="1:24" x14ac:dyDescent="0.25">
      <c r="K49" s="150"/>
      <c r="N49" s="176" t="s">
        <v>331</v>
      </c>
      <c r="O49"/>
      <c r="P49" s="180">
        <f>P47*P48</f>
        <v>10738560.000000002</v>
      </c>
      <c r="X49" s="150"/>
    </row>
    <row r="50" spans="1:24" x14ac:dyDescent="0.25">
      <c r="K50" s="150"/>
      <c r="N50" s="176" t="s">
        <v>332</v>
      </c>
      <c r="O50"/>
      <c r="P50" s="179">
        <f>P46-P49</f>
        <v>632566.27999999933</v>
      </c>
      <c r="X50" s="150"/>
    </row>
    <row r="51" spans="1:24" x14ac:dyDescent="0.25">
      <c r="K51" s="150"/>
      <c r="X51" s="150"/>
    </row>
    <row r="52" spans="1:24" x14ac:dyDescent="0.25">
      <c r="K52" s="150"/>
      <c r="X52" s="150"/>
    </row>
    <row r="53" spans="1:24" x14ac:dyDescent="0.25">
      <c r="K53" s="150"/>
      <c r="X53" s="150"/>
    </row>
    <row r="54" spans="1:24" x14ac:dyDescent="0.25">
      <c r="K54" s="150"/>
      <c r="X54" s="150"/>
    </row>
    <row r="55" spans="1:24" x14ac:dyDescent="0.25">
      <c r="K55" s="150"/>
      <c r="X55" s="150"/>
    </row>
    <row r="56" spans="1:24" x14ac:dyDescent="0.25">
      <c r="K56" s="150"/>
      <c r="X56" s="150"/>
    </row>
    <row r="57" spans="1:24" x14ac:dyDescent="0.25">
      <c r="K57" s="150"/>
      <c r="X57" s="150"/>
    </row>
    <row r="58" spans="1:24" x14ac:dyDescent="0.25">
      <c r="A58" s="4" t="s">
        <v>77</v>
      </c>
      <c r="B58" s="1"/>
      <c r="C58" s="1"/>
      <c r="D58" s="1"/>
      <c r="E58" s="1"/>
      <c r="F58" s="1"/>
      <c r="G58" s="1"/>
      <c r="H58" s="1"/>
      <c r="I58" s="1"/>
      <c r="J58" s="1"/>
      <c r="K58" s="150"/>
      <c r="X58" s="150"/>
    </row>
    <row r="59" spans="1:24" x14ac:dyDescent="0.25">
      <c r="K59" s="150"/>
      <c r="X59" s="150"/>
    </row>
    <row r="60" spans="1:24" s="3" customFormat="1" x14ac:dyDescent="0.25">
      <c r="A60" s="3" t="s">
        <v>2</v>
      </c>
    </row>
  </sheetData>
  <mergeCells count="3">
    <mergeCell ref="B9:C9"/>
    <mergeCell ref="O13:P13"/>
    <mergeCell ref="B15:C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BE52-2B9B-4A48-97C7-14B7043FC725}">
  <dimension ref="A1:AE81"/>
  <sheetViews>
    <sheetView zoomScaleNormal="100" workbookViewId="0"/>
  </sheetViews>
  <sheetFormatPr defaultColWidth="9.140625" defaultRowHeight="15.75" x14ac:dyDescent="0.25"/>
  <cols>
    <col min="1" max="1" width="21.7109375" style="2" customWidth="1"/>
    <col min="2" max="2" width="34.28515625" style="2" customWidth="1"/>
    <col min="3" max="3" width="17.140625" style="2" customWidth="1"/>
    <col min="4" max="5" width="15.7109375" style="2" customWidth="1"/>
    <col min="6" max="7" width="9.140625" style="2"/>
    <col min="8" max="9" width="12.28515625" style="2" customWidth="1"/>
    <col min="10" max="10" width="11.28515625" style="2" customWidth="1"/>
    <col min="11" max="11" width="1.42578125" style="2" customWidth="1"/>
    <col min="12" max="12" width="11.7109375" style="2" customWidth="1"/>
    <col min="13" max="13" width="24.140625" style="2" customWidth="1"/>
    <col min="14" max="14" width="34.28515625" style="2" customWidth="1"/>
    <col min="15" max="15" width="17.140625" style="2" customWidth="1"/>
    <col min="16" max="20" width="15.7109375" style="2" customWidth="1"/>
    <col min="21" max="21" width="13.7109375" style="2" bestFit="1" customWidth="1"/>
    <col min="22" max="22" width="9.140625" style="2"/>
    <col min="23" max="23" width="23.28515625" style="2" bestFit="1" customWidth="1"/>
    <col min="24" max="24" width="12.7109375" style="2" bestFit="1" customWidth="1"/>
    <col min="25" max="25" width="15.140625" style="2" bestFit="1" customWidth="1"/>
    <col min="26" max="26" width="11.7109375" style="2" bestFit="1" customWidth="1"/>
    <col min="27" max="29" width="10.42578125" style="2" bestFit="1" customWidth="1"/>
    <col min="30" max="30" width="14.140625" style="2" bestFit="1" customWidth="1"/>
    <col min="31" max="31" width="13.7109375" style="2" bestFit="1" customWidth="1"/>
    <col min="32" max="16384" width="9.140625" style="2"/>
  </cols>
  <sheetData>
    <row r="1" spans="1:18" x14ac:dyDescent="0.25">
      <c r="A1" s="6" t="s">
        <v>13</v>
      </c>
      <c r="B1" s="1"/>
      <c r="C1" s="1"/>
      <c r="D1" s="1"/>
      <c r="E1" s="1"/>
      <c r="F1" s="1"/>
      <c r="G1" s="1"/>
      <c r="H1" s="1"/>
      <c r="I1" s="1"/>
      <c r="J1" s="1"/>
      <c r="K1" s="181"/>
      <c r="L1" s="2" t="s">
        <v>0</v>
      </c>
      <c r="M1" s="2" t="s">
        <v>303</v>
      </c>
      <c r="N1" s="2" t="s">
        <v>301</v>
      </c>
    </row>
    <row r="2" spans="1:18" x14ac:dyDescent="0.25">
      <c r="A2" s="1" t="s">
        <v>66</v>
      </c>
      <c r="B2" s="1"/>
      <c r="C2" s="1"/>
      <c r="D2" s="1"/>
      <c r="E2" s="1"/>
      <c r="F2" s="1"/>
      <c r="G2" s="1"/>
      <c r="H2" s="1"/>
      <c r="I2" s="1"/>
      <c r="J2" s="1"/>
      <c r="K2" s="181"/>
      <c r="M2" s="151" t="s">
        <v>128</v>
      </c>
    </row>
    <row r="3" spans="1:18" x14ac:dyDescent="0.25">
      <c r="K3" s="181"/>
      <c r="L3" s="182" t="s">
        <v>102</v>
      </c>
    </row>
    <row r="4" spans="1:18" ht="16.5" thickBot="1" x14ac:dyDescent="0.3">
      <c r="A4" s="4" t="s">
        <v>235</v>
      </c>
      <c r="B4" s="1"/>
      <c r="C4" s="1"/>
      <c r="D4" s="1"/>
      <c r="E4" s="1"/>
      <c r="F4" s="1"/>
      <c r="G4" s="1"/>
      <c r="H4" s="1"/>
      <c r="I4" s="1"/>
      <c r="J4" s="1"/>
      <c r="K4" s="181"/>
    </row>
    <row r="5" spans="1:18" ht="16.5" thickBot="1" x14ac:dyDescent="0.3">
      <c r="A5" s="24"/>
      <c r="B5" s="24"/>
      <c r="C5" s="24"/>
      <c r="D5" s="24"/>
      <c r="E5" s="24"/>
      <c r="F5" s="24"/>
      <c r="G5" s="24"/>
      <c r="H5" s="24"/>
      <c r="I5" s="24"/>
      <c r="J5" s="24"/>
      <c r="K5" s="181"/>
      <c r="M5" s="362" t="s">
        <v>79</v>
      </c>
      <c r="N5" s="364"/>
      <c r="O5" s="364"/>
      <c r="P5" s="363"/>
    </row>
    <row r="6" spans="1:18" ht="16.5" thickBot="1" x14ac:dyDescent="0.3">
      <c r="A6" s="7" t="s">
        <v>78</v>
      </c>
      <c r="B6" s="1"/>
      <c r="C6" s="1"/>
      <c r="D6" s="1"/>
      <c r="E6" s="1"/>
      <c r="F6" s="12"/>
      <c r="G6" s="12"/>
      <c r="H6" s="12"/>
      <c r="I6" s="12"/>
      <c r="J6" s="12"/>
      <c r="K6" s="181"/>
      <c r="M6" s="45"/>
      <c r="N6" s="99" t="s">
        <v>80</v>
      </c>
      <c r="O6" s="99" t="s">
        <v>81</v>
      </c>
      <c r="P6" s="183" t="s">
        <v>82</v>
      </c>
      <c r="Q6" s="184" t="s">
        <v>333</v>
      </c>
      <c r="R6" s="184" t="s">
        <v>334</v>
      </c>
    </row>
    <row r="7" spans="1:18" ht="16.5" thickBot="1" x14ac:dyDescent="0.3">
      <c r="A7" s="7"/>
      <c r="B7" s="9"/>
      <c r="C7" s="1"/>
      <c r="D7" s="1"/>
      <c r="E7" s="1"/>
      <c r="F7" s="12"/>
      <c r="G7" s="12"/>
      <c r="H7" s="12"/>
      <c r="I7" s="12"/>
      <c r="J7" s="12"/>
      <c r="K7" s="181"/>
      <c r="M7" s="49" t="s">
        <v>83</v>
      </c>
      <c r="N7" s="46"/>
      <c r="O7" s="46"/>
      <c r="P7" s="185"/>
      <c r="Q7" s="186" t="s">
        <v>241</v>
      </c>
      <c r="R7" s="186" t="s">
        <v>241</v>
      </c>
    </row>
    <row r="8" spans="1:18" ht="16.5" thickBot="1" x14ac:dyDescent="0.3">
      <c r="A8" s="44" t="s">
        <v>129</v>
      </c>
      <c r="B8" s="7"/>
      <c r="C8" s="1"/>
      <c r="D8" s="1"/>
      <c r="E8" s="1"/>
      <c r="F8" s="12"/>
      <c r="G8" s="12"/>
      <c r="H8" s="12"/>
      <c r="I8" s="12"/>
      <c r="J8" s="12"/>
      <c r="K8" s="181"/>
      <c r="M8" s="101" t="s">
        <v>84</v>
      </c>
      <c r="N8" s="46">
        <v>130</v>
      </c>
      <c r="O8" s="47">
        <v>3280</v>
      </c>
      <c r="P8" s="47">
        <v>500</v>
      </c>
      <c r="Q8" s="187">
        <f>N8*O8/12000</f>
        <v>35.533333333333331</v>
      </c>
      <c r="R8" s="187">
        <f>(O8-P8)*N8/12000</f>
        <v>30.116666666666667</v>
      </c>
    </row>
    <row r="9" spans="1:18" ht="16.5" thickBot="1" x14ac:dyDescent="0.3">
      <c r="A9" s="44" t="s">
        <v>130</v>
      </c>
      <c r="B9" s="7"/>
      <c r="C9" s="1"/>
      <c r="D9" s="1"/>
      <c r="E9" s="1"/>
      <c r="F9" s="12"/>
      <c r="G9" s="12"/>
      <c r="H9" s="12"/>
      <c r="I9" s="12"/>
      <c r="J9" s="12"/>
      <c r="K9" s="181"/>
      <c r="M9" s="101" t="s">
        <v>85</v>
      </c>
      <c r="N9" s="46">
        <v>85</v>
      </c>
      <c r="O9" s="47">
        <v>5370</v>
      </c>
      <c r="P9" s="47">
        <v>500</v>
      </c>
      <c r="Q9" s="187">
        <f>N9*O9/12000</f>
        <v>38.037500000000001</v>
      </c>
      <c r="R9" s="187">
        <f>(O9-P9)*N9/12000</f>
        <v>34.49583333333333</v>
      </c>
    </row>
    <row r="10" spans="1:18" ht="16.5" thickBot="1" x14ac:dyDescent="0.3">
      <c r="A10" s="44" t="s">
        <v>131</v>
      </c>
      <c r="B10" s="7"/>
      <c r="C10" s="1"/>
      <c r="D10" s="1"/>
      <c r="E10" s="1"/>
      <c r="F10" s="12"/>
      <c r="G10" s="12"/>
      <c r="H10" s="12"/>
      <c r="I10" s="12"/>
      <c r="J10" s="12"/>
      <c r="K10" s="181"/>
      <c r="M10" s="101" t="s">
        <v>86</v>
      </c>
      <c r="N10" s="46">
        <v>15</v>
      </c>
      <c r="O10" s="47">
        <v>805</v>
      </c>
      <c r="P10" s="47">
        <v>80</v>
      </c>
      <c r="Q10" s="187">
        <f>N10*O10/12000</f>
        <v>1.0062500000000001</v>
      </c>
      <c r="R10" s="187">
        <f>(O10-P10)*N10/12000</f>
        <v>0.90625</v>
      </c>
    </row>
    <row r="11" spans="1:18" ht="16.5" thickBot="1" x14ac:dyDescent="0.3">
      <c r="A11" s="44" t="s">
        <v>236</v>
      </c>
      <c r="B11" s="7"/>
      <c r="C11" s="1"/>
      <c r="D11" s="1"/>
      <c r="E11" s="1"/>
      <c r="F11" s="12"/>
      <c r="G11" s="12"/>
      <c r="H11" s="12"/>
      <c r="I11" s="12"/>
      <c r="J11" s="12"/>
      <c r="K11" s="181"/>
      <c r="M11" s="49" t="s">
        <v>87</v>
      </c>
      <c r="N11" s="46"/>
      <c r="O11" s="46"/>
      <c r="P11" s="46"/>
      <c r="Q11" s="187"/>
      <c r="R11" s="187"/>
    </row>
    <row r="12" spans="1:18" ht="16.5" thickBot="1" x14ac:dyDescent="0.3">
      <c r="A12" s="25"/>
      <c r="B12" s="1"/>
      <c r="C12" s="1"/>
      <c r="D12" s="1"/>
      <c r="E12" s="1"/>
      <c r="F12" s="12"/>
      <c r="G12" s="12"/>
      <c r="H12" s="12"/>
      <c r="I12" s="12"/>
      <c r="J12" s="12"/>
      <c r="K12" s="181"/>
      <c r="M12" s="101" t="s">
        <v>88</v>
      </c>
      <c r="N12" s="46">
        <v>210</v>
      </c>
      <c r="O12" s="47">
        <v>665</v>
      </c>
      <c r="P12" s="47">
        <v>200</v>
      </c>
      <c r="Q12" s="187">
        <f t="shared" ref="Q12:Q22" si="0">N12*O12/12000</f>
        <v>11.637499999999999</v>
      </c>
      <c r="R12" s="187">
        <f>(O12-P12)*N12/12000</f>
        <v>8.1374999999999993</v>
      </c>
    </row>
    <row r="13" spans="1:18" ht="16.5" thickBot="1" x14ac:dyDescent="0.3">
      <c r="A13" s="362" t="s">
        <v>79</v>
      </c>
      <c r="B13" s="364"/>
      <c r="C13" s="364"/>
      <c r="D13" s="363"/>
      <c r="E13" s="1"/>
      <c r="F13" s="12"/>
      <c r="G13" s="12"/>
      <c r="H13" s="12"/>
      <c r="I13" s="12"/>
      <c r="J13" s="12"/>
      <c r="K13" s="181"/>
      <c r="M13" s="101" t="s">
        <v>89</v>
      </c>
      <c r="N13" s="46">
        <v>145</v>
      </c>
      <c r="O13" s="47">
        <v>3510</v>
      </c>
      <c r="P13" s="47">
        <v>300</v>
      </c>
      <c r="Q13" s="187">
        <f t="shared" si="0"/>
        <v>42.412500000000001</v>
      </c>
      <c r="R13" s="187">
        <f>(O13-P13)*N13/12000</f>
        <v>38.787500000000001</v>
      </c>
    </row>
    <row r="14" spans="1:18" ht="16.5" thickBot="1" x14ac:dyDescent="0.3">
      <c r="A14" s="45"/>
      <c r="B14" s="99" t="s">
        <v>80</v>
      </c>
      <c r="C14" s="99" t="s">
        <v>81</v>
      </c>
      <c r="D14" s="99" t="s">
        <v>82</v>
      </c>
      <c r="E14" s="1"/>
      <c r="F14" s="12"/>
      <c r="G14" s="12"/>
      <c r="H14" s="12"/>
      <c r="I14" s="12"/>
      <c r="J14" s="12"/>
      <c r="K14" s="181"/>
      <c r="M14" s="101" t="s">
        <v>90</v>
      </c>
      <c r="N14" s="46">
        <v>375</v>
      </c>
      <c r="O14" s="47">
        <v>215</v>
      </c>
      <c r="P14" s="47">
        <v>40</v>
      </c>
      <c r="Q14" s="187">
        <f t="shared" si="0"/>
        <v>6.71875</v>
      </c>
      <c r="R14" s="187">
        <f>(O14-P14)*N14/12000</f>
        <v>5.46875</v>
      </c>
    </row>
    <row r="15" spans="1:18" ht="16.5" thickBot="1" x14ac:dyDescent="0.3">
      <c r="A15" s="49" t="s">
        <v>83</v>
      </c>
      <c r="B15" s="46"/>
      <c r="C15" s="46"/>
      <c r="D15" s="46"/>
      <c r="E15" s="1"/>
      <c r="F15" s="12"/>
      <c r="G15" s="12"/>
      <c r="H15" s="12"/>
      <c r="I15" s="12"/>
      <c r="J15" s="12"/>
      <c r="K15" s="181"/>
      <c r="M15" s="101" t="s">
        <v>91</v>
      </c>
      <c r="N15" s="46">
        <v>460</v>
      </c>
      <c r="O15" s="47">
        <v>395</v>
      </c>
      <c r="P15" s="47">
        <v>100</v>
      </c>
      <c r="Q15" s="187">
        <f t="shared" si="0"/>
        <v>15.141666666666667</v>
      </c>
      <c r="R15" s="187">
        <f>(O15-P15)*N15/12000</f>
        <v>11.308333333333334</v>
      </c>
    </row>
    <row r="16" spans="1:18" ht="16.5" thickBot="1" x14ac:dyDescent="0.3">
      <c r="A16" s="101" t="s">
        <v>84</v>
      </c>
      <c r="B16" s="46">
        <v>130</v>
      </c>
      <c r="C16" s="47">
        <v>3280</v>
      </c>
      <c r="D16" s="47">
        <v>500</v>
      </c>
      <c r="E16" s="1"/>
      <c r="F16" s="12"/>
      <c r="G16" s="12"/>
      <c r="H16" s="12"/>
      <c r="I16" s="12"/>
      <c r="J16" s="12"/>
      <c r="K16" s="181"/>
      <c r="M16" s="49" t="s">
        <v>92</v>
      </c>
      <c r="N16" s="46"/>
      <c r="O16" s="46"/>
      <c r="P16" s="46"/>
      <c r="Q16" s="187"/>
      <c r="R16" s="187"/>
    </row>
    <row r="17" spans="1:30" ht="16.5" thickBot="1" x14ac:dyDescent="0.3">
      <c r="A17" s="101" t="s">
        <v>85</v>
      </c>
      <c r="B17" s="46">
        <v>85</v>
      </c>
      <c r="C17" s="47">
        <v>5370</v>
      </c>
      <c r="D17" s="47">
        <v>500</v>
      </c>
      <c r="E17" s="1"/>
      <c r="F17" s="12"/>
      <c r="G17" s="12"/>
      <c r="H17" s="12"/>
      <c r="I17" s="12"/>
      <c r="J17" s="12"/>
      <c r="K17" s="181"/>
      <c r="M17" s="101" t="s">
        <v>93</v>
      </c>
      <c r="N17" s="48">
        <v>1800</v>
      </c>
      <c r="O17" s="47">
        <v>85</v>
      </c>
      <c r="P17" s="47">
        <v>25</v>
      </c>
      <c r="Q17" s="187">
        <f t="shared" si="0"/>
        <v>12.75</v>
      </c>
      <c r="R17" s="187">
        <f>(O17-P17)*N17/12000</f>
        <v>9</v>
      </c>
    </row>
    <row r="18" spans="1:30" ht="16.5" thickBot="1" x14ac:dyDescent="0.3">
      <c r="A18" s="101" t="s">
        <v>86</v>
      </c>
      <c r="B18" s="46">
        <v>15</v>
      </c>
      <c r="C18" s="47">
        <v>805</v>
      </c>
      <c r="D18" s="47">
        <v>80</v>
      </c>
      <c r="E18" s="1"/>
      <c r="F18" s="12"/>
      <c r="G18" s="12"/>
      <c r="H18" s="12"/>
      <c r="I18" s="12"/>
      <c r="J18" s="12"/>
      <c r="K18" s="181"/>
      <c r="M18" s="101" t="s">
        <v>94</v>
      </c>
      <c r="N18" s="48">
        <v>1000</v>
      </c>
      <c r="O18" s="47">
        <v>200</v>
      </c>
      <c r="P18" s="47">
        <v>50</v>
      </c>
      <c r="Q18" s="187">
        <f t="shared" si="0"/>
        <v>16.666666666666668</v>
      </c>
      <c r="R18" s="187">
        <f>(O18-P18)*N18/12000</f>
        <v>12.5</v>
      </c>
    </row>
    <row r="19" spans="1:30" ht="16.5" thickBot="1" x14ac:dyDescent="0.3">
      <c r="A19" s="49" t="s">
        <v>87</v>
      </c>
      <c r="B19" s="46"/>
      <c r="C19" s="46"/>
      <c r="D19" s="46"/>
      <c r="E19" s="1"/>
      <c r="F19" s="12"/>
      <c r="G19" s="12"/>
      <c r="H19" s="12"/>
      <c r="I19" s="12"/>
      <c r="J19" s="12"/>
      <c r="K19" s="181"/>
      <c r="M19" s="101" t="s">
        <v>95</v>
      </c>
      <c r="N19" s="48">
        <v>2200</v>
      </c>
      <c r="O19" s="47">
        <v>365</v>
      </c>
      <c r="P19" s="47">
        <v>80</v>
      </c>
      <c r="Q19" s="187">
        <f t="shared" si="0"/>
        <v>66.916666666666671</v>
      </c>
      <c r="R19" s="187">
        <f>(O19-P19)*N19/12000</f>
        <v>52.25</v>
      </c>
    </row>
    <row r="20" spans="1:30" ht="16.5" thickBot="1" x14ac:dyDescent="0.3">
      <c r="A20" s="101" t="s">
        <v>88</v>
      </c>
      <c r="B20" s="46">
        <v>210</v>
      </c>
      <c r="C20" s="47">
        <v>665</v>
      </c>
      <c r="D20" s="47">
        <v>200</v>
      </c>
      <c r="E20" s="1"/>
      <c r="F20" s="12"/>
      <c r="G20" s="12"/>
      <c r="H20" s="12"/>
      <c r="I20" s="12"/>
      <c r="J20" s="12"/>
      <c r="K20" s="181"/>
      <c r="M20" s="49" t="s">
        <v>96</v>
      </c>
      <c r="N20" s="46"/>
      <c r="O20" s="46"/>
      <c r="P20" s="46"/>
      <c r="Q20" s="187"/>
      <c r="R20" s="187"/>
    </row>
    <row r="21" spans="1:30" ht="16.5" thickBot="1" x14ac:dyDescent="0.3">
      <c r="A21" s="101" t="s">
        <v>89</v>
      </c>
      <c r="B21" s="46">
        <v>145</v>
      </c>
      <c r="C21" s="47">
        <v>3510</v>
      </c>
      <c r="D21" s="47">
        <v>300</v>
      </c>
      <c r="E21" s="1"/>
      <c r="F21" s="12"/>
      <c r="G21" s="12"/>
      <c r="H21" s="12"/>
      <c r="I21" s="12"/>
      <c r="J21" s="12"/>
      <c r="K21" s="181"/>
      <c r="M21" s="101" t="s">
        <v>97</v>
      </c>
      <c r="N21" s="48">
        <v>6500</v>
      </c>
      <c r="O21" s="47">
        <v>28</v>
      </c>
      <c r="P21" s="47">
        <v>10</v>
      </c>
      <c r="Q21" s="187">
        <f t="shared" si="0"/>
        <v>15.166666666666666</v>
      </c>
      <c r="R21" s="187">
        <f>(O21-P21)*N21/12000</f>
        <v>9.75</v>
      </c>
    </row>
    <row r="22" spans="1:30" ht="16.5" thickBot="1" x14ac:dyDescent="0.3">
      <c r="A22" s="101" t="s">
        <v>90</v>
      </c>
      <c r="B22" s="46">
        <v>375</v>
      </c>
      <c r="C22" s="47">
        <v>215</v>
      </c>
      <c r="D22" s="47">
        <v>40</v>
      </c>
      <c r="E22" s="1"/>
      <c r="F22" s="12"/>
      <c r="G22" s="12"/>
      <c r="H22" s="12"/>
      <c r="I22" s="12"/>
      <c r="J22" s="12"/>
      <c r="K22" s="181"/>
      <c r="M22" s="101" t="s">
        <v>28</v>
      </c>
      <c r="N22" s="46">
        <v>600</v>
      </c>
      <c r="O22" s="47">
        <v>725</v>
      </c>
      <c r="P22" s="47">
        <v>50</v>
      </c>
      <c r="Q22" s="187">
        <f t="shared" si="0"/>
        <v>36.25</v>
      </c>
      <c r="R22" s="187">
        <f>(O22-P22)*N22/12000</f>
        <v>33.75</v>
      </c>
    </row>
    <row r="23" spans="1:30" ht="16.5" thickBot="1" x14ac:dyDescent="0.3">
      <c r="A23" s="101" t="s">
        <v>91</v>
      </c>
      <c r="B23" s="46">
        <v>460</v>
      </c>
      <c r="C23" s="47">
        <v>395</v>
      </c>
      <c r="D23" s="47">
        <v>100</v>
      </c>
      <c r="E23" s="1"/>
      <c r="F23" s="12"/>
      <c r="G23" s="12"/>
      <c r="H23" s="12"/>
      <c r="I23" s="12"/>
      <c r="J23" s="12"/>
      <c r="K23" s="181"/>
      <c r="Q23" s="187">
        <f>SUM(Q8:Q22)</f>
        <v>298.23750000000001</v>
      </c>
      <c r="R23" s="188">
        <f>SUM(R8:R22)</f>
        <v>246.47083333333333</v>
      </c>
    </row>
    <row r="24" spans="1:30" ht="16.5" thickBot="1" x14ac:dyDescent="0.3">
      <c r="A24" s="49" t="s">
        <v>92</v>
      </c>
      <c r="B24" s="46"/>
      <c r="C24" s="46"/>
      <c r="D24" s="46"/>
      <c r="E24" s="1"/>
      <c r="F24" s="12"/>
      <c r="G24" s="12"/>
      <c r="H24" s="12"/>
      <c r="I24" s="12"/>
      <c r="J24" s="12"/>
      <c r="K24" s="181"/>
      <c r="Q24" s="187"/>
      <c r="R24" s="187"/>
    </row>
    <row r="25" spans="1:30" ht="16.5" thickBot="1" x14ac:dyDescent="0.3">
      <c r="A25" s="101" t="s">
        <v>93</v>
      </c>
      <c r="B25" s="48">
        <v>1800</v>
      </c>
      <c r="C25" s="47">
        <v>85</v>
      </c>
      <c r="D25" s="47">
        <v>25</v>
      </c>
      <c r="E25" s="1"/>
      <c r="F25" s="12"/>
      <c r="G25" s="12"/>
      <c r="H25" s="12"/>
      <c r="I25" s="12"/>
      <c r="J25" s="12"/>
      <c r="K25" s="181"/>
      <c r="Q25" s="187"/>
      <c r="R25" s="187"/>
    </row>
    <row r="26" spans="1:30" ht="16.5" thickBot="1" x14ac:dyDescent="0.3">
      <c r="A26" s="101" t="s">
        <v>94</v>
      </c>
      <c r="B26" s="48">
        <v>1000</v>
      </c>
      <c r="C26" s="47">
        <v>200</v>
      </c>
      <c r="D26" s="47">
        <v>50</v>
      </c>
      <c r="E26" s="1"/>
      <c r="F26" s="12"/>
      <c r="G26" s="12"/>
      <c r="H26" s="12"/>
      <c r="I26" s="12"/>
      <c r="J26" s="12"/>
      <c r="K26" s="181"/>
      <c r="L26" s="182" t="s">
        <v>103</v>
      </c>
      <c r="Q26" s="187"/>
      <c r="R26" s="187"/>
    </row>
    <row r="27" spans="1:30" ht="16.5" thickBot="1" x14ac:dyDescent="0.3">
      <c r="A27" s="101" t="s">
        <v>95</v>
      </c>
      <c r="B27" s="48">
        <v>2200</v>
      </c>
      <c r="C27" s="47">
        <v>365</v>
      </c>
      <c r="D27" s="47">
        <v>80</v>
      </c>
      <c r="E27" s="1"/>
      <c r="F27" s="12"/>
      <c r="G27" s="12"/>
      <c r="H27" s="12"/>
      <c r="I27" s="12"/>
      <c r="J27" s="12"/>
      <c r="K27" s="181"/>
      <c r="W27" s="2" t="s">
        <v>335</v>
      </c>
    </row>
    <row r="28" spans="1:30" ht="16.5" thickBot="1" x14ac:dyDescent="0.3">
      <c r="A28" s="49" t="s">
        <v>96</v>
      </c>
      <c r="B28" s="46"/>
      <c r="C28" s="46"/>
      <c r="D28" s="46"/>
      <c r="E28" s="1"/>
      <c r="F28" s="12"/>
      <c r="G28" s="12"/>
      <c r="H28" s="12"/>
      <c r="I28" s="12"/>
      <c r="J28" s="12"/>
      <c r="K28" s="181"/>
      <c r="M28" s="362" t="s">
        <v>108</v>
      </c>
      <c r="N28" s="364"/>
      <c r="O28" s="363"/>
      <c r="Q28" s="189" t="s">
        <v>336</v>
      </c>
      <c r="R28" s="189"/>
      <c r="S28" s="189"/>
      <c r="W28" s="362" t="s">
        <v>108</v>
      </c>
      <c r="X28" s="364"/>
      <c r="Y28" s="363"/>
      <c r="AA28" s="189" t="s">
        <v>336</v>
      </c>
      <c r="AB28" s="189"/>
      <c r="AC28" s="189"/>
    </row>
    <row r="29" spans="1:30" ht="32.25" thickBot="1" x14ac:dyDescent="0.3">
      <c r="A29" s="101" t="s">
        <v>97</v>
      </c>
      <c r="B29" s="48">
        <v>6500</v>
      </c>
      <c r="C29" s="47">
        <v>28</v>
      </c>
      <c r="D29" s="47">
        <v>10</v>
      </c>
      <c r="E29" s="1"/>
      <c r="F29" s="12"/>
      <c r="G29" s="12"/>
      <c r="H29" s="12"/>
      <c r="I29" s="12"/>
      <c r="J29" s="12"/>
      <c r="K29" s="181"/>
      <c r="M29" s="100" t="s">
        <v>109</v>
      </c>
      <c r="N29" s="99" t="s">
        <v>110</v>
      </c>
      <c r="O29" s="99" t="s">
        <v>111</v>
      </c>
      <c r="P29" s="190" t="s">
        <v>337</v>
      </c>
      <c r="Q29" s="190" t="s">
        <v>27</v>
      </c>
      <c r="R29" s="190" t="s">
        <v>338</v>
      </c>
      <c r="S29" s="190" t="s">
        <v>30</v>
      </c>
      <c r="T29" s="190" t="s">
        <v>339</v>
      </c>
      <c r="W29" s="100" t="s">
        <v>109</v>
      </c>
      <c r="X29" s="99" t="s">
        <v>110</v>
      </c>
      <c r="Y29" s="99" t="s">
        <v>111</v>
      </c>
      <c r="Z29" s="190" t="s">
        <v>337</v>
      </c>
      <c r="AA29" s="190" t="s">
        <v>27</v>
      </c>
      <c r="AB29" s="190" t="s">
        <v>338</v>
      </c>
      <c r="AC29" s="190" t="s">
        <v>30</v>
      </c>
      <c r="AD29" s="190" t="s">
        <v>339</v>
      </c>
    </row>
    <row r="30" spans="1:30" ht="16.5" thickBot="1" x14ac:dyDescent="0.3">
      <c r="A30" s="101" t="s">
        <v>28</v>
      </c>
      <c r="B30" s="46">
        <v>600</v>
      </c>
      <c r="C30" s="47">
        <v>725</v>
      </c>
      <c r="D30" s="47">
        <v>50</v>
      </c>
      <c r="E30" s="1"/>
      <c r="F30" s="12"/>
      <c r="G30" s="12"/>
      <c r="H30" s="12"/>
      <c r="I30" s="12"/>
      <c r="J30" s="12"/>
      <c r="K30" s="181"/>
      <c r="M30" s="102">
        <v>0</v>
      </c>
      <c r="N30" s="51">
        <v>0.25</v>
      </c>
      <c r="O30" s="47">
        <v>0</v>
      </c>
      <c r="P30" s="187">
        <f>N30*O30</f>
        <v>0</v>
      </c>
      <c r="Q30" s="187">
        <f t="shared" ref="Q30:Q37" si="1">P30</f>
        <v>0</v>
      </c>
      <c r="R30" s="187">
        <v>0</v>
      </c>
      <c r="S30" s="187">
        <f>SUM(Q30:R30)</f>
        <v>0</v>
      </c>
      <c r="T30" s="187">
        <f>(P30-S30)/12</f>
        <v>0</v>
      </c>
      <c r="W30" s="102">
        <v>0</v>
      </c>
      <c r="X30" s="51">
        <v>0.25</v>
      </c>
      <c r="Y30" s="47">
        <v>0</v>
      </c>
      <c r="Z30" s="187">
        <f>X30*Y30</f>
        <v>0</v>
      </c>
      <c r="AA30" s="187">
        <f t="shared" ref="AA30:AA37" si="2">Z30</f>
        <v>0</v>
      </c>
      <c r="AB30" s="187">
        <v>0</v>
      </c>
      <c r="AC30" s="187">
        <f>SUM(AA30:AB30)</f>
        <v>0</v>
      </c>
      <c r="AD30" s="187">
        <f>(Z30-AC30)/12</f>
        <v>0</v>
      </c>
    </row>
    <row r="31" spans="1:30" ht="16.5" thickBot="1" x14ac:dyDescent="0.3">
      <c r="A31" s="25"/>
      <c r="B31" s="1"/>
      <c r="C31" s="1"/>
      <c r="D31" s="1"/>
      <c r="E31" s="1"/>
      <c r="F31" s="12"/>
      <c r="G31" s="12"/>
      <c r="H31" s="12"/>
      <c r="I31" s="12"/>
      <c r="J31" s="12"/>
      <c r="K31" s="181"/>
      <c r="M31" s="103" t="s">
        <v>112</v>
      </c>
      <c r="N31" s="51">
        <v>0.12</v>
      </c>
      <c r="O31" s="47">
        <v>77</v>
      </c>
      <c r="P31" s="187">
        <f t="shared" ref="P31:P46" si="3">N31*O31</f>
        <v>9.24</v>
      </c>
      <c r="Q31" s="187">
        <f t="shared" si="1"/>
        <v>9.24</v>
      </c>
      <c r="R31" s="187">
        <v>0</v>
      </c>
      <c r="S31" s="187">
        <f t="shared" ref="S31:S46" si="4">SUM(Q31:R31)</f>
        <v>9.24</v>
      </c>
      <c r="T31" s="187">
        <f t="shared" ref="T31:T46" si="5">(P31-S31)/12</f>
        <v>0</v>
      </c>
      <c r="W31" s="103" t="s">
        <v>112</v>
      </c>
      <c r="X31" s="51">
        <v>0.12</v>
      </c>
      <c r="Y31" s="47">
        <v>77</v>
      </c>
      <c r="Z31" s="187">
        <f t="shared" ref="Z31:Z46" si="6">X31*Y31</f>
        <v>9.24</v>
      </c>
      <c r="AA31" s="187">
        <f t="shared" si="2"/>
        <v>9.24</v>
      </c>
      <c r="AB31" s="187">
        <v>0</v>
      </c>
      <c r="AC31" s="187">
        <f t="shared" ref="AC31:AC46" si="7">SUM(AA31:AB31)</f>
        <v>9.24</v>
      </c>
      <c r="AD31" s="187">
        <f t="shared" ref="AD31:AD46" si="8">(Z31-AC31)/12</f>
        <v>0</v>
      </c>
    </row>
    <row r="32" spans="1:30" ht="16.5" thickBot="1" x14ac:dyDescent="0.3">
      <c r="A32" s="362" t="s">
        <v>98</v>
      </c>
      <c r="B32" s="363"/>
      <c r="C32" s="1"/>
      <c r="D32" s="1"/>
      <c r="E32" s="1"/>
      <c r="F32" s="12"/>
      <c r="G32" s="12"/>
      <c r="H32" s="12"/>
      <c r="I32" s="12"/>
      <c r="J32" s="12"/>
      <c r="K32" s="181"/>
      <c r="M32" s="103" t="s">
        <v>113</v>
      </c>
      <c r="N32" s="51">
        <v>0.1</v>
      </c>
      <c r="O32" s="47">
        <v>136</v>
      </c>
      <c r="P32" s="187">
        <f t="shared" si="3"/>
        <v>13.600000000000001</v>
      </c>
      <c r="Q32" s="187">
        <f t="shared" si="1"/>
        <v>13.600000000000001</v>
      </c>
      <c r="R32" s="187">
        <v>0</v>
      </c>
      <c r="S32" s="187">
        <f t="shared" si="4"/>
        <v>13.600000000000001</v>
      </c>
      <c r="T32" s="187">
        <f t="shared" si="5"/>
        <v>0</v>
      </c>
      <c r="W32" s="103" t="s">
        <v>113</v>
      </c>
      <c r="X32" s="51">
        <v>0.1</v>
      </c>
      <c r="Y32" s="47">
        <v>136</v>
      </c>
      <c r="Z32" s="187">
        <f t="shared" si="6"/>
        <v>13.600000000000001</v>
      </c>
      <c r="AA32" s="187">
        <f t="shared" si="2"/>
        <v>13.600000000000001</v>
      </c>
      <c r="AB32" s="187">
        <v>0</v>
      </c>
      <c r="AC32" s="187">
        <f t="shared" si="7"/>
        <v>13.600000000000001</v>
      </c>
      <c r="AD32" s="187">
        <f t="shared" si="8"/>
        <v>0</v>
      </c>
    </row>
    <row r="33" spans="1:31" ht="16.5" thickBot="1" x14ac:dyDescent="0.3">
      <c r="A33" s="49" t="s">
        <v>27</v>
      </c>
      <c r="B33" s="47">
        <v>1000</v>
      </c>
      <c r="C33" s="1"/>
      <c r="D33" s="1"/>
      <c r="E33" s="1"/>
      <c r="F33" s="12"/>
      <c r="G33" s="12"/>
      <c r="H33" s="12"/>
      <c r="I33" s="12"/>
      <c r="J33" s="12"/>
      <c r="K33" s="181"/>
      <c r="M33" s="103" t="s">
        <v>114</v>
      </c>
      <c r="N33" s="51">
        <v>7.0000000000000007E-2</v>
      </c>
      <c r="O33" s="47">
        <v>263</v>
      </c>
      <c r="P33" s="187">
        <f t="shared" si="3"/>
        <v>18.41</v>
      </c>
      <c r="Q33" s="187">
        <f t="shared" si="1"/>
        <v>18.41</v>
      </c>
      <c r="R33" s="187">
        <v>0</v>
      </c>
      <c r="S33" s="187">
        <f t="shared" si="4"/>
        <v>18.41</v>
      </c>
      <c r="T33" s="187">
        <f t="shared" si="5"/>
        <v>0</v>
      </c>
      <c r="W33" s="103" t="s">
        <v>114</v>
      </c>
      <c r="X33" s="51">
        <v>7.0000000000000007E-2</v>
      </c>
      <c r="Y33" s="47">
        <v>263</v>
      </c>
      <c r="Z33" s="187">
        <f t="shared" si="6"/>
        <v>18.41</v>
      </c>
      <c r="AA33" s="187">
        <f t="shared" si="2"/>
        <v>18.41</v>
      </c>
      <c r="AB33" s="187">
        <v>0</v>
      </c>
      <c r="AC33" s="187">
        <f t="shared" si="7"/>
        <v>18.41</v>
      </c>
      <c r="AD33" s="187">
        <f t="shared" si="8"/>
        <v>0</v>
      </c>
    </row>
    <row r="34" spans="1:31" ht="16.5" thickBot="1" x14ac:dyDescent="0.3">
      <c r="A34" s="49" t="s">
        <v>99</v>
      </c>
      <c r="B34" s="50">
        <v>0.2</v>
      </c>
      <c r="C34" s="1"/>
      <c r="D34" s="1"/>
      <c r="E34" s="1"/>
      <c r="F34" s="12"/>
      <c r="G34" s="12"/>
      <c r="H34" s="12"/>
      <c r="I34" s="12"/>
      <c r="J34" s="12"/>
      <c r="K34" s="181"/>
      <c r="M34" s="103" t="s">
        <v>115</v>
      </c>
      <c r="N34" s="51">
        <v>0.09</v>
      </c>
      <c r="O34" s="47">
        <v>395</v>
      </c>
      <c r="P34" s="187">
        <f t="shared" si="3"/>
        <v>35.549999999999997</v>
      </c>
      <c r="Q34" s="187">
        <f t="shared" si="1"/>
        <v>35.549999999999997</v>
      </c>
      <c r="R34" s="187">
        <v>0</v>
      </c>
      <c r="S34" s="187">
        <f t="shared" si="4"/>
        <v>35.549999999999997</v>
      </c>
      <c r="T34" s="187">
        <f t="shared" si="5"/>
        <v>0</v>
      </c>
      <c r="W34" s="103" t="s">
        <v>115</v>
      </c>
      <c r="X34" s="51">
        <v>0.09</v>
      </c>
      <c r="Y34" s="47">
        <v>395</v>
      </c>
      <c r="Z34" s="187">
        <f t="shared" si="6"/>
        <v>35.549999999999997</v>
      </c>
      <c r="AA34" s="187">
        <f t="shared" si="2"/>
        <v>35.549999999999997</v>
      </c>
      <c r="AB34" s="187">
        <v>0</v>
      </c>
      <c r="AC34" s="187">
        <f t="shared" si="7"/>
        <v>35.549999999999997</v>
      </c>
      <c r="AD34" s="187">
        <f t="shared" si="8"/>
        <v>0</v>
      </c>
    </row>
    <row r="35" spans="1:31" ht="16.5" thickBot="1" x14ac:dyDescent="0.3">
      <c r="A35" s="49" t="s">
        <v>100</v>
      </c>
      <c r="B35" s="47">
        <v>3000</v>
      </c>
      <c r="C35" s="1"/>
      <c r="D35" s="1"/>
      <c r="E35" s="1"/>
      <c r="F35" s="12"/>
      <c r="G35" s="12"/>
      <c r="H35" s="12"/>
      <c r="I35" s="12"/>
      <c r="J35" s="12"/>
      <c r="K35" s="181"/>
      <c r="M35" s="103" t="s">
        <v>116</v>
      </c>
      <c r="N35" s="51">
        <v>7.0000000000000007E-2</v>
      </c>
      <c r="O35" s="47">
        <v>515</v>
      </c>
      <c r="P35" s="187">
        <f t="shared" si="3"/>
        <v>36.050000000000004</v>
      </c>
      <c r="Q35" s="187">
        <f t="shared" si="1"/>
        <v>36.050000000000004</v>
      </c>
      <c r="R35" s="187">
        <v>0</v>
      </c>
      <c r="S35" s="187">
        <f t="shared" si="4"/>
        <v>36.050000000000004</v>
      </c>
      <c r="T35" s="187">
        <f t="shared" si="5"/>
        <v>0</v>
      </c>
      <c r="W35" s="103" t="s">
        <v>116</v>
      </c>
      <c r="X35" s="51">
        <v>7.0000000000000007E-2</v>
      </c>
      <c r="Y35" s="47">
        <v>515</v>
      </c>
      <c r="Z35" s="187">
        <f t="shared" si="6"/>
        <v>36.050000000000004</v>
      </c>
      <c r="AA35" s="187">
        <f t="shared" si="2"/>
        <v>36.050000000000004</v>
      </c>
      <c r="AB35" s="187">
        <v>0</v>
      </c>
      <c r="AC35" s="187">
        <f t="shared" si="7"/>
        <v>36.050000000000004</v>
      </c>
      <c r="AD35" s="187">
        <f t="shared" si="8"/>
        <v>0</v>
      </c>
    </row>
    <row r="36" spans="1:31" ht="16.5" thickBot="1" x14ac:dyDescent="0.3">
      <c r="A36" s="25"/>
      <c r="B36" s="1"/>
      <c r="C36" s="1"/>
      <c r="D36" s="1"/>
      <c r="E36" s="1"/>
      <c r="F36" s="12"/>
      <c r="G36" s="12"/>
      <c r="H36" s="12"/>
      <c r="I36" s="12"/>
      <c r="J36" s="12"/>
      <c r="K36" s="181"/>
      <c r="M36" s="103" t="s">
        <v>117</v>
      </c>
      <c r="N36" s="51">
        <v>0.04</v>
      </c>
      <c r="O36" s="47">
        <v>749</v>
      </c>
      <c r="P36" s="187">
        <f t="shared" si="3"/>
        <v>29.96</v>
      </c>
      <c r="Q36" s="187">
        <f t="shared" si="1"/>
        <v>29.96</v>
      </c>
      <c r="R36" s="187">
        <v>0</v>
      </c>
      <c r="S36" s="187">
        <f t="shared" si="4"/>
        <v>29.96</v>
      </c>
      <c r="T36" s="187">
        <f t="shared" si="5"/>
        <v>0</v>
      </c>
      <c r="W36" s="103" t="s">
        <v>117</v>
      </c>
      <c r="X36" s="51">
        <v>0.04</v>
      </c>
      <c r="Y36" s="47">
        <v>749</v>
      </c>
      <c r="Z36" s="187">
        <f t="shared" si="6"/>
        <v>29.96</v>
      </c>
      <c r="AA36" s="187">
        <f t="shared" si="2"/>
        <v>29.96</v>
      </c>
      <c r="AB36" s="187">
        <v>0</v>
      </c>
      <c r="AC36" s="187">
        <f t="shared" si="7"/>
        <v>29.96</v>
      </c>
      <c r="AD36" s="187">
        <f t="shared" si="8"/>
        <v>0</v>
      </c>
    </row>
    <row r="37" spans="1:31" ht="16.5" thickBot="1" x14ac:dyDescent="0.3">
      <c r="A37" s="362" t="s">
        <v>101</v>
      </c>
      <c r="B37" s="363"/>
      <c r="C37" s="1"/>
      <c r="D37" s="1"/>
      <c r="E37" s="1"/>
      <c r="F37" s="12"/>
      <c r="G37" s="12"/>
      <c r="H37" s="12"/>
      <c r="I37" s="12"/>
      <c r="J37" s="12"/>
      <c r="K37" s="181"/>
      <c r="M37" s="103" t="s">
        <v>118</v>
      </c>
      <c r="N37" s="51">
        <v>0.04</v>
      </c>
      <c r="O37" s="47">
        <v>920</v>
      </c>
      <c r="P37" s="187">
        <f t="shared" si="3"/>
        <v>36.800000000000004</v>
      </c>
      <c r="Q37" s="187">
        <f t="shared" si="1"/>
        <v>36.800000000000004</v>
      </c>
      <c r="R37" s="187">
        <v>0</v>
      </c>
      <c r="S37" s="187">
        <f t="shared" si="4"/>
        <v>36.800000000000004</v>
      </c>
      <c r="T37" s="187">
        <f t="shared" si="5"/>
        <v>0</v>
      </c>
      <c r="W37" s="103" t="s">
        <v>118</v>
      </c>
      <c r="X37" s="51">
        <v>0.04</v>
      </c>
      <c r="Y37" s="47">
        <v>920</v>
      </c>
      <c r="Z37" s="187">
        <f t="shared" si="6"/>
        <v>36.800000000000004</v>
      </c>
      <c r="AA37" s="187">
        <f t="shared" si="2"/>
        <v>36.800000000000004</v>
      </c>
      <c r="AB37" s="187">
        <v>0</v>
      </c>
      <c r="AC37" s="187">
        <f t="shared" si="7"/>
        <v>36.800000000000004</v>
      </c>
      <c r="AD37" s="187">
        <f t="shared" si="8"/>
        <v>0</v>
      </c>
    </row>
    <row r="38" spans="1:31" ht="16.5" thickBot="1" x14ac:dyDescent="0.3">
      <c r="A38" s="49" t="s">
        <v>102</v>
      </c>
      <c r="B38" s="50">
        <v>0.9</v>
      </c>
      <c r="C38" s="1"/>
      <c r="D38" s="1"/>
      <c r="E38" s="1"/>
      <c r="F38" s="12"/>
      <c r="G38" s="12"/>
      <c r="H38" s="12"/>
      <c r="I38" s="12"/>
      <c r="J38" s="12"/>
      <c r="K38" s="181"/>
      <c r="M38" s="103" t="s">
        <v>119</v>
      </c>
      <c r="N38" s="51">
        <v>0.05</v>
      </c>
      <c r="O38" s="47">
        <v>1800</v>
      </c>
      <c r="P38" s="187">
        <f t="shared" si="3"/>
        <v>90</v>
      </c>
      <c r="Q38" s="187">
        <f t="shared" ref="Q38:Q46" si="9">1000*N38</f>
        <v>50</v>
      </c>
      <c r="R38" s="187">
        <f>(P38-Q38)*$B$34</f>
        <v>8</v>
      </c>
      <c r="S38" s="187">
        <f t="shared" si="4"/>
        <v>58</v>
      </c>
      <c r="T38" s="187">
        <f t="shared" si="5"/>
        <v>2.6666666666666665</v>
      </c>
      <c r="W38" s="103" t="s">
        <v>119</v>
      </c>
      <c r="X38" s="51">
        <v>0.05</v>
      </c>
      <c r="Y38" s="47">
        <v>1800</v>
      </c>
      <c r="Z38" s="187">
        <f t="shared" si="6"/>
        <v>90</v>
      </c>
      <c r="AA38" s="187">
        <f t="shared" ref="AA38:AA46" si="10">1000*X38</f>
        <v>50</v>
      </c>
      <c r="AB38" s="187">
        <f>(Z38-AA38)*$B$34</f>
        <v>8</v>
      </c>
      <c r="AC38" s="187">
        <f t="shared" si="7"/>
        <v>58</v>
      </c>
      <c r="AD38" s="187">
        <f t="shared" si="8"/>
        <v>2.6666666666666665</v>
      </c>
    </row>
    <row r="39" spans="1:31" ht="16.5" thickBot="1" x14ac:dyDescent="0.3">
      <c r="A39" s="49" t="s">
        <v>103</v>
      </c>
      <c r="B39" s="50">
        <v>0.1</v>
      </c>
      <c r="C39" s="1"/>
      <c r="D39" s="1"/>
      <c r="E39" s="1"/>
      <c r="F39" s="12"/>
      <c r="G39" s="12"/>
      <c r="H39" s="12"/>
      <c r="I39" s="12"/>
      <c r="J39" s="12"/>
      <c r="K39" s="181"/>
      <c r="M39" s="103" t="s">
        <v>120</v>
      </c>
      <c r="N39" s="51">
        <v>0.05</v>
      </c>
      <c r="O39" s="47">
        <v>2500</v>
      </c>
      <c r="P39" s="187">
        <f t="shared" si="3"/>
        <v>125</v>
      </c>
      <c r="Q39" s="187">
        <f t="shared" si="9"/>
        <v>50</v>
      </c>
      <c r="R39" s="187">
        <f>(P39-Q39)*$B$34</f>
        <v>15</v>
      </c>
      <c r="S39" s="187">
        <f t="shared" si="4"/>
        <v>65</v>
      </c>
      <c r="T39" s="187">
        <f t="shared" si="5"/>
        <v>5</v>
      </c>
      <c r="W39" s="103" t="s">
        <v>120</v>
      </c>
      <c r="X39" s="51">
        <v>0.05</v>
      </c>
      <c r="Y39" s="47">
        <v>2500</v>
      </c>
      <c r="Z39" s="187">
        <f t="shared" si="6"/>
        <v>125</v>
      </c>
      <c r="AA39" s="187">
        <f t="shared" si="10"/>
        <v>50</v>
      </c>
      <c r="AB39" s="187">
        <f>(Z39-AA39)*$B$34</f>
        <v>15</v>
      </c>
      <c r="AC39" s="187">
        <f t="shared" si="7"/>
        <v>65</v>
      </c>
      <c r="AD39" s="187">
        <f t="shared" si="8"/>
        <v>5</v>
      </c>
    </row>
    <row r="40" spans="1:31" ht="16.5" thickBot="1" x14ac:dyDescent="0.3">
      <c r="A40" s="25"/>
      <c r="B40" s="1"/>
      <c r="C40" s="1"/>
      <c r="D40" s="1"/>
      <c r="E40" s="1"/>
      <c r="F40" s="12"/>
      <c r="G40" s="12"/>
      <c r="H40" s="12"/>
      <c r="I40" s="12"/>
      <c r="J40" s="12"/>
      <c r="K40" s="181"/>
      <c r="M40" s="103" t="s">
        <v>121</v>
      </c>
      <c r="N40" s="51">
        <v>0.04</v>
      </c>
      <c r="O40" s="47">
        <v>6540</v>
      </c>
      <c r="P40" s="187">
        <f t="shared" si="3"/>
        <v>261.60000000000002</v>
      </c>
      <c r="Q40" s="187">
        <f t="shared" si="9"/>
        <v>40</v>
      </c>
      <c r="R40" s="187">
        <f>(P40-Q40)*$B$34</f>
        <v>44.320000000000007</v>
      </c>
      <c r="S40" s="187">
        <f t="shared" si="4"/>
        <v>84.320000000000007</v>
      </c>
      <c r="T40" s="187">
        <f t="shared" si="5"/>
        <v>14.773333333333335</v>
      </c>
      <c r="W40" s="103" t="s">
        <v>121</v>
      </c>
      <c r="X40" s="51">
        <v>0.04</v>
      </c>
      <c r="Y40" s="47">
        <v>6540</v>
      </c>
      <c r="Z40" s="187">
        <f t="shared" si="6"/>
        <v>261.60000000000002</v>
      </c>
      <c r="AA40" s="187">
        <f t="shared" si="10"/>
        <v>40</v>
      </c>
      <c r="AB40" s="187">
        <f>(Z40-AA40)*$B$34</f>
        <v>44.320000000000007</v>
      </c>
      <c r="AC40" s="187">
        <f t="shared" si="7"/>
        <v>84.320000000000007</v>
      </c>
      <c r="AD40" s="187">
        <f t="shared" si="8"/>
        <v>14.773333333333335</v>
      </c>
    </row>
    <row r="41" spans="1:31" ht="16.5" thickBot="1" x14ac:dyDescent="0.3">
      <c r="A41" s="362" t="s">
        <v>104</v>
      </c>
      <c r="B41" s="363"/>
      <c r="C41" s="1"/>
      <c r="D41" s="1"/>
      <c r="E41" s="1"/>
      <c r="F41" s="12"/>
      <c r="G41" s="12"/>
      <c r="H41" s="12"/>
      <c r="I41" s="12"/>
      <c r="J41" s="12"/>
      <c r="K41" s="181"/>
      <c r="M41" s="103" t="s">
        <v>122</v>
      </c>
      <c r="N41" s="51">
        <v>0.03</v>
      </c>
      <c r="O41" s="47">
        <v>11500</v>
      </c>
      <c r="P41" s="187">
        <f t="shared" si="3"/>
        <v>345</v>
      </c>
      <c r="Q41" s="187">
        <f t="shared" si="9"/>
        <v>30</v>
      </c>
      <c r="R41" s="187">
        <f>2000*N41</f>
        <v>60</v>
      </c>
      <c r="S41" s="187">
        <f t="shared" si="4"/>
        <v>90</v>
      </c>
      <c r="T41" s="187">
        <f t="shared" si="5"/>
        <v>21.25</v>
      </c>
      <c r="W41" s="103" t="s">
        <v>122</v>
      </c>
      <c r="X41" s="51">
        <v>0.03</v>
      </c>
      <c r="Y41" s="47">
        <v>11500</v>
      </c>
      <c r="Z41" s="187">
        <f>X41*Y41</f>
        <v>345</v>
      </c>
      <c r="AA41" s="187">
        <f t="shared" si="10"/>
        <v>30</v>
      </c>
      <c r="AB41" s="187">
        <f>2100*X41</f>
        <v>63</v>
      </c>
      <c r="AC41" s="187">
        <f>SUM(AA41:AB41)</f>
        <v>93</v>
      </c>
      <c r="AD41" s="187">
        <f>(Z41-AC41)/12</f>
        <v>21</v>
      </c>
    </row>
    <row r="42" spans="1:31" ht="16.5" thickBot="1" x14ac:dyDescent="0.3">
      <c r="A42" s="49" t="s">
        <v>105</v>
      </c>
      <c r="B42" s="50">
        <v>0.04</v>
      </c>
      <c r="C42" s="1"/>
      <c r="D42" s="1"/>
      <c r="E42" s="1"/>
      <c r="F42" s="12"/>
      <c r="G42" s="12"/>
      <c r="H42" s="12"/>
      <c r="I42" s="12"/>
      <c r="J42" s="12"/>
      <c r="K42" s="181"/>
      <c r="M42" s="103" t="s">
        <v>123</v>
      </c>
      <c r="N42" s="51">
        <v>2.4E-2</v>
      </c>
      <c r="O42" s="47">
        <v>16600</v>
      </c>
      <c r="P42" s="187">
        <f t="shared" si="3"/>
        <v>398.40000000000003</v>
      </c>
      <c r="Q42" s="187">
        <f t="shared" si="9"/>
        <v>24</v>
      </c>
      <c r="R42" s="187">
        <f>2000*N42</f>
        <v>48</v>
      </c>
      <c r="S42" s="187">
        <f t="shared" si="4"/>
        <v>72</v>
      </c>
      <c r="T42" s="187">
        <f t="shared" si="5"/>
        <v>27.200000000000003</v>
      </c>
      <c r="W42" s="103" t="s">
        <v>123</v>
      </c>
      <c r="X42" s="51">
        <v>2.4E-2</v>
      </c>
      <c r="Y42" s="47">
        <v>16600</v>
      </c>
      <c r="Z42" s="187">
        <f t="shared" si="6"/>
        <v>398.40000000000003</v>
      </c>
      <c r="AA42" s="187">
        <f t="shared" si="10"/>
        <v>24</v>
      </c>
      <c r="AB42" s="187">
        <f>2000*X42</f>
        <v>48</v>
      </c>
      <c r="AC42" s="187">
        <f t="shared" si="7"/>
        <v>72</v>
      </c>
      <c r="AD42" s="187">
        <f t="shared" si="8"/>
        <v>27.200000000000003</v>
      </c>
    </row>
    <row r="43" spans="1:31" ht="16.5" thickBot="1" x14ac:dyDescent="0.3">
      <c r="A43" s="49" t="s">
        <v>106</v>
      </c>
      <c r="B43" s="50">
        <v>0.12</v>
      </c>
      <c r="C43" s="1"/>
      <c r="D43" s="1"/>
      <c r="E43" s="1"/>
      <c r="F43" s="12"/>
      <c r="G43" s="12"/>
      <c r="H43" s="12"/>
      <c r="I43" s="12"/>
      <c r="J43" s="12"/>
      <c r="K43" s="181"/>
      <c r="M43" s="103" t="s">
        <v>124</v>
      </c>
      <c r="N43" s="51">
        <v>0.02</v>
      </c>
      <c r="O43" s="47">
        <v>27770</v>
      </c>
      <c r="P43" s="187">
        <f t="shared" si="3"/>
        <v>555.4</v>
      </c>
      <c r="Q43" s="187">
        <f t="shared" si="9"/>
        <v>20</v>
      </c>
      <c r="R43" s="187">
        <f t="shared" ref="R43:R46" si="11">2000*N43</f>
        <v>40</v>
      </c>
      <c r="S43" s="187">
        <f t="shared" si="4"/>
        <v>60</v>
      </c>
      <c r="T43" s="187">
        <f t="shared" si="5"/>
        <v>41.283333333333331</v>
      </c>
      <c r="W43" s="103" t="s">
        <v>124</v>
      </c>
      <c r="X43" s="51">
        <v>0.02</v>
      </c>
      <c r="Y43" s="47">
        <v>27770</v>
      </c>
      <c r="Z43" s="187">
        <f t="shared" si="6"/>
        <v>555.4</v>
      </c>
      <c r="AA43" s="187">
        <f t="shared" si="10"/>
        <v>20</v>
      </c>
      <c r="AB43" s="187">
        <f t="shared" ref="AB43:AB46" si="12">2000*X43</f>
        <v>40</v>
      </c>
      <c r="AC43" s="187">
        <f t="shared" si="7"/>
        <v>60</v>
      </c>
      <c r="AD43" s="187">
        <f t="shared" si="8"/>
        <v>41.283333333333331</v>
      </c>
    </row>
    <row r="44" spans="1:31" ht="16.5" thickBot="1" x14ac:dyDescent="0.3">
      <c r="A44" s="49" t="s">
        <v>107</v>
      </c>
      <c r="B44" s="50">
        <v>0.04</v>
      </c>
      <c r="C44" s="1"/>
      <c r="D44" s="1"/>
      <c r="E44" s="1"/>
      <c r="F44" s="12"/>
      <c r="G44" s="12"/>
      <c r="H44" s="12"/>
      <c r="I44" s="12"/>
      <c r="J44" s="12"/>
      <c r="K44" s="181"/>
      <c r="M44" s="103" t="s">
        <v>125</v>
      </c>
      <c r="N44" s="51">
        <v>3.0000000000000001E-3</v>
      </c>
      <c r="O44" s="47">
        <v>75000</v>
      </c>
      <c r="P44" s="187">
        <f t="shared" si="3"/>
        <v>225</v>
      </c>
      <c r="Q44" s="187">
        <f t="shared" si="9"/>
        <v>3</v>
      </c>
      <c r="R44" s="187">
        <f t="shared" si="11"/>
        <v>6</v>
      </c>
      <c r="S44" s="187">
        <f t="shared" si="4"/>
        <v>9</v>
      </c>
      <c r="T44" s="187">
        <f t="shared" si="5"/>
        <v>18</v>
      </c>
      <c r="W44" s="103" t="s">
        <v>125</v>
      </c>
      <c r="X44" s="51">
        <v>3.0000000000000001E-3</v>
      </c>
      <c r="Y44" s="47">
        <v>75000</v>
      </c>
      <c r="Z44" s="187">
        <f t="shared" si="6"/>
        <v>225</v>
      </c>
      <c r="AA44" s="187">
        <f t="shared" si="10"/>
        <v>3</v>
      </c>
      <c r="AB44" s="187">
        <f t="shared" si="12"/>
        <v>6</v>
      </c>
      <c r="AC44" s="187">
        <f t="shared" si="7"/>
        <v>9</v>
      </c>
      <c r="AD44" s="187">
        <f t="shared" si="8"/>
        <v>18</v>
      </c>
    </row>
    <row r="45" spans="1:31" ht="16.5" thickBot="1" x14ac:dyDescent="0.3">
      <c r="A45" s="25"/>
      <c r="B45" s="1"/>
      <c r="C45" s="1"/>
      <c r="D45" s="1"/>
      <c r="E45" s="1"/>
      <c r="F45" s="12"/>
      <c r="G45" s="12"/>
      <c r="H45" s="12"/>
      <c r="I45" s="12"/>
      <c r="J45" s="12"/>
      <c r="K45" s="181"/>
      <c r="M45" s="103" t="s">
        <v>126</v>
      </c>
      <c r="N45" s="51">
        <v>2E-3</v>
      </c>
      <c r="O45" s="47">
        <v>129995</v>
      </c>
      <c r="P45" s="187">
        <f t="shared" si="3"/>
        <v>259.99</v>
      </c>
      <c r="Q45" s="187">
        <f t="shared" si="9"/>
        <v>2</v>
      </c>
      <c r="R45" s="187">
        <f t="shared" si="11"/>
        <v>4</v>
      </c>
      <c r="S45" s="187">
        <f t="shared" si="4"/>
        <v>6</v>
      </c>
      <c r="T45" s="187">
        <f t="shared" si="5"/>
        <v>21.165833333333335</v>
      </c>
      <c r="W45" s="103" t="s">
        <v>126</v>
      </c>
      <c r="X45" s="51">
        <v>2E-3</v>
      </c>
      <c r="Y45" s="47">
        <v>129995</v>
      </c>
      <c r="Z45" s="187">
        <f t="shared" si="6"/>
        <v>259.99</v>
      </c>
      <c r="AA45" s="187">
        <f t="shared" si="10"/>
        <v>2</v>
      </c>
      <c r="AB45" s="187">
        <f t="shared" si="12"/>
        <v>4</v>
      </c>
      <c r="AC45" s="187">
        <f t="shared" si="7"/>
        <v>6</v>
      </c>
      <c r="AD45" s="187">
        <f t="shared" si="8"/>
        <v>21.165833333333335</v>
      </c>
    </row>
    <row r="46" spans="1:31" ht="16.5" thickBot="1" x14ac:dyDescent="0.3">
      <c r="A46" s="362" t="s">
        <v>108</v>
      </c>
      <c r="B46" s="364"/>
      <c r="C46" s="363"/>
      <c r="D46" s="1"/>
      <c r="E46" s="1"/>
      <c r="F46" s="12"/>
      <c r="G46" s="12"/>
      <c r="H46" s="12"/>
      <c r="I46" s="12"/>
      <c r="J46" s="12"/>
      <c r="K46" s="181"/>
      <c r="M46" s="103" t="s">
        <v>127</v>
      </c>
      <c r="N46" s="51">
        <v>1E-3</v>
      </c>
      <c r="O46" s="47">
        <v>560000</v>
      </c>
      <c r="P46" s="187">
        <f t="shared" si="3"/>
        <v>560</v>
      </c>
      <c r="Q46" s="187">
        <f t="shared" si="9"/>
        <v>1</v>
      </c>
      <c r="R46" s="187">
        <f t="shared" si="11"/>
        <v>2</v>
      </c>
      <c r="S46" s="187">
        <f t="shared" si="4"/>
        <v>3</v>
      </c>
      <c r="T46" s="187">
        <f t="shared" si="5"/>
        <v>46.416666666666664</v>
      </c>
      <c r="W46" s="103" t="s">
        <v>127</v>
      </c>
      <c r="X46" s="51">
        <v>1E-3</v>
      </c>
      <c r="Y46" s="47">
        <v>560000</v>
      </c>
      <c r="Z46" s="187">
        <f t="shared" si="6"/>
        <v>560</v>
      </c>
      <c r="AA46" s="187">
        <f t="shared" si="10"/>
        <v>1</v>
      </c>
      <c r="AB46" s="187">
        <f t="shared" si="12"/>
        <v>2</v>
      </c>
      <c r="AC46" s="187">
        <f t="shared" si="7"/>
        <v>3</v>
      </c>
      <c r="AD46" s="187">
        <f t="shared" si="8"/>
        <v>46.416666666666664</v>
      </c>
    </row>
    <row r="47" spans="1:31" ht="32.25" thickBot="1" x14ac:dyDescent="0.3">
      <c r="A47" s="100" t="s">
        <v>109</v>
      </c>
      <c r="B47" s="99" t="s">
        <v>110</v>
      </c>
      <c r="C47" s="99" t="s">
        <v>111</v>
      </c>
      <c r="D47" s="1"/>
      <c r="E47" s="1"/>
      <c r="F47" s="12"/>
      <c r="G47" s="12"/>
      <c r="H47" s="12"/>
      <c r="I47" s="12"/>
      <c r="J47" s="12"/>
      <c r="K47" s="181"/>
      <c r="T47" s="188">
        <f>SUM(T30:T46)</f>
        <v>197.75583333333333</v>
      </c>
      <c r="U47" s="191">
        <f>T47*12</f>
        <v>2373.0699999999997</v>
      </c>
      <c r="AD47" s="188">
        <f>SUM(AD30:AD46)</f>
        <v>197.50583333333333</v>
      </c>
      <c r="AE47" s="191"/>
    </row>
    <row r="48" spans="1:31" ht="16.5" thickBot="1" x14ac:dyDescent="0.3">
      <c r="A48" s="102">
        <v>0</v>
      </c>
      <c r="B48" s="51">
        <v>0.25</v>
      </c>
      <c r="C48" s="47">
        <v>0</v>
      </c>
      <c r="D48" s="1"/>
      <c r="E48" s="1"/>
      <c r="F48" s="12"/>
      <c r="G48" s="12"/>
      <c r="H48" s="12"/>
      <c r="I48" s="12"/>
      <c r="J48" s="12"/>
      <c r="K48" s="181"/>
    </row>
    <row r="49" spans="1:26" ht="16.5" thickBot="1" x14ac:dyDescent="0.3">
      <c r="A49" s="103" t="s">
        <v>112</v>
      </c>
      <c r="B49" s="51">
        <v>0.12</v>
      </c>
      <c r="C49" s="47">
        <v>77</v>
      </c>
      <c r="D49" s="1"/>
      <c r="E49" s="1"/>
      <c r="F49" s="12"/>
      <c r="G49" s="12"/>
      <c r="H49" s="12"/>
      <c r="I49" s="12"/>
      <c r="J49" s="12"/>
      <c r="K49" s="181"/>
    </row>
    <row r="50" spans="1:26" ht="16.5" thickBot="1" x14ac:dyDescent="0.3">
      <c r="A50" s="103" t="s">
        <v>113</v>
      </c>
      <c r="B50" s="51">
        <v>0.1</v>
      </c>
      <c r="C50" s="47">
        <v>136</v>
      </c>
      <c r="D50" s="1"/>
      <c r="E50" s="1"/>
      <c r="F50" s="12"/>
      <c r="G50" s="12"/>
      <c r="H50" s="12"/>
      <c r="I50" s="12"/>
      <c r="J50" s="12"/>
      <c r="K50" s="181"/>
      <c r="L50" s="182" t="s">
        <v>340</v>
      </c>
      <c r="W50" s="182" t="s">
        <v>340</v>
      </c>
    </row>
    <row r="51" spans="1:26" ht="16.5" thickBot="1" x14ac:dyDescent="0.3">
      <c r="A51" s="103" t="s">
        <v>114</v>
      </c>
      <c r="B51" s="51">
        <v>7.0000000000000007E-2</v>
      </c>
      <c r="C51" s="47">
        <v>263</v>
      </c>
      <c r="D51" s="1"/>
      <c r="E51" s="1"/>
      <c r="F51" s="12"/>
      <c r="G51" s="12"/>
      <c r="H51" s="12"/>
      <c r="I51" s="12"/>
      <c r="J51" s="12"/>
      <c r="K51" s="181"/>
    </row>
    <row r="52" spans="1:26" ht="16.5" thickBot="1" x14ac:dyDescent="0.3">
      <c r="A52" s="103" t="s">
        <v>115</v>
      </c>
      <c r="B52" s="51">
        <v>0.09</v>
      </c>
      <c r="C52" s="47">
        <v>395</v>
      </c>
      <c r="D52" s="1"/>
      <c r="E52" s="1"/>
      <c r="F52" s="12"/>
      <c r="G52" s="12"/>
      <c r="H52" s="12"/>
      <c r="I52" s="12"/>
      <c r="J52" s="12"/>
      <c r="K52" s="181"/>
      <c r="M52" s="2" t="s">
        <v>341</v>
      </c>
      <c r="N52" s="187">
        <f>R23</f>
        <v>246.47083333333333</v>
      </c>
      <c r="O52" s="192">
        <f>B38</f>
        <v>0.9</v>
      </c>
      <c r="X52" s="2" t="s">
        <v>341</v>
      </c>
      <c r="Y52" s="187">
        <f>R23</f>
        <v>246.47083333333333</v>
      </c>
      <c r="Z52" s="192">
        <f>B38</f>
        <v>0.9</v>
      </c>
    </row>
    <row r="53" spans="1:26" ht="16.5" thickBot="1" x14ac:dyDescent="0.3">
      <c r="A53" s="103" t="s">
        <v>116</v>
      </c>
      <c r="B53" s="51">
        <v>7.0000000000000007E-2</v>
      </c>
      <c r="C53" s="47">
        <v>515</v>
      </c>
      <c r="D53" s="1"/>
      <c r="E53" s="1"/>
      <c r="F53" s="12"/>
      <c r="G53" s="12"/>
      <c r="H53" s="12"/>
      <c r="I53" s="12"/>
      <c r="J53" s="12"/>
      <c r="K53" s="181"/>
      <c r="M53" s="2" t="s">
        <v>342</v>
      </c>
      <c r="N53" s="187">
        <f>T47</f>
        <v>197.75583333333333</v>
      </c>
      <c r="O53" s="192">
        <f>B39</f>
        <v>0.1</v>
      </c>
      <c r="X53" s="2" t="s">
        <v>342</v>
      </c>
      <c r="Y53" s="187">
        <f>AD47</f>
        <v>197.50583333333333</v>
      </c>
      <c r="Z53" s="192">
        <f>B39</f>
        <v>0.1</v>
      </c>
    </row>
    <row r="54" spans="1:26" ht="16.5" thickBot="1" x14ac:dyDescent="0.3">
      <c r="A54" s="103" t="s">
        <v>117</v>
      </c>
      <c r="B54" s="51">
        <v>0.04</v>
      </c>
      <c r="C54" s="47">
        <v>749</v>
      </c>
      <c r="D54" s="1"/>
      <c r="E54" s="1"/>
      <c r="F54" s="12"/>
      <c r="G54" s="12"/>
      <c r="H54" s="12"/>
      <c r="I54" s="12"/>
      <c r="J54" s="12"/>
      <c r="K54" s="181"/>
      <c r="M54" s="2" t="s">
        <v>30</v>
      </c>
      <c r="N54" s="187">
        <f>SUMPRODUCT(N52:N53,O52:O53)</f>
        <v>241.59933333333333</v>
      </c>
      <c r="X54" s="2" t="s">
        <v>30</v>
      </c>
      <c r="Y54" s="187">
        <f>SUMPRODUCT(Y52:Y53,Z52:Z53)</f>
        <v>241.57433333333333</v>
      </c>
    </row>
    <row r="55" spans="1:26" ht="16.5" thickBot="1" x14ac:dyDescent="0.3">
      <c r="A55" s="103" t="s">
        <v>118</v>
      </c>
      <c r="B55" s="51">
        <v>0.04</v>
      </c>
      <c r="C55" s="47">
        <v>920</v>
      </c>
      <c r="D55" s="1"/>
      <c r="E55" s="1"/>
      <c r="F55" s="12"/>
      <c r="G55" s="12"/>
      <c r="H55" s="12"/>
      <c r="I55" s="12"/>
      <c r="J55" s="12"/>
      <c r="K55" s="181"/>
    </row>
    <row r="56" spans="1:26" ht="16.5" thickBot="1" x14ac:dyDescent="0.3">
      <c r="A56" s="103" t="s">
        <v>119</v>
      </c>
      <c r="B56" s="51">
        <v>0.05</v>
      </c>
      <c r="C56" s="47">
        <v>1800</v>
      </c>
      <c r="D56" s="1"/>
      <c r="E56" s="1"/>
      <c r="F56" s="12"/>
      <c r="G56" s="12"/>
      <c r="H56" s="12"/>
      <c r="I56" s="12"/>
      <c r="J56" s="12"/>
      <c r="K56" s="181"/>
    </row>
    <row r="57" spans="1:26" ht="16.5" thickBot="1" x14ac:dyDescent="0.3">
      <c r="A57" s="103" t="s">
        <v>120</v>
      </c>
      <c r="B57" s="51">
        <v>0.05</v>
      </c>
      <c r="C57" s="47">
        <v>2500</v>
      </c>
      <c r="D57" s="1"/>
      <c r="E57" s="1"/>
      <c r="F57" s="12"/>
      <c r="G57" s="12"/>
      <c r="H57" s="12"/>
      <c r="I57" s="12"/>
      <c r="J57" s="12"/>
      <c r="K57" s="181"/>
      <c r="L57" s="182" t="s">
        <v>343</v>
      </c>
      <c r="W57" s="182" t="s">
        <v>343</v>
      </c>
    </row>
    <row r="58" spans="1:26" ht="16.5" thickBot="1" x14ac:dyDescent="0.3">
      <c r="A58" s="103" t="s">
        <v>121</v>
      </c>
      <c r="B58" s="51">
        <v>0.04</v>
      </c>
      <c r="C58" s="47">
        <v>6540</v>
      </c>
      <c r="D58" s="1"/>
      <c r="E58" s="1"/>
      <c r="F58" s="12"/>
      <c r="G58" s="12"/>
      <c r="H58" s="12"/>
      <c r="I58" s="12"/>
      <c r="J58" s="12"/>
      <c r="K58" s="181"/>
    </row>
    <row r="59" spans="1:26" ht="16.5" thickBot="1" x14ac:dyDescent="0.3">
      <c r="A59" s="103" t="s">
        <v>122</v>
      </c>
      <c r="B59" s="51">
        <v>0.03</v>
      </c>
      <c r="C59" s="47">
        <v>11500</v>
      </c>
      <c r="D59" s="1"/>
      <c r="E59" s="1"/>
      <c r="F59" s="12"/>
      <c r="G59" s="12"/>
      <c r="H59" s="12"/>
      <c r="I59" s="12"/>
      <c r="J59" s="12"/>
      <c r="K59" s="181"/>
      <c r="M59" s="2" t="s">
        <v>344</v>
      </c>
      <c r="N59" s="187">
        <f>N54</f>
        <v>241.59933333333333</v>
      </c>
      <c r="X59" s="2" t="s">
        <v>344</v>
      </c>
      <c r="Y59" s="187">
        <f>Y54</f>
        <v>241.57433333333333</v>
      </c>
    </row>
    <row r="60" spans="1:26" ht="16.5" thickBot="1" x14ac:dyDescent="0.3">
      <c r="A60" s="103" t="s">
        <v>123</v>
      </c>
      <c r="B60" s="51">
        <v>2.4E-2</v>
      </c>
      <c r="C60" s="47">
        <v>16600</v>
      </c>
      <c r="D60" s="1"/>
      <c r="E60" s="1"/>
      <c r="F60" s="12"/>
      <c r="G60" s="12"/>
      <c r="H60" s="12"/>
      <c r="I60" s="12"/>
      <c r="J60" s="12"/>
      <c r="K60" s="181"/>
      <c r="M60" s="2" t="s">
        <v>345</v>
      </c>
      <c r="N60" s="192">
        <f>SUM(B42:B44)</f>
        <v>0.2</v>
      </c>
      <c r="X60" s="2" t="s">
        <v>345</v>
      </c>
      <c r="Y60" s="192">
        <f>SUM(B42:B44)</f>
        <v>0.2</v>
      </c>
    </row>
    <row r="61" spans="1:26" ht="16.5" thickBot="1" x14ac:dyDescent="0.3">
      <c r="A61" s="103" t="s">
        <v>124</v>
      </c>
      <c r="B61" s="51">
        <v>0.02</v>
      </c>
      <c r="C61" s="47">
        <v>27770</v>
      </c>
      <c r="D61" s="1"/>
      <c r="E61" s="1"/>
      <c r="F61" s="12"/>
      <c r="G61" s="12"/>
      <c r="H61" s="12"/>
      <c r="I61" s="12"/>
      <c r="J61" s="12"/>
      <c r="K61" s="181"/>
    </row>
    <row r="62" spans="1:26" ht="16.5" thickBot="1" x14ac:dyDescent="0.3">
      <c r="A62" s="103" t="s">
        <v>125</v>
      </c>
      <c r="B62" s="51">
        <v>3.0000000000000001E-3</v>
      </c>
      <c r="C62" s="47">
        <v>75000</v>
      </c>
      <c r="D62" s="1"/>
      <c r="E62" s="1"/>
      <c r="F62" s="12"/>
      <c r="G62" s="12"/>
      <c r="H62" s="12"/>
      <c r="I62" s="12"/>
      <c r="J62" s="12"/>
      <c r="K62" s="181"/>
      <c r="M62" s="2" t="s">
        <v>343</v>
      </c>
      <c r="N62" s="188">
        <f>N59/(1-N60)</f>
        <v>301.99916666666667</v>
      </c>
      <c r="X62" s="2" t="s">
        <v>343</v>
      </c>
      <c r="Y62" s="188">
        <f>Y59/(1-Y60)</f>
        <v>301.96791666666667</v>
      </c>
    </row>
    <row r="63" spans="1:26" ht="16.5" thickBot="1" x14ac:dyDescent="0.3">
      <c r="A63" s="103" t="s">
        <v>126</v>
      </c>
      <c r="B63" s="51">
        <v>2E-3</v>
      </c>
      <c r="C63" s="47">
        <v>129995</v>
      </c>
      <c r="D63" s="1"/>
      <c r="E63" s="1"/>
      <c r="F63" s="12"/>
      <c r="G63" s="12"/>
      <c r="H63" s="12"/>
      <c r="I63" s="12"/>
      <c r="J63" s="12"/>
      <c r="K63" s="181"/>
    </row>
    <row r="64" spans="1:26" ht="16.5" thickBot="1" x14ac:dyDescent="0.3">
      <c r="A64" s="103" t="s">
        <v>127</v>
      </c>
      <c r="B64" s="51">
        <v>1E-3</v>
      </c>
      <c r="C64" s="47">
        <v>560000</v>
      </c>
      <c r="D64" s="1"/>
      <c r="E64" s="1"/>
      <c r="F64" s="12"/>
      <c r="G64" s="12"/>
      <c r="H64" s="12"/>
      <c r="I64" s="12"/>
      <c r="J64" s="12"/>
      <c r="K64" s="181"/>
    </row>
    <row r="65" spans="1:11" x14ac:dyDescent="0.25">
      <c r="A65" s="3"/>
      <c r="B65" s="3"/>
      <c r="C65" s="3"/>
      <c r="D65" s="3"/>
      <c r="E65" s="3"/>
      <c r="F65" s="27"/>
      <c r="G65" s="27"/>
      <c r="H65" s="27"/>
      <c r="I65" s="27"/>
      <c r="J65" s="27"/>
      <c r="K65" s="181"/>
    </row>
    <row r="66" spans="1:11" x14ac:dyDescent="0.25">
      <c r="A66" s="25" t="s">
        <v>128</v>
      </c>
      <c r="B66" s="25" t="s">
        <v>237</v>
      </c>
      <c r="C66" s="1"/>
      <c r="D66" s="1"/>
      <c r="E66" s="1"/>
      <c r="F66" s="12"/>
      <c r="G66" s="12"/>
      <c r="H66" s="12"/>
      <c r="I66" s="12"/>
      <c r="J66" s="12"/>
      <c r="K66" s="181"/>
    </row>
    <row r="67" spans="1:11" x14ac:dyDescent="0.25">
      <c r="K67" s="181"/>
    </row>
    <row r="68" spans="1:11" x14ac:dyDescent="0.25">
      <c r="A68" s="2" t="s">
        <v>0</v>
      </c>
      <c r="K68" s="181"/>
    </row>
    <row r="69" spans="1:11" x14ac:dyDescent="0.25">
      <c r="K69" s="181"/>
    </row>
    <row r="70" spans="1:11" x14ac:dyDescent="0.25">
      <c r="K70" s="181"/>
    </row>
    <row r="71" spans="1:11" x14ac:dyDescent="0.25">
      <c r="K71" s="181"/>
    </row>
    <row r="72" spans="1:11" x14ac:dyDescent="0.25">
      <c r="K72" s="181"/>
    </row>
    <row r="73" spans="1:11" x14ac:dyDescent="0.25">
      <c r="K73" s="181"/>
    </row>
    <row r="74" spans="1:11" x14ac:dyDescent="0.25">
      <c r="K74" s="181"/>
    </row>
    <row r="75" spans="1:11" x14ac:dyDescent="0.25">
      <c r="K75" s="181"/>
    </row>
    <row r="76" spans="1:11" x14ac:dyDescent="0.25">
      <c r="K76" s="181"/>
    </row>
    <row r="77" spans="1:11" x14ac:dyDescent="0.25">
      <c r="K77" s="181"/>
    </row>
    <row r="78" spans="1:11" x14ac:dyDescent="0.25">
      <c r="K78" s="181"/>
    </row>
    <row r="79" spans="1:11" x14ac:dyDescent="0.25">
      <c r="A79" s="4" t="s">
        <v>25</v>
      </c>
      <c r="B79" s="1"/>
      <c r="C79" s="1"/>
      <c r="D79" s="1"/>
      <c r="E79" s="1"/>
      <c r="F79" s="1"/>
      <c r="G79" s="1"/>
      <c r="H79" s="1"/>
      <c r="I79" s="1"/>
      <c r="J79" s="1"/>
      <c r="K79" s="181"/>
    </row>
    <row r="80" spans="1:11" x14ac:dyDescent="0.25">
      <c r="K80" s="181"/>
    </row>
    <row r="81" spans="1:11" x14ac:dyDescent="0.25">
      <c r="A81" s="3" t="s">
        <v>2</v>
      </c>
      <c r="B81" s="3"/>
      <c r="C81" s="3"/>
      <c r="D81" s="3"/>
      <c r="E81" s="3"/>
      <c r="F81" s="3"/>
      <c r="G81" s="3"/>
      <c r="H81" s="3"/>
      <c r="I81" s="3"/>
      <c r="J81" s="3"/>
      <c r="K81" s="181"/>
    </row>
  </sheetData>
  <mergeCells count="8">
    <mergeCell ref="W28:Y28"/>
    <mergeCell ref="A32:B32"/>
    <mergeCell ref="A37:B37"/>
    <mergeCell ref="A41:B41"/>
    <mergeCell ref="A46:C46"/>
    <mergeCell ref="M5:P5"/>
    <mergeCell ref="A13:D13"/>
    <mergeCell ref="M28:O2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0E050-A732-B548-9E6F-71BDA15D5C8D}">
  <dimension ref="A1:W114"/>
  <sheetViews>
    <sheetView workbookViewId="0"/>
  </sheetViews>
  <sheetFormatPr defaultColWidth="9.140625" defaultRowHeight="15.75" x14ac:dyDescent="0.25"/>
  <cols>
    <col min="1" max="1" width="53.7109375" style="2" customWidth="1"/>
    <col min="2" max="2" width="16.28515625" style="2" customWidth="1"/>
    <col min="3" max="3" width="14.7109375" style="2" customWidth="1"/>
    <col min="4" max="4" width="11.7109375" style="2" customWidth="1"/>
    <col min="5" max="5" width="12" style="2" bestFit="1" customWidth="1"/>
    <col min="6" max="6" width="14.7109375" style="2" bestFit="1" customWidth="1"/>
    <col min="7" max="7" width="22" style="2" bestFit="1" customWidth="1"/>
    <col min="8" max="10" width="13.42578125" style="2" customWidth="1"/>
    <col min="11" max="11" width="9.140625" style="204"/>
    <col min="12" max="12" width="3.28515625" style="2" customWidth="1"/>
    <col min="13" max="13" width="55.28515625" style="2" customWidth="1"/>
    <col min="14" max="14" width="12.28515625" style="2" customWidth="1"/>
    <col min="15" max="15" width="12.7109375" style="2" bestFit="1" customWidth="1"/>
    <col min="16" max="16" width="9" style="2" bestFit="1" customWidth="1"/>
    <col min="17" max="17" width="12.7109375" style="2" bestFit="1" customWidth="1"/>
    <col min="18" max="16384" width="9.140625" style="2"/>
  </cols>
  <sheetData>
    <row r="1" spans="1:22" x14ac:dyDescent="0.25">
      <c r="A1" s="6" t="s">
        <v>15</v>
      </c>
      <c r="B1" s="1"/>
      <c r="C1" s="1"/>
      <c r="D1" s="1"/>
      <c r="E1" s="1"/>
      <c r="F1" s="1"/>
      <c r="G1" s="1"/>
      <c r="H1" s="1"/>
      <c r="I1" s="1"/>
      <c r="J1" s="1"/>
      <c r="K1" s="150"/>
      <c r="L1" s="2" t="s">
        <v>0</v>
      </c>
    </row>
    <row r="2" spans="1:22" x14ac:dyDescent="0.25">
      <c r="A2" s="1" t="s">
        <v>14</v>
      </c>
      <c r="B2" s="1"/>
      <c r="C2" s="1"/>
      <c r="D2" s="1"/>
      <c r="E2" s="1"/>
      <c r="F2" s="1"/>
      <c r="G2" s="1"/>
      <c r="H2" s="1"/>
      <c r="I2" s="1"/>
      <c r="J2" s="1"/>
      <c r="K2" s="150"/>
    </row>
    <row r="3" spans="1:22" x14ac:dyDescent="0.25">
      <c r="K3" s="150"/>
      <c r="M3" s="2" t="s">
        <v>304</v>
      </c>
      <c r="N3" s="2" t="s">
        <v>301</v>
      </c>
    </row>
    <row r="4" spans="1:22" x14ac:dyDescent="0.25">
      <c r="A4" s="7" t="s">
        <v>134</v>
      </c>
      <c r="B4" s="1"/>
      <c r="C4" s="1"/>
      <c r="D4" s="1"/>
      <c r="E4" s="1"/>
      <c r="F4" s="1"/>
      <c r="G4" s="1"/>
      <c r="H4" s="1"/>
      <c r="I4" s="1"/>
      <c r="J4" s="1"/>
      <c r="K4" s="150"/>
    </row>
    <row r="5" spans="1:22" x14ac:dyDescent="0.25">
      <c r="A5" s="1"/>
      <c r="B5" s="1"/>
      <c r="C5" s="1"/>
      <c r="D5" s="1"/>
      <c r="E5" s="1"/>
      <c r="F5" s="1"/>
      <c r="G5" s="1"/>
      <c r="H5" s="1"/>
      <c r="I5" s="1"/>
      <c r="J5" s="1"/>
      <c r="K5" s="150"/>
    </row>
    <row r="6" spans="1:22" x14ac:dyDescent="0.25">
      <c r="A6" s="1" t="s">
        <v>238</v>
      </c>
      <c r="B6" s="1"/>
      <c r="C6" s="1"/>
      <c r="D6" s="1"/>
      <c r="E6" s="1"/>
      <c r="F6" s="1"/>
      <c r="G6" s="1"/>
      <c r="H6" s="1"/>
      <c r="I6" s="1"/>
      <c r="J6" s="1"/>
      <c r="K6" s="150"/>
    </row>
    <row r="7" spans="1:22" x14ac:dyDescent="0.25">
      <c r="A7" s="1"/>
      <c r="B7" s="9"/>
      <c r="C7" s="1"/>
      <c r="D7" s="1"/>
      <c r="E7" s="1"/>
      <c r="F7" s="1"/>
      <c r="G7" s="1"/>
      <c r="H7" s="1"/>
      <c r="I7" s="1"/>
      <c r="J7" s="1"/>
      <c r="K7" s="150"/>
      <c r="M7" s="2" t="s">
        <v>305</v>
      </c>
    </row>
    <row r="8" spans="1:22" x14ac:dyDescent="0.25">
      <c r="A8" s="1" t="s">
        <v>135</v>
      </c>
      <c r="B8" s="1" t="s">
        <v>239</v>
      </c>
      <c r="C8" s="1"/>
      <c r="D8" s="1"/>
      <c r="E8" s="1"/>
      <c r="F8" s="1"/>
      <c r="G8" s="1"/>
      <c r="H8" s="1"/>
      <c r="I8" s="1"/>
      <c r="J8" s="1"/>
      <c r="K8" s="150"/>
      <c r="L8" s="24"/>
    </row>
    <row r="9" spans="1:22" x14ac:dyDescent="0.25">
      <c r="A9" s="1"/>
      <c r="B9" s="1"/>
      <c r="C9" s="1"/>
      <c r="D9" s="1"/>
      <c r="E9" s="1"/>
      <c r="F9" s="1"/>
      <c r="G9" s="1"/>
      <c r="H9" s="1"/>
      <c r="I9" s="1"/>
      <c r="J9" s="1"/>
      <c r="K9" s="150"/>
      <c r="L9" s="24"/>
      <c r="M9" s="2" t="s">
        <v>346</v>
      </c>
      <c r="O9" s="24"/>
      <c r="P9" s="24"/>
      <c r="Q9" s="24"/>
      <c r="R9" s="24"/>
      <c r="S9" s="24"/>
      <c r="T9" s="24"/>
      <c r="U9" s="24"/>
      <c r="V9" s="24"/>
    </row>
    <row r="10" spans="1:22" x14ac:dyDescent="0.25">
      <c r="A10" s="104" t="s">
        <v>136</v>
      </c>
      <c r="B10" s="52">
        <v>0.04</v>
      </c>
      <c r="C10" s="1"/>
      <c r="D10" s="1"/>
      <c r="E10" s="1"/>
      <c r="F10" s="1"/>
      <c r="G10" s="1"/>
      <c r="H10" s="1"/>
      <c r="I10" s="1"/>
      <c r="J10" s="1"/>
      <c r="K10" s="150"/>
      <c r="L10" s="24"/>
      <c r="O10" s="24"/>
      <c r="P10" s="24"/>
      <c r="Q10" s="24"/>
      <c r="R10" s="24"/>
      <c r="S10" s="24"/>
      <c r="T10" s="24"/>
      <c r="U10" s="24"/>
      <c r="V10" s="24"/>
    </row>
    <row r="11" spans="1:22" x14ac:dyDescent="0.25">
      <c r="A11" s="53"/>
      <c r="B11" s="54"/>
      <c r="C11" s="54"/>
      <c r="D11" s="54"/>
      <c r="E11" s="1"/>
      <c r="F11" s="1"/>
      <c r="G11" s="1"/>
      <c r="H11" s="1"/>
      <c r="I11" s="1"/>
      <c r="J11" s="1"/>
      <c r="K11" s="150"/>
      <c r="L11" s="24"/>
      <c r="M11" s="193" t="s">
        <v>347</v>
      </c>
      <c r="N11" s="194" t="s">
        <v>348</v>
      </c>
      <c r="O11" s="24"/>
      <c r="P11" s="202" t="s">
        <v>349</v>
      </c>
      <c r="Q11" s="24"/>
      <c r="R11" s="24"/>
      <c r="S11" s="24"/>
      <c r="T11" s="24"/>
      <c r="U11" s="24"/>
      <c r="V11" s="24"/>
    </row>
    <row r="12" spans="1:22" x14ac:dyDescent="0.25">
      <c r="A12" s="55" t="s">
        <v>137</v>
      </c>
      <c r="B12" s="56"/>
      <c r="C12" s="54"/>
      <c r="D12" s="54"/>
      <c r="E12" s="1"/>
      <c r="F12" s="1"/>
      <c r="G12" s="1"/>
      <c r="H12" s="1"/>
      <c r="I12" s="1"/>
      <c r="J12" s="1"/>
      <c r="K12" s="150"/>
      <c r="L12" s="24"/>
      <c r="M12" s="193" t="s">
        <v>350</v>
      </c>
      <c r="N12" s="194" t="s">
        <v>351</v>
      </c>
      <c r="O12" s="24"/>
      <c r="P12" s="202" t="s">
        <v>352</v>
      </c>
      <c r="Q12" s="24"/>
      <c r="R12" s="24"/>
      <c r="S12" s="24"/>
      <c r="T12" s="24"/>
      <c r="U12" s="24"/>
      <c r="V12" s="24"/>
    </row>
    <row r="13" spans="1:22" x14ac:dyDescent="0.25">
      <c r="A13" s="57" t="s">
        <v>138</v>
      </c>
      <c r="B13" s="58" t="s">
        <v>241</v>
      </c>
      <c r="C13" s="54"/>
      <c r="D13" s="54"/>
      <c r="E13" s="1"/>
      <c r="F13" s="1"/>
      <c r="G13" s="1"/>
      <c r="H13" s="1"/>
      <c r="I13" s="1"/>
      <c r="J13" s="1"/>
      <c r="K13" s="150"/>
      <c r="L13" s="24"/>
      <c r="M13" s="193" t="s">
        <v>353</v>
      </c>
      <c r="N13" s="195">
        <v>4</v>
      </c>
      <c r="O13" s="24"/>
      <c r="P13" s="24"/>
      <c r="Q13" s="24"/>
      <c r="R13" s="24"/>
      <c r="S13" s="24"/>
      <c r="T13" s="24"/>
      <c r="U13" s="24"/>
      <c r="V13" s="24"/>
    </row>
    <row r="14" spans="1:22" x14ac:dyDescent="0.25">
      <c r="A14" s="57" t="s">
        <v>139</v>
      </c>
      <c r="B14" s="58">
        <v>250</v>
      </c>
      <c r="C14" s="54"/>
      <c r="D14" s="54"/>
      <c r="E14" s="1"/>
      <c r="F14" s="1"/>
      <c r="G14" s="1"/>
      <c r="H14" s="1"/>
      <c r="I14" s="1"/>
      <c r="J14" s="1"/>
      <c r="K14" s="150"/>
      <c r="L14" s="24"/>
      <c r="M14" s="193" t="s">
        <v>354</v>
      </c>
      <c r="N14" s="205">
        <f>B10</f>
        <v>0.04</v>
      </c>
      <c r="O14" s="24"/>
      <c r="P14" s="24"/>
      <c r="Q14" s="24"/>
      <c r="R14" s="24"/>
      <c r="S14" s="24"/>
      <c r="T14" s="24"/>
      <c r="U14" s="24"/>
      <c r="V14" s="24"/>
    </row>
    <row r="15" spans="1:22" x14ac:dyDescent="0.25">
      <c r="A15" s="57" t="s">
        <v>140</v>
      </c>
      <c r="B15" s="58">
        <v>225</v>
      </c>
      <c r="C15" s="54"/>
      <c r="D15" s="54"/>
      <c r="E15" s="1"/>
      <c r="F15" s="1"/>
      <c r="G15" s="1"/>
      <c r="H15" s="1"/>
      <c r="I15" s="1"/>
      <c r="J15" s="1"/>
      <c r="K15" s="150"/>
      <c r="L15" s="24"/>
      <c r="M15" s="193" t="s">
        <v>269</v>
      </c>
      <c r="N15" s="206">
        <f>(1+N14)^N13</f>
        <v>1.1698585600000002</v>
      </c>
      <c r="O15" s="24"/>
      <c r="P15" s="24"/>
      <c r="Q15" s="24"/>
      <c r="R15" s="24"/>
      <c r="S15" s="24"/>
      <c r="T15" s="24"/>
      <c r="U15" s="24"/>
      <c r="V15" s="24"/>
    </row>
    <row r="16" spans="1:22" x14ac:dyDescent="0.25">
      <c r="A16" s="57" t="s">
        <v>141</v>
      </c>
      <c r="B16" s="58">
        <v>200</v>
      </c>
      <c r="C16" s="54"/>
      <c r="D16" s="54"/>
      <c r="E16" s="1"/>
      <c r="F16" s="1"/>
      <c r="G16" s="1"/>
      <c r="H16" s="1"/>
      <c r="I16" s="1"/>
      <c r="J16" s="1"/>
      <c r="K16" s="150"/>
      <c r="L16" s="24"/>
      <c r="M16" s="193"/>
      <c r="N16" s="24"/>
      <c r="O16" s="24"/>
      <c r="P16" s="24"/>
      <c r="Q16" s="24"/>
      <c r="R16" s="24"/>
      <c r="S16" s="24"/>
      <c r="T16" s="24"/>
      <c r="U16" s="24"/>
      <c r="V16" s="24"/>
    </row>
    <row r="17" spans="1:22" x14ac:dyDescent="0.25">
      <c r="A17" s="57" t="s">
        <v>30</v>
      </c>
      <c r="B17" s="58">
        <v>675</v>
      </c>
      <c r="C17" s="54"/>
      <c r="D17" s="54"/>
      <c r="E17" s="1"/>
      <c r="F17" s="1"/>
      <c r="G17" s="1"/>
      <c r="H17" s="1"/>
      <c r="I17" s="1"/>
      <c r="J17" s="1"/>
      <c r="K17" s="150"/>
      <c r="L17" s="24"/>
      <c r="M17" s="2" t="s">
        <v>355</v>
      </c>
      <c r="N17" s="24"/>
      <c r="O17" s="24"/>
      <c r="P17" s="24"/>
      <c r="Q17" s="24"/>
      <c r="R17" s="24"/>
      <c r="S17" s="24"/>
      <c r="T17" s="24"/>
      <c r="U17" s="24"/>
      <c r="V17" s="24"/>
    </row>
    <row r="18" spans="1:22" x14ac:dyDescent="0.25">
      <c r="A18" s="53"/>
      <c r="B18" s="54"/>
      <c r="C18" s="54"/>
      <c r="D18" s="54"/>
      <c r="E18" s="1"/>
      <c r="F18" s="1"/>
      <c r="G18" s="1"/>
      <c r="H18" s="1"/>
      <c r="I18" s="1"/>
      <c r="J18" s="1"/>
      <c r="K18" s="150"/>
      <c r="L18" s="24"/>
      <c r="M18" s="24"/>
      <c r="N18" s="24"/>
      <c r="O18" s="24"/>
      <c r="P18" s="24"/>
      <c r="Q18" s="24"/>
      <c r="R18" s="24"/>
      <c r="S18" s="24"/>
      <c r="T18" s="24"/>
      <c r="U18" s="24"/>
      <c r="V18" s="24"/>
    </row>
    <row r="19" spans="1:22" x14ac:dyDescent="0.25">
      <c r="A19" s="55" t="s">
        <v>142</v>
      </c>
      <c r="B19" s="56"/>
      <c r="C19" s="54"/>
      <c r="D19" s="54"/>
      <c r="E19" s="1"/>
      <c r="F19" s="1"/>
      <c r="G19" s="1"/>
      <c r="H19" s="1"/>
      <c r="I19" s="1"/>
      <c r="J19" s="1"/>
      <c r="K19" s="150"/>
      <c r="L19" s="24"/>
      <c r="M19" s="63" t="s">
        <v>150</v>
      </c>
      <c r="N19" s="64"/>
      <c r="O19" s="64"/>
      <c r="P19" s="65"/>
      <c r="Q19" s="24"/>
      <c r="R19" s="24"/>
      <c r="S19" s="24"/>
      <c r="T19" s="24"/>
      <c r="U19" s="24"/>
      <c r="V19" s="24"/>
    </row>
    <row r="20" spans="1:22" ht="47.25" x14ac:dyDescent="0.25">
      <c r="A20" s="57" t="s">
        <v>143</v>
      </c>
      <c r="B20" s="105" t="s">
        <v>26</v>
      </c>
      <c r="C20" s="1"/>
      <c r="D20" s="1"/>
      <c r="E20" s="1"/>
      <c r="F20" s="1"/>
      <c r="G20" s="1"/>
      <c r="H20" s="1"/>
      <c r="I20" s="1"/>
      <c r="J20" s="1"/>
      <c r="K20" s="150"/>
      <c r="L20" s="24"/>
      <c r="M20" s="10" t="s">
        <v>47</v>
      </c>
      <c r="N20" s="106" t="s">
        <v>139</v>
      </c>
      <c r="O20" s="106" t="s">
        <v>140</v>
      </c>
      <c r="P20" s="106" t="s">
        <v>141</v>
      </c>
      <c r="Q20" s="11" t="s">
        <v>160</v>
      </c>
      <c r="R20" s="24"/>
      <c r="S20" s="24"/>
      <c r="T20" s="24"/>
      <c r="U20" s="24"/>
      <c r="V20" s="24"/>
    </row>
    <row r="21" spans="1:22" x14ac:dyDescent="0.25">
      <c r="A21" s="59" t="s">
        <v>144</v>
      </c>
      <c r="B21" s="60">
        <v>1.3</v>
      </c>
      <c r="C21" s="61"/>
      <c r="D21" s="61"/>
      <c r="E21" s="1"/>
      <c r="F21" s="1"/>
      <c r="G21" s="1"/>
      <c r="H21" s="1"/>
      <c r="I21" s="1"/>
      <c r="J21" s="1"/>
      <c r="K21" s="150"/>
      <c r="L21" s="24"/>
      <c r="M21" s="59" t="s">
        <v>151</v>
      </c>
      <c r="N21" s="60">
        <v>0.75</v>
      </c>
      <c r="O21" s="60">
        <v>1.05</v>
      </c>
      <c r="P21" s="60">
        <v>0.6</v>
      </c>
      <c r="Q21" s="76">
        <v>4</v>
      </c>
      <c r="R21" s="24"/>
      <c r="S21" s="24"/>
      <c r="T21" s="24"/>
      <c r="U21" s="24"/>
      <c r="V21" s="24"/>
    </row>
    <row r="22" spans="1:22" ht="16.149999999999999" customHeight="1" x14ac:dyDescent="0.25">
      <c r="A22" s="59" t="s">
        <v>145</v>
      </c>
      <c r="B22" s="60">
        <v>1.1000000000000001</v>
      </c>
      <c r="C22" s="61"/>
      <c r="D22" s="61"/>
      <c r="E22" s="1"/>
      <c r="F22" s="1"/>
      <c r="G22" s="1"/>
      <c r="H22" s="1"/>
      <c r="I22" s="1"/>
      <c r="J22" s="1"/>
      <c r="K22" s="150"/>
      <c r="L22" s="24"/>
      <c r="M22" s="59" t="s">
        <v>152</v>
      </c>
      <c r="N22" s="60">
        <v>0.95</v>
      </c>
      <c r="O22" s="60">
        <v>1.1000000000000001</v>
      </c>
      <c r="P22" s="60">
        <v>1.7</v>
      </c>
      <c r="Q22" s="76">
        <v>5</v>
      </c>
      <c r="R22" s="24"/>
      <c r="S22" s="24"/>
      <c r="T22" s="24"/>
      <c r="U22" s="24"/>
      <c r="V22" s="24"/>
    </row>
    <row r="23" spans="1:22" x14ac:dyDescent="0.25">
      <c r="A23" s="59" t="s">
        <v>146</v>
      </c>
      <c r="B23" s="60">
        <v>1.1000000000000001</v>
      </c>
      <c r="C23" s="62"/>
      <c r="D23" s="62"/>
      <c r="E23" s="1"/>
      <c r="F23" s="1"/>
      <c r="G23" s="1"/>
      <c r="H23" s="1"/>
      <c r="I23" s="1"/>
      <c r="J23" s="1"/>
      <c r="K23" s="150"/>
      <c r="L23" s="24"/>
      <c r="M23" s="59" t="s">
        <v>153</v>
      </c>
      <c r="N23" s="60">
        <v>1</v>
      </c>
      <c r="O23" s="60">
        <v>1.1000000000000001</v>
      </c>
      <c r="P23" s="60">
        <v>0.8</v>
      </c>
      <c r="Q23" s="76">
        <v>5</v>
      </c>
      <c r="R23" s="24"/>
      <c r="S23" s="24"/>
      <c r="T23" s="24"/>
      <c r="U23" s="24"/>
      <c r="V23" s="24"/>
    </row>
    <row r="24" spans="1:22" x14ac:dyDescent="0.25">
      <c r="A24" s="59" t="s">
        <v>147</v>
      </c>
      <c r="B24" s="60">
        <v>1</v>
      </c>
      <c r="C24" s="62"/>
      <c r="D24" s="62"/>
      <c r="E24" s="1"/>
      <c r="F24" s="1"/>
      <c r="G24" s="1"/>
      <c r="H24" s="1"/>
      <c r="I24" s="1"/>
      <c r="J24" s="1"/>
      <c r="K24" s="150"/>
      <c r="L24" s="24"/>
      <c r="M24" s="59" t="s">
        <v>154</v>
      </c>
      <c r="N24" s="60">
        <v>1.1000000000000001</v>
      </c>
      <c r="O24" s="60">
        <v>1.05</v>
      </c>
      <c r="P24" s="60">
        <v>1.95</v>
      </c>
      <c r="Q24" s="76">
        <v>6</v>
      </c>
      <c r="R24" s="24"/>
      <c r="S24" s="24"/>
      <c r="T24" s="24"/>
      <c r="U24" s="24"/>
      <c r="V24" s="24"/>
    </row>
    <row r="25" spans="1:22" x14ac:dyDescent="0.25">
      <c r="A25" s="59" t="s">
        <v>148</v>
      </c>
      <c r="B25" s="60">
        <v>1</v>
      </c>
      <c r="C25" s="62"/>
      <c r="D25" s="62"/>
      <c r="E25" s="1"/>
      <c r="F25" s="1"/>
      <c r="G25" s="1"/>
      <c r="H25" s="1"/>
      <c r="I25" s="1"/>
      <c r="J25" s="1"/>
      <c r="K25" s="150"/>
      <c r="L25" s="24"/>
      <c r="M25" s="59" t="s">
        <v>50</v>
      </c>
      <c r="N25" s="60">
        <v>1.05</v>
      </c>
      <c r="O25" s="60">
        <v>0.85</v>
      </c>
      <c r="P25" s="60">
        <v>0.15</v>
      </c>
      <c r="Q25" s="76">
        <v>10</v>
      </c>
      <c r="R25" s="24"/>
      <c r="S25" s="24"/>
      <c r="T25" s="24"/>
      <c r="U25" s="24"/>
      <c r="V25" s="24"/>
    </row>
    <row r="26" spans="1:22" x14ac:dyDescent="0.25">
      <c r="A26" s="59" t="s">
        <v>149</v>
      </c>
      <c r="B26" s="60">
        <v>0.9</v>
      </c>
      <c r="C26" s="62"/>
      <c r="D26" s="62"/>
      <c r="E26" s="1"/>
      <c r="F26" s="1"/>
      <c r="G26" s="1"/>
      <c r="H26" s="1"/>
      <c r="I26" s="1"/>
      <c r="J26" s="1"/>
      <c r="K26" s="150"/>
      <c r="L26" s="24"/>
      <c r="M26" s="24" t="s">
        <v>30</v>
      </c>
      <c r="N26" s="24"/>
      <c r="O26" s="24"/>
      <c r="P26" s="24"/>
      <c r="Q26" s="196">
        <f>SUM(Q21:Q25)</f>
        <v>30</v>
      </c>
      <c r="R26" s="24"/>
      <c r="S26" s="24"/>
      <c r="T26" s="24"/>
      <c r="U26" s="24"/>
      <c r="V26" s="24"/>
    </row>
    <row r="27" spans="1:22" x14ac:dyDescent="0.25">
      <c r="A27" s="1"/>
      <c r="B27" s="1"/>
      <c r="C27" s="62"/>
      <c r="D27" s="62"/>
      <c r="E27" s="1"/>
      <c r="F27" s="1"/>
      <c r="G27" s="1"/>
      <c r="H27" s="1"/>
      <c r="I27" s="1"/>
      <c r="J27" s="1"/>
      <c r="K27" s="150"/>
      <c r="L27" s="24"/>
      <c r="M27" s="24" t="s">
        <v>356</v>
      </c>
      <c r="N27" s="197">
        <f>SUMPRODUCT(N21:N25,$Q$21:$Q$25)/$Q$26</f>
        <v>0.995</v>
      </c>
      <c r="O27" s="197">
        <f>SUMPRODUCT(O21:O25,$Q$21:$Q$25)/$Q$26</f>
        <v>1</v>
      </c>
      <c r="P27" s="197">
        <f>SUMPRODUCT(P21:P25,$Q$21:$Q$25)/$Q$26</f>
        <v>0.93666666666666676</v>
      </c>
      <c r="Q27" s="24"/>
      <c r="R27" s="24"/>
      <c r="S27" s="24"/>
      <c r="T27" s="24"/>
      <c r="U27" s="24"/>
      <c r="V27" s="24"/>
    </row>
    <row r="28" spans="1:22" x14ac:dyDescent="0.25">
      <c r="A28" s="63" t="s">
        <v>150</v>
      </c>
      <c r="B28" s="64"/>
      <c r="C28" s="64"/>
      <c r="D28" s="65"/>
      <c r="E28" s="1"/>
      <c r="F28" s="1"/>
      <c r="G28" s="1"/>
      <c r="H28" s="1"/>
      <c r="I28" s="1"/>
      <c r="J28" s="1"/>
      <c r="K28" s="150"/>
      <c r="L28" s="24"/>
      <c r="M28" s="24"/>
      <c r="N28" s="24"/>
      <c r="O28" s="24"/>
      <c r="P28" s="24"/>
      <c r="Q28" s="24"/>
      <c r="R28" s="24"/>
      <c r="S28" s="24"/>
      <c r="T28" s="24"/>
      <c r="U28" s="24"/>
      <c r="V28" s="24"/>
    </row>
    <row r="29" spans="1:22" ht="31.5" x14ac:dyDescent="0.25">
      <c r="A29" s="10" t="s">
        <v>47</v>
      </c>
      <c r="B29" s="106" t="s">
        <v>139</v>
      </c>
      <c r="C29" s="106" t="s">
        <v>140</v>
      </c>
      <c r="D29" s="106" t="s">
        <v>141</v>
      </c>
      <c r="E29" s="1"/>
      <c r="F29" s="1"/>
      <c r="G29" s="1"/>
      <c r="H29" s="1"/>
      <c r="I29" s="1"/>
      <c r="J29" s="1"/>
      <c r="K29" s="150"/>
      <c r="L29" s="24"/>
      <c r="M29" s="2" t="s">
        <v>357</v>
      </c>
      <c r="N29" s="24"/>
      <c r="O29" s="24"/>
      <c r="P29" s="24"/>
      <c r="Q29" s="24"/>
      <c r="R29" s="24"/>
      <c r="S29" s="24"/>
      <c r="T29" s="24"/>
      <c r="U29" s="24"/>
      <c r="V29" s="24"/>
    </row>
    <row r="30" spans="1:22" x14ac:dyDescent="0.25">
      <c r="A30" s="59" t="s">
        <v>151</v>
      </c>
      <c r="B30" s="60">
        <v>0.75</v>
      </c>
      <c r="C30" s="60">
        <v>1.05</v>
      </c>
      <c r="D30" s="60">
        <v>0.6</v>
      </c>
      <c r="E30" s="1"/>
      <c r="F30" s="1"/>
      <c r="G30" s="1"/>
      <c r="H30" s="1"/>
      <c r="I30" s="1"/>
      <c r="J30" s="1"/>
      <c r="K30" s="150"/>
      <c r="L30" s="24"/>
      <c r="M30" s="24"/>
      <c r="N30" s="24"/>
      <c r="O30" s="24"/>
      <c r="P30" s="24"/>
      <c r="Q30" s="24"/>
      <c r="R30" s="24"/>
      <c r="S30" s="24"/>
      <c r="T30" s="24"/>
      <c r="U30" s="24"/>
      <c r="V30" s="24"/>
    </row>
    <row r="31" spans="1:22" x14ac:dyDescent="0.25">
      <c r="A31" s="59" t="s">
        <v>152</v>
      </c>
      <c r="B31" s="60">
        <v>0.95</v>
      </c>
      <c r="C31" s="60">
        <v>1.1000000000000001</v>
      </c>
      <c r="D31" s="60">
        <v>1.7</v>
      </c>
      <c r="E31" s="1"/>
      <c r="F31" s="1"/>
      <c r="G31" s="1"/>
      <c r="H31" s="1"/>
      <c r="I31" s="1"/>
      <c r="J31" s="1"/>
      <c r="K31" s="150"/>
      <c r="L31" s="24"/>
      <c r="M31" s="55" t="s">
        <v>142</v>
      </c>
      <c r="N31" s="56"/>
      <c r="O31" s="24"/>
      <c r="P31" s="24"/>
      <c r="Q31" s="24"/>
      <c r="R31" s="24"/>
      <c r="S31" s="24"/>
      <c r="T31" s="24"/>
      <c r="U31" s="24"/>
      <c r="V31" s="24"/>
    </row>
    <row r="32" spans="1:22" x14ac:dyDescent="0.25">
      <c r="A32" s="59" t="s">
        <v>153</v>
      </c>
      <c r="B32" s="60">
        <v>1</v>
      </c>
      <c r="C32" s="60">
        <v>1.1000000000000001</v>
      </c>
      <c r="D32" s="60">
        <v>0.8</v>
      </c>
      <c r="E32" s="1"/>
      <c r="F32" s="1"/>
      <c r="G32" s="1"/>
      <c r="H32" s="1"/>
      <c r="I32" s="1"/>
      <c r="J32" s="1"/>
      <c r="K32" s="150"/>
      <c r="L32" s="24"/>
      <c r="M32" s="57" t="s">
        <v>143</v>
      </c>
      <c r="N32" s="105" t="s">
        <v>26</v>
      </c>
      <c r="O32" s="11" t="s">
        <v>160</v>
      </c>
      <c r="P32" s="24"/>
      <c r="Q32" s="24"/>
      <c r="R32" s="24"/>
      <c r="S32" s="24"/>
      <c r="T32" s="24"/>
      <c r="U32" s="24"/>
      <c r="V32" s="24"/>
    </row>
    <row r="33" spans="1:22" x14ac:dyDescent="0.25">
      <c r="A33" s="59" t="s">
        <v>154</v>
      </c>
      <c r="B33" s="60">
        <v>1.1000000000000001</v>
      </c>
      <c r="C33" s="60">
        <v>1.05</v>
      </c>
      <c r="D33" s="60">
        <v>1.95</v>
      </c>
      <c r="E33" s="1"/>
      <c r="F33" s="1"/>
      <c r="G33" s="1"/>
      <c r="H33" s="1"/>
      <c r="I33" s="1"/>
      <c r="J33" s="1"/>
      <c r="K33" s="150"/>
      <c r="L33" s="24"/>
      <c r="M33" s="59" t="s">
        <v>144</v>
      </c>
      <c r="N33" s="60">
        <v>1.3</v>
      </c>
      <c r="O33" s="76">
        <v>0</v>
      </c>
      <c r="P33" s="24"/>
      <c r="Q33" s="24"/>
      <c r="R33" s="24"/>
      <c r="S33" s="24"/>
      <c r="T33" s="24"/>
      <c r="U33" s="24"/>
      <c r="V33" s="24"/>
    </row>
    <row r="34" spans="1:22" x14ac:dyDescent="0.25">
      <c r="A34" s="59" t="s">
        <v>50</v>
      </c>
      <c r="B34" s="60">
        <v>1.05</v>
      </c>
      <c r="C34" s="60">
        <v>0.85</v>
      </c>
      <c r="D34" s="60">
        <v>0.15</v>
      </c>
      <c r="E34" s="1"/>
      <c r="F34" s="1"/>
      <c r="G34" s="1"/>
      <c r="H34" s="1"/>
      <c r="I34" s="1"/>
      <c r="J34" s="1"/>
      <c r="K34" s="150"/>
      <c r="L34" s="24"/>
      <c r="M34" s="59" t="s">
        <v>145</v>
      </c>
      <c r="N34" s="60">
        <v>1.1000000000000001</v>
      </c>
      <c r="O34" s="76">
        <v>0</v>
      </c>
      <c r="P34" s="24"/>
      <c r="Q34" s="24"/>
      <c r="R34" s="24"/>
      <c r="S34" s="24"/>
      <c r="T34" s="24"/>
      <c r="U34" s="24"/>
      <c r="V34" s="24"/>
    </row>
    <row r="35" spans="1:22" x14ac:dyDescent="0.25">
      <c r="A35" s="66"/>
      <c r="B35" s="61"/>
      <c r="C35" s="61"/>
      <c r="D35" s="61"/>
      <c r="E35" s="1"/>
      <c r="F35" s="1"/>
      <c r="G35" s="1"/>
      <c r="H35" s="1"/>
      <c r="I35" s="1"/>
      <c r="J35" s="1"/>
      <c r="K35" s="150"/>
      <c r="L35" s="24"/>
      <c r="M35" s="59" t="s">
        <v>146</v>
      </c>
      <c r="N35" s="60">
        <v>1.1000000000000001</v>
      </c>
      <c r="O35" s="76">
        <v>5</v>
      </c>
      <c r="P35" s="24"/>
      <c r="Q35" s="24"/>
      <c r="R35" s="24"/>
      <c r="S35" s="24"/>
      <c r="T35" s="24"/>
      <c r="U35" s="24"/>
      <c r="V35" s="24"/>
    </row>
    <row r="36" spans="1:22" x14ac:dyDescent="0.25">
      <c r="A36" s="63" t="s">
        <v>155</v>
      </c>
      <c r="B36" s="67"/>
      <c r="C36" s="61"/>
      <c r="D36" s="61"/>
      <c r="E36" s="1"/>
      <c r="F36" s="1"/>
      <c r="G36" s="1"/>
      <c r="H36" s="1"/>
      <c r="I36" s="1"/>
      <c r="J36" s="1"/>
      <c r="K36" s="150"/>
      <c r="L36" s="24"/>
      <c r="M36" s="59" t="s">
        <v>147</v>
      </c>
      <c r="N36" s="60">
        <v>1</v>
      </c>
      <c r="O36" s="76">
        <v>5</v>
      </c>
      <c r="P36" s="24"/>
      <c r="Q36" s="24"/>
      <c r="R36" s="24"/>
      <c r="S36" s="24"/>
      <c r="T36" s="24"/>
      <c r="U36" s="24"/>
      <c r="V36" s="24"/>
    </row>
    <row r="37" spans="1:22" x14ac:dyDescent="0.25">
      <c r="A37" s="104" t="s">
        <v>27</v>
      </c>
      <c r="B37" s="11" t="s">
        <v>240</v>
      </c>
      <c r="C37" s="61"/>
      <c r="D37" s="61"/>
      <c r="E37" s="1"/>
      <c r="F37" s="1"/>
      <c r="G37" s="1"/>
      <c r="H37" s="1"/>
      <c r="I37" s="1"/>
      <c r="J37" s="1"/>
      <c r="K37" s="150"/>
      <c r="L37" s="24"/>
      <c r="M37" s="59" t="s">
        <v>148</v>
      </c>
      <c r="N37" s="60">
        <v>1</v>
      </c>
      <c r="O37" s="76">
        <v>5</v>
      </c>
      <c r="P37" s="24"/>
      <c r="Q37" s="24"/>
      <c r="R37" s="24"/>
      <c r="S37" s="24"/>
      <c r="T37" s="24"/>
      <c r="U37" s="24"/>
      <c r="V37" s="24"/>
    </row>
    <row r="38" spans="1:22" x14ac:dyDescent="0.25">
      <c r="A38" s="69">
        <v>0</v>
      </c>
      <c r="B38" s="70">
        <v>0</v>
      </c>
      <c r="C38" s="71"/>
      <c r="D38" s="71"/>
      <c r="E38" s="1"/>
      <c r="F38" s="1"/>
      <c r="G38" s="1"/>
      <c r="H38" s="1"/>
      <c r="I38" s="1"/>
      <c r="J38" s="1"/>
      <c r="K38" s="150"/>
      <c r="L38" s="24"/>
      <c r="M38" s="59" t="s">
        <v>149</v>
      </c>
      <c r="N38" s="60">
        <v>0.9</v>
      </c>
      <c r="O38" s="76">
        <v>15</v>
      </c>
      <c r="P38" s="24"/>
      <c r="Q38" s="24"/>
      <c r="R38" s="24"/>
      <c r="S38" s="24"/>
      <c r="T38" s="24"/>
      <c r="U38" s="24"/>
      <c r="V38" s="24"/>
    </row>
    <row r="39" spans="1:22" x14ac:dyDescent="0.25">
      <c r="A39" s="69">
        <v>50</v>
      </c>
      <c r="B39" s="70">
        <v>35</v>
      </c>
      <c r="C39" s="71"/>
      <c r="D39" s="71"/>
      <c r="E39" s="1"/>
      <c r="F39" s="1"/>
      <c r="G39" s="1"/>
      <c r="H39" s="1"/>
      <c r="I39" s="1"/>
      <c r="J39" s="1"/>
      <c r="K39" s="150"/>
      <c r="L39" s="24"/>
      <c r="M39" s="198" t="s">
        <v>30</v>
      </c>
      <c r="N39" s="198"/>
      <c r="O39" s="199">
        <f>SUM(O33:O38)</f>
        <v>30</v>
      </c>
      <c r="P39" s="24"/>
      <c r="Q39" s="24"/>
      <c r="R39" s="24"/>
      <c r="S39" s="24"/>
      <c r="T39" s="24"/>
      <c r="U39" s="24"/>
      <c r="V39" s="24"/>
    </row>
    <row r="40" spans="1:22" x14ac:dyDescent="0.25">
      <c r="A40" s="69">
        <v>100</v>
      </c>
      <c r="B40" s="70">
        <v>60</v>
      </c>
      <c r="C40" s="71"/>
      <c r="D40" s="71"/>
      <c r="E40" s="1"/>
      <c r="F40" s="1"/>
      <c r="G40" s="1"/>
      <c r="H40" s="1"/>
      <c r="I40" s="1"/>
      <c r="J40" s="1"/>
      <c r="K40" s="150"/>
      <c r="L40" s="24"/>
      <c r="M40" s="198" t="s">
        <v>356</v>
      </c>
      <c r="N40" s="197">
        <f>SUMPRODUCT(N33:N38,O33:O38)/O39</f>
        <v>0.96666666666666667</v>
      </c>
      <c r="O40" s="24"/>
      <c r="P40" s="24"/>
      <c r="Q40" s="24"/>
      <c r="R40" s="24"/>
      <c r="S40" s="24"/>
      <c r="T40" s="24"/>
      <c r="U40" s="24"/>
      <c r="V40" s="24"/>
    </row>
    <row r="41" spans="1:22" x14ac:dyDescent="0.25">
      <c r="A41" s="69">
        <v>150</v>
      </c>
      <c r="B41" s="70">
        <v>80</v>
      </c>
      <c r="C41" s="71"/>
      <c r="D41" s="71"/>
      <c r="E41" s="1"/>
      <c r="F41" s="1"/>
      <c r="G41" s="1"/>
      <c r="H41" s="1"/>
      <c r="I41" s="1"/>
      <c r="J41" s="1"/>
      <c r="K41" s="150"/>
      <c r="L41" s="24"/>
      <c r="M41" s="24"/>
      <c r="N41" s="24"/>
      <c r="O41" s="24"/>
      <c r="P41" s="24"/>
      <c r="Q41" s="24"/>
      <c r="R41" s="24"/>
      <c r="S41" s="24"/>
      <c r="T41" s="24"/>
      <c r="U41" s="24"/>
      <c r="V41" s="24"/>
    </row>
    <row r="42" spans="1:22" x14ac:dyDescent="0.25">
      <c r="A42" s="69">
        <v>200</v>
      </c>
      <c r="B42" s="70">
        <v>90</v>
      </c>
      <c r="C42" s="71"/>
      <c r="D42" s="71"/>
      <c r="E42" s="1"/>
      <c r="F42" s="1"/>
      <c r="G42" s="1"/>
      <c r="H42" s="1"/>
      <c r="I42" s="1"/>
      <c r="J42" s="1"/>
      <c r="K42" s="150"/>
      <c r="L42" s="24"/>
      <c r="M42" s="24"/>
      <c r="N42" s="24"/>
      <c r="O42" s="24"/>
      <c r="P42" s="24"/>
      <c r="Q42" s="24"/>
      <c r="R42" s="24"/>
      <c r="S42" s="24"/>
      <c r="T42" s="24"/>
      <c r="U42" s="24"/>
      <c r="V42" s="24"/>
    </row>
    <row r="43" spans="1:22" x14ac:dyDescent="0.25">
      <c r="A43" s="72"/>
      <c r="B43" s="73"/>
      <c r="C43" s="71"/>
      <c r="D43" s="71"/>
      <c r="E43" s="1"/>
      <c r="F43" s="1"/>
      <c r="G43" s="1"/>
      <c r="H43" s="1"/>
      <c r="I43" s="1"/>
      <c r="J43" s="1"/>
      <c r="K43" s="150"/>
      <c r="L43" s="24"/>
      <c r="M43" s="24"/>
      <c r="N43" s="24"/>
      <c r="O43" s="24"/>
      <c r="P43" s="24"/>
      <c r="Q43" s="24"/>
      <c r="R43" s="24"/>
      <c r="S43" s="24"/>
      <c r="T43" s="24"/>
      <c r="U43" s="24"/>
      <c r="V43" s="24"/>
    </row>
    <row r="44" spans="1:22" ht="47.25" x14ac:dyDescent="0.25">
      <c r="A44" s="63" t="s">
        <v>156</v>
      </c>
      <c r="B44" s="67"/>
      <c r="C44" s="71"/>
      <c r="D44" s="71"/>
      <c r="E44" s="1"/>
      <c r="F44" s="1"/>
      <c r="G44" s="1"/>
      <c r="H44" s="1"/>
      <c r="I44" s="1"/>
      <c r="J44" s="1"/>
      <c r="K44" s="150"/>
      <c r="L44" s="24"/>
      <c r="M44" s="207"/>
      <c r="N44" s="208" t="s">
        <v>139</v>
      </c>
      <c r="O44" s="208" t="s">
        <v>140</v>
      </c>
      <c r="P44" s="208" t="s">
        <v>141</v>
      </c>
      <c r="Q44" s="208" t="s">
        <v>30</v>
      </c>
      <c r="R44" s="24"/>
      <c r="S44" s="24"/>
      <c r="T44" s="24"/>
      <c r="U44" s="24"/>
      <c r="V44" s="24"/>
    </row>
    <row r="45" spans="1:22" x14ac:dyDescent="0.25">
      <c r="A45" s="104" t="s">
        <v>157</v>
      </c>
      <c r="B45" s="11" t="s">
        <v>240</v>
      </c>
      <c r="C45" s="61"/>
      <c r="D45" s="61"/>
      <c r="E45" s="1"/>
      <c r="F45" s="1"/>
      <c r="G45" s="1"/>
      <c r="H45" s="1"/>
      <c r="I45" s="1"/>
      <c r="J45" s="1"/>
      <c r="K45" s="150"/>
      <c r="L45" s="24"/>
      <c r="M45" s="207" t="s">
        <v>358</v>
      </c>
      <c r="N45" s="208"/>
      <c r="O45" s="208"/>
      <c r="P45" s="208"/>
      <c r="Q45" s="208"/>
      <c r="R45" s="24"/>
      <c r="S45" s="24"/>
      <c r="T45" s="24"/>
      <c r="U45" s="24"/>
      <c r="V45" s="24"/>
    </row>
    <row r="46" spans="1:22" x14ac:dyDescent="0.25">
      <c r="A46" s="69">
        <v>500</v>
      </c>
      <c r="B46" s="70">
        <v>140</v>
      </c>
      <c r="C46" s="61"/>
      <c r="D46" s="61"/>
      <c r="E46" s="1"/>
      <c r="F46" s="1"/>
      <c r="G46" s="1"/>
      <c r="H46" s="1"/>
      <c r="I46" s="1"/>
      <c r="J46" s="1"/>
      <c r="K46" s="150"/>
      <c r="L46" s="24"/>
      <c r="M46" s="207"/>
      <c r="N46" s="208"/>
      <c r="O46" s="208"/>
      <c r="P46" s="208"/>
      <c r="Q46" s="208"/>
      <c r="R46" s="24"/>
      <c r="S46" s="24"/>
      <c r="T46" s="24"/>
      <c r="U46" s="24"/>
      <c r="V46" s="24"/>
    </row>
    <row r="47" spans="1:22" x14ac:dyDescent="0.25">
      <c r="A47" s="69">
        <v>1000</v>
      </c>
      <c r="B47" s="70">
        <v>90</v>
      </c>
      <c r="C47" s="71"/>
      <c r="D47" s="71"/>
      <c r="E47" s="1"/>
      <c r="F47" s="1"/>
      <c r="G47" s="1"/>
      <c r="H47" s="1"/>
      <c r="I47" s="1"/>
      <c r="J47" s="1"/>
      <c r="K47" s="150"/>
      <c r="L47" s="24"/>
      <c r="M47" s="209" t="s">
        <v>359</v>
      </c>
      <c r="N47" s="210">
        <f>B14</f>
        <v>250</v>
      </c>
      <c r="O47" s="210">
        <f>B15</f>
        <v>225</v>
      </c>
      <c r="P47" s="210">
        <f>B16</f>
        <v>200</v>
      </c>
      <c r="Q47" s="210">
        <f>SUM(N47:P47)</f>
        <v>675</v>
      </c>
      <c r="R47" s="24"/>
      <c r="S47" s="24"/>
      <c r="T47" s="24"/>
      <c r="U47" s="24"/>
      <c r="V47" s="24"/>
    </row>
    <row r="48" spans="1:22" x14ac:dyDescent="0.25">
      <c r="A48" s="69">
        <v>1500</v>
      </c>
      <c r="B48" s="70">
        <v>50</v>
      </c>
      <c r="C48" s="71"/>
      <c r="D48" s="71"/>
      <c r="E48" s="1"/>
      <c r="F48" s="1"/>
      <c r="G48" s="1"/>
      <c r="H48" s="1"/>
      <c r="I48" s="1"/>
      <c r="J48" s="1"/>
      <c r="K48" s="150"/>
      <c r="L48" s="24"/>
      <c r="M48" s="209" t="s">
        <v>269</v>
      </c>
      <c r="N48" s="200">
        <f>$N$15</f>
        <v>1.1698585600000002</v>
      </c>
      <c r="O48" s="200">
        <f>$N$15</f>
        <v>1.1698585600000002</v>
      </c>
      <c r="P48" s="200">
        <f>$N$15</f>
        <v>1.1698585600000002</v>
      </c>
      <c r="Q48" s="210"/>
      <c r="R48" s="24"/>
      <c r="S48" s="24"/>
      <c r="T48" s="24"/>
      <c r="U48" s="24"/>
      <c r="V48" s="24"/>
    </row>
    <row r="49" spans="1:22" x14ac:dyDescent="0.25">
      <c r="A49" s="69">
        <v>2000</v>
      </c>
      <c r="B49" s="70">
        <v>20</v>
      </c>
      <c r="C49" s="71"/>
      <c r="D49" s="71"/>
      <c r="E49" s="1"/>
      <c r="F49" s="1"/>
      <c r="G49" s="1"/>
      <c r="H49" s="1"/>
      <c r="I49" s="1"/>
      <c r="J49" s="1"/>
      <c r="K49" s="150"/>
      <c r="L49" s="24"/>
      <c r="M49" s="209" t="s">
        <v>360</v>
      </c>
      <c r="N49" s="210">
        <f>N47*N48</f>
        <v>292.46464000000003</v>
      </c>
      <c r="O49" s="210">
        <f t="shared" ref="O49:P49" si="0">O47*O48</f>
        <v>263.21817600000003</v>
      </c>
      <c r="P49" s="210">
        <f t="shared" si="0"/>
        <v>233.97171200000005</v>
      </c>
      <c r="Q49" s="210">
        <f>SUM(N49:P49)</f>
        <v>789.65452800000003</v>
      </c>
      <c r="R49" s="24"/>
      <c r="S49" s="24"/>
      <c r="T49" s="24"/>
      <c r="U49" s="24"/>
      <c r="V49" s="24"/>
    </row>
    <row r="50" spans="1:22" x14ac:dyDescent="0.25">
      <c r="A50" s="69">
        <v>3000</v>
      </c>
      <c r="B50" s="70">
        <v>10</v>
      </c>
      <c r="C50" s="71"/>
      <c r="D50" s="71"/>
      <c r="E50" s="1"/>
      <c r="F50" s="1"/>
      <c r="G50" s="1"/>
      <c r="H50" s="1"/>
      <c r="I50" s="1"/>
      <c r="J50" s="1"/>
      <c r="K50" s="150"/>
      <c r="L50" s="24"/>
      <c r="M50" s="193" t="s">
        <v>361</v>
      </c>
      <c r="N50" s="211">
        <f>N27</f>
        <v>0.995</v>
      </c>
      <c r="O50" s="211">
        <f t="shared" ref="O50:P50" si="1">O27</f>
        <v>1</v>
      </c>
      <c r="P50" s="211">
        <f t="shared" si="1"/>
        <v>0.93666666666666676</v>
      </c>
      <c r="Q50" s="212"/>
      <c r="R50" s="24"/>
      <c r="S50" s="24"/>
      <c r="T50" s="24"/>
      <c r="U50" s="24"/>
      <c r="V50" s="24"/>
    </row>
    <row r="51" spans="1:22" x14ac:dyDescent="0.25">
      <c r="A51" s="69">
        <v>4000</v>
      </c>
      <c r="B51" s="70">
        <v>5</v>
      </c>
      <c r="C51" s="71"/>
      <c r="D51" s="71"/>
      <c r="E51" s="1"/>
      <c r="F51" s="1"/>
      <c r="G51" s="1"/>
      <c r="H51" s="1"/>
      <c r="I51" s="1"/>
      <c r="J51" s="1"/>
      <c r="K51" s="150"/>
      <c r="L51" s="24"/>
      <c r="M51" s="193" t="s">
        <v>362</v>
      </c>
      <c r="N51" s="211">
        <f>$N$40</f>
        <v>0.96666666666666667</v>
      </c>
      <c r="O51" s="211">
        <f>$N$40</f>
        <v>0.96666666666666667</v>
      </c>
      <c r="P51" s="211">
        <f>$N$40</f>
        <v>0.96666666666666667</v>
      </c>
      <c r="R51" s="24"/>
      <c r="S51" s="24"/>
      <c r="T51" s="24"/>
      <c r="U51" s="24"/>
      <c r="V51" s="24"/>
    </row>
    <row r="52" spans="1:22" x14ac:dyDescent="0.25">
      <c r="A52" s="59" t="s">
        <v>158</v>
      </c>
      <c r="B52" s="70">
        <v>0</v>
      </c>
      <c r="C52" s="71"/>
      <c r="D52" s="71"/>
      <c r="E52" s="1"/>
      <c r="F52" s="1"/>
      <c r="G52" s="1"/>
      <c r="H52" s="1"/>
      <c r="I52" s="1"/>
      <c r="J52" s="1"/>
      <c r="K52" s="150"/>
      <c r="L52" s="24"/>
      <c r="M52" s="193" t="s">
        <v>363</v>
      </c>
      <c r="N52" s="210">
        <f>+N49*N50*N51</f>
        <v>281.30223957333334</v>
      </c>
      <c r="O52" s="210">
        <f>+O49*O50*O51</f>
        <v>254.44423680000003</v>
      </c>
      <c r="P52" s="210">
        <f>+P49*P50*P51</f>
        <v>211.84838678755563</v>
      </c>
      <c r="Q52" s="213">
        <f>SUM(N52:P52)</f>
        <v>747.59486316088896</v>
      </c>
      <c r="R52" s="24"/>
      <c r="S52" s="24"/>
      <c r="T52" s="24"/>
      <c r="U52" s="24"/>
      <c r="V52" s="24"/>
    </row>
    <row r="53" spans="1:22" x14ac:dyDescent="0.25">
      <c r="A53" s="74"/>
      <c r="B53" s="75"/>
      <c r="C53" s="75"/>
      <c r="D53" s="75"/>
      <c r="E53" s="1"/>
      <c r="F53" s="1"/>
      <c r="G53" s="1"/>
      <c r="H53" s="1"/>
      <c r="I53" s="1"/>
      <c r="J53" s="1"/>
      <c r="K53" s="150"/>
      <c r="L53" s="24"/>
      <c r="M53" s="193"/>
      <c r="N53" s="210"/>
      <c r="O53" s="210"/>
      <c r="P53" s="210"/>
      <c r="Q53" s="213"/>
      <c r="R53" s="24"/>
      <c r="S53" s="24"/>
      <c r="T53" s="24"/>
      <c r="U53" s="24"/>
      <c r="V53" s="24"/>
    </row>
    <row r="54" spans="1:22" x14ac:dyDescent="0.25">
      <c r="A54" s="74" t="s">
        <v>297</v>
      </c>
      <c r="B54" s="61"/>
      <c r="C54" s="61"/>
      <c r="D54" s="61"/>
      <c r="E54" s="1"/>
      <c r="F54" s="1"/>
      <c r="G54" s="1"/>
      <c r="H54" s="1"/>
      <c r="I54" s="1"/>
      <c r="J54" s="1"/>
      <c r="K54" s="150"/>
      <c r="L54" s="24"/>
      <c r="M54" s="201" t="s">
        <v>364</v>
      </c>
      <c r="R54" s="24"/>
      <c r="S54" s="24"/>
      <c r="T54" s="24"/>
      <c r="U54" s="24"/>
      <c r="V54" s="24"/>
    </row>
    <row r="55" spans="1:22" x14ac:dyDescent="0.25">
      <c r="A55" s="1"/>
      <c r="B55" s="1"/>
      <c r="C55" s="1"/>
      <c r="D55" s="1"/>
      <c r="E55" s="1"/>
      <c r="F55" s="1"/>
      <c r="G55" s="1"/>
      <c r="H55" s="1"/>
      <c r="I55" s="1"/>
      <c r="J55" s="1"/>
      <c r="K55" s="150"/>
      <c r="L55" s="24"/>
      <c r="R55" s="24"/>
      <c r="S55" s="24"/>
      <c r="T55" s="24"/>
      <c r="U55" s="24"/>
      <c r="V55" s="24"/>
    </row>
    <row r="56" spans="1:22" x14ac:dyDescent="0.25">
      <c r="A56" s="63" t="s">
        <v>159</v>
      </c>
      <c r="B56" s="67"/>
      <c r="C56" s="1"/>
      <c r="D56" s="1"/>
      <c r="E56" s="1"/>
      <c r="F56" s="1"/>
      <c r="G56" s="1"/>
      <c r="H56" s="1"/>
      <c r="I56" s="1"/>
      <c r="J56" s="1"/>
      <c r="K56" s="150"/>
      <c r="L56" s="24"/>
      <c r="R56" s="24"/>
      <c r="S56" s="24"/>
      <c r="T56" s="24"/>
      <c r="U56" s="24"/>
      <c r="V56" s="24"/>
    </row>
    <row r="57" spans="1:22" x14ac:dyDescent="0.25">
      <c r="A57" s="104" t="s">
        <v>47</v>
      </c>
      <c r="B57" s="11" t="s">
        <v>160</v>
      </c>
      <c r="C57" s="1"/>
      <c r="D57" s="1"/>
      <c r="E57" s="1"/>
      <c r="F57" s="1"/>
      <c r="G57" s="1"/>
      <c r="H57" s="1"/>
      <c r="I57" s="1"/>
      <c r="J57" s="1"/>
      <c r="K57" s="150"/>
      <c r="L57" s="24"/>
      <c r="M57" s="198" t="s">
        <v>365</v>
      </c>
      <c r="N57" s="210"/>
      <c r="O57" s="210"/>
      <c r="P57" s="210"/>
      <c r="Q57" s="213"/>
      <c r="R57" s="24"/>
      <c r="S57" s="24"/>
      <c r="T57" s="24"/>
      <c r="U57" s="24"/>
      <c r="V57" s="24"/>
    </row>
    <row r="58" spans="1:22" x14ac:dyDescent="0.25">
      <c r="A58" s="59" t="s">
        <v>151</v>
      </c>
      <c r="B58" s="76">
        <v>4</v>
      </c>
      <c r="C58" s="1"/>
      <c r="D58" s="1"/>
      <c r="E58" s="1"/>
      <c r="F58" s="1"/>
      <c r="G58" s="1"/>
      <c r="H58" s="1"/>
      <c r="I58" s="1"/>
      <c r="J58" s="1"/>
      <c r="K58" s="150"/>
      <c r="L58" s="24"/>
      <c r="M58" s="198"/>
      <c r="N58" s="210"/>
      <c r="O58" s="210"/>
      <c r="P58" s="210"/>
      <c r="Q58" s="213"/>
      <c r="R58" s="24"/>
      <c r="S58" s="202"/>
      <c r="T58" s="24"/>
      <c r="U58" s="24"/>
      <c r="V58" s="24"/>
    </row>
    <row r="59" spans="1:22" x14ac:dyDescent="0.25">
      <c r="A59" s="59" t="s">
        <v>152</v>
      </c>
      <c r="B59" s="76">
        <v>5</v>
      </c>
      <c r="C59" s="1"/>
      <c r="D59" s="1"/>
      <c r="E59" s="1"/>
      <c r="F59" s="1"/>
      <c r="G59" s="1"/>
      <c r="H59" s="1"/>
      <c r="I59" s="1"/>
      <c r="J59" s="1"/>
      <c r="K59" s="150"/>
      <c r="L59" s="24"/>
      <c r="M59" s="193" t="s">
        <v>165</v>
      </c>
      <c r="N59" s="214">
        <f>B76</f>
        <v>1</v>
      </c>
      <c r="O59" s="214">
        <f>B77</f>
        <v>0.8</v>
      </c>
      <c r="P59" s="214">
        <f>B78</f>
        <v>0.5</v>
      </c>
      <c r="R59" s="24"/>
      <c r="S59" s="24"/>
      <c r="T59" s="24"/>
      <c r="U59" s="24"/>
      <c r="V59" s="24"/>
    </row>
    <row r="60" spans="1:22" x14ac:dyDescent="0.25">
      <c r="A60" s="59" t="s">
        <v>153</v>
      </c>
      <c r="B60" s="76">
        <v>5</v>
      </c>
      <c r="C60" s="1"/>
      <c r="D60" s="1"/>
      <c r="E60" s="1"/>
      <c r="F60" s="1"/>
      <c r="G60" s="1"/>
      <c r="H60" s="1"/>
      <c r="I60" s="1"/>
      <c r="J60" s="1"/>
      <c r="K60" s="203"/>
      <c r="L60" s="24"/>
      <c r="M60" s="193" t="s">
        <v>366</v>
      </c>
      <c r="N60" s="210">
        <f>+N52*N59</f>
        <v>281.30223957333334</v>
      </c>
      <c r="O60" s="210">
        <f>+O52*O59</f>
        <v>203.55538944000003</v>
      </c>
      <c r="P60" s="210">
        <f>+P52*P59</f>
        <v>105.92419339377781</v>
      </c>
      <c r="Q60" s="210">
        <f>SUM(N60:P60)</f>
        <v>590.78182240711124</v>
      </c>
      <c r="R60" s="24"/>
      <c r="S60" s="24"/>
      <c r="T60" s="24"/>
      <c r="U60" s="24"/>
      <c r="V60" s="24"/>
    </row>
    <row r="61" spans="1:22" x14ac:dyDescent="0.25">
      <c r="A61" s="59" t="s">
        <v>161</v>
      </c>
      <c r="B61" s="76">
        <v>6</v>
      </c>
      <c r="C61" s="1"/>
      <c r="D61" s="1"/>
      <c r="E61" s="1"/>
      <c r="F61" s="1"/>
      <c r="G61" s="1"/>
      <c r="H61" s="1"/>
      <c r="I61" s="1"/>
      <c r="J61" s="1"/>
      <c r="L61" s="24"/>
      <c r="M61" s="193" t="s">
        <v>367</v>
      </c>
      <c r="Q61" s="215">
        <f>B39</f>
        <v>35</v>
      </c>
      <c r="R61" s="24"/>
      <c r="S61" s="24"/>
      <c r="T61" s="24"/>
      <c r="U61" s="24"/>
      <c r="V61" s="24"/>
    </row>
    <row r="62" spans="1:22" x14ac:dyDescent="0.25">
      <c r="A62" s="59" t="s">
        <v>50</v>
      </c>
      <c r="B62" s="76">
        <v>10</v>
      </c>
      <c r="C62" s="1"/>
      <c r="D62" s="1"/>
      <c r="E62" s="1"/>
      <c r="F62" s="1"/>
      <c r="G62" s="1"/>
      <c r="H62" s="1"/>
      <c r="I62" s="1"/>
      <c r="J62" s="1"/>
      <c r="L62" s="24"/>
      <c r="M62" s="193" t="s">
        <v>368</v>
      </c>
      <c r="Q62" s="215">
        <f>B51</f>
        <v>5</v>
      </c>
      <c r="R62" s="24"/>
      <c r="S62" s="24"/>
      <c r="T62" s="24"/>
      <c r="U62" s="24"/>
      <c r="V62" s="24"/>
    </row>
    <row r="63" spans="1:22" x14ac:dyDescent="0.25">
      <c r="A63" s="66"/>
      <c r="B63" s="77"/>
      <c r="C63" s="61"/>
      <c r="D63" s="61"/>
      <c r="E63" s="1"/>
      <c r="F63" s="1"/>
      <c r="G63" s="1"/>
      <c r="H63" s="1"/>
      <c r="I63" s="1"/>
      <c r="J63" s="1"/>
      <c r="L63" s="24"/>
      <c r="M63" s="193" t="s">
        <v>369</v>
      </c>
      <c r="Q63" s="210">
        <f>+Q60-Q61-Q62</f>
        <v>550.78182240711124</v>
      </c>
      <c r="R63" s="24"/>
      <c r="S63" s="24"/>
      <c r="T63" s="24"/>
      <c r="U63" s="24"/>
      <c r="V63" s="24"/>
    </row>
    <row r="64" spans="1:22" x14ac:dyDescent="0.25">
      <c r="A64" s="63" t="s">
        <v>162</v>
      </c>
      <c r="B64" s="67"/>
      <c r="C64" s="61"/>
      <c r="D64" s="61"/>
      <c r="E64" s="1"/>
      <c r="F64" s="1"/>
      <c r="G64" s="1"/>
      <c r="H64" s="1"/>
      <c r="I64" s="1"/>
      <c r="J64" s="1"/>
      <c r="L64" s="24"/>
      <c r="M64" s="24"/>
      <c r="N64" s="24"/>
      <c r="O64" s="24"/>
      <c r="P64" s="24"/>
      <c r="Q64" s="24"/>
      <c r="R64" s="24"/>
      <c r="S64" s="24"/>
      <c r="T64" s="24"/>
      <c r="U64" s="24"/>
      <c r="V64" s="24"/>
    </row>
    <row r="65" spans="1:22" x14ac:dyDescent="0.25">
      <c r="A65" s="104" t="s">
        <v>143</v>
      </c>
      <c r="B65" s="11" t="s">
        <v>160</v>
      </c>
      <c r="C65" s="61"/>
      <c r="D65" s="61"/>
      <c r="E65" s="1"/>
      <c r="F65" s="1"/>
      <c r="G65" s="1"/>
      <c r="H65" s="1"/>
      <c r="I65" s="1"/>
      <c r="J65" s="1"/>
      <c r="L65" s="24"/>
      <c r="M65" s="202" t="s">
        <v>370</v>
      </c>
      <c r="N65" s="24"/>
      <c r="O65" s="24"/>
      <c r="P65" s="24"/>
      <c r="Q65" s="24"/>
      <c r="R65" s="24"/>
      <c r="S65" s="24"/>
      <c r="T65" s="24"/>
      <c r="U65" s="24"/>
      <c r="V65" s="24"/>
    </row>
    <row r="66" spans="1:22" x14ac:dyDescent="0.25">
      <c r="A66" s="59" t="s">
        <v>144</v>
      </c>
      <c r="B66" s="76">
        <v>0</v>
      </c>
      <c r="C66" s="71"/>
      <c r="D66" s="71"/>
      <c r="E66" s="1"/>
      <c r="F66" s="1"/>
      <c r="G66" s="1"/>
      <c r="H66" s="1"/>
      <c r="I66" s="1"/>
      <c r="J66" s="1"/>
      <c r="L66" s="88"/>
      <c r="M66" s="202" t="s">
        <v>371</v>
      </c>
      <c r="N66" s="24"/>
      <c r="O66" s="24"/>
      <c r="P66" s="24"/>
      <c r="Q66" s="24"/>
      <c r="R66" s="24"/>
      <c r="S66" s="24"/>
      <c r="T66" s="24"/>
      <c r="U66" s="24"/>
      <c r="V66" s="24"/>
    </row>
    <row r="67" spans="1:22" x14ac:dyDescent="0.25">
      <c r="A67" s="59" t="s">
        <v>145</v>
      </c>
      <c r="B67" s="76">
        <v>0</v>
      </c>
      <c r="C67" s="71"/>
      <c r="D67" s="71"/>
      <c r="E67" s="1"/>
      <c r="F67" s="1"/>
      <c r="G67" s="1"/>
      <c r="H67" s="1"/>
      <c r="I67" s="1"/>
      <c r="J67" s="1"/>
      <c r="M67" s="202" t="s">
        <v>372</v>
      </c>
    </row>
    <row r="68" spans="1:22" x14ac:dyDescent="0.25">
      <c r="A68" s="59" t="s">
        <v>146</v>
      </c>
      <c r="B68" s="76">
        <v>5</v>
      </c>
      <c r="C68" s="71"/>
      <c r="D68" s="71"/>
      <c r="E68" s="1"/>
      <c r="F68" s="1"/>
      <c r="G68" s="1"/>
      <c r="H68" s="1"/>
      <c r="I68" s="1"/>
      <c r="J68" s="1"/>
      <c r="M68" s="202" t="s">
        <v>373</v>
      </c>
    </row>
    <row r="69" spans="1:22" x14ac:dyDescent="0.25">
      <c r="A69" s="59" t="s">
        <v>147</v>
      </c>
      <c r="B69" s="76">
        <v>5</v>
      </c>
      <c r="C69" s="71"/>
      <c r="D69" s="71"/>
      <c r="E69" s="1"/>
      <c r="F69" s="1"/>
      <c r="G69" s="1"/>
      <c r="H69" s="1"/>
      <c r="I69" s="1"/>
      <c r="J69" s="1"/>
    </row>
    <row r="70" spans="1:22" x14ac:dyDescent="0.25">
      <c r="A70" s="59" t="s">
        <v>148</v>
      </c>
      <c r="B70" s="76">
        <v>5</v>
      </c>
      <c r="C70" s="71"/>
      <c r="D70" s="71"/>
      <c r="E70" s="1"/>
      <c r="F70" s="1"/>
      <c r="G70" s="1"/>
      <c r="H70" s="1"/>
      <c r="I70" s="1"/>
      <c r="J70" s="1"/>
    </row>
    <row r="71" spans="1:22" x14ac:dyDescent="0.25">
      <c r="A71" s="59" t="s">
        <v>149</v>
      </c>
      <c r="B71" s="76">
        <v>15</v>
      </c>
      <c r="C71" s="71"/>
      <c r="D71" s="71"/>
      <c r="E71" s="1"/>
      <c r="F71" s="1"/>
      <c r="G71" s="1"/>
      <c r="H71" s="1"/>
      <c r="I71" s="1"/>
      <c r="J71" s="1"/>
    </row>
    <row r="72" spans="1:22" x14ac:dyDescent="0.25">
      <c r="A72" s="1"/>
      <c r="B72" s="78"/>
      <c r="C72" s="1"/>
      <c r="D72" s="1"/>
      <c r="E72" s="1"/>
      <c r="F72" s="1"/>
      <c r="G72" s="1"/>
      <c r="H72" s="1"/>
      <c r="I72" s="1"/>
      <c r="J72" s="1"/>
    </row>
    <row r="73" spans="1:22" x14ac:dyDescent="0.25">
      <c r="A73" s="63" t="s">
        <v>163</v>
      </c>
      <c r="B73" s="67"/>
      <c r="C73" s="1"/>
      <c r="D73" s="1"/>
      <c r="E73" s="1"/>
      <c r="F73" s="1"/>
      <c r="G73" s="1"/>
      <c r="H73" s="1"/>
      <c r="I73" s="1"/>
      <c r="J73" s="1"/>
    </row>
    <row r="74" spans="1:22" x14ac:dyDescent="0.25">
      <c r="A74" s="79" t="s">
        <v>164</v>
      </c>
      <c r="B74" s="107">
        <v>50</v>
      </c>
      <c r="C74" s="1"/>
      <c r="D74" s="1"/>
      <c r="E74" s="1"/>
      <c r="F74" s="1"/>
      <c r="G74" s="1"/>
      <c r="H74" s="1"/>
      <c r="I74" s="1"/>
      <c r="J74" s="1"/>
    </row>
    <row r="75" spans="1:22" x14ac:dyDescent="0.25">
      <c r="A75" s="79" t="s">
        <v>165</v>
      </c>
      <c r="B75" s="11"/>
      <c r="C75" s="1"/>
      <c r="D75" s="1"/>
      <c r="E75" s="1"/>
      <c r="F75" s="1"/>
      <c r="G75" s="1"/>
      <c r="H75" s="1"/>
      <c r="I75" s="1"/>
      <c r="J75" s="1"/>
    </row>
    <row r="76" spans="1:22" x14ac:dyDescent="0.25">
      <c r="A76" s="80" t="s">
        <v>139</v>
      </c>
      <c r="B76" s="52">
        <v>1</v>
      </c>
      <c r="C76" s="1"/>
      <c r="D76" s="1"/>
      <c r="E76" s="1"/>
      <c r="F76" s="1"/>
      <c r="G76" s="1"/>
      <c r="H76" s="1"/>
      <c r="I76" s="1"/>
      <c r="J76" s="1"/>
    </row>
    <row r="77" spans="1:22" x14ac:dyDescent="0.25">
      <c r="A77" s="80" t="s">
        <v>140</v>
      </c>
      <c r="B77" s="52">
        <v>0.8</v>
      </c>
      <c r="C77" s="1"/>
      <c r="D77" s="1"/>
      <c r="E77" s="1"/>
      <c r="F77" s="1"/>
      <c r="G77" s="1"/>
      <c r="H77" s="1"/>
      <c r="I77" s="1"/>
      <c r="J77" s="1"/>
    </row>
    <row r="78" spans="1:22" x14ac:dyDescent="0.25">
      <c r="A78" s="80" t="s">
        <v>141</v>
      </c>
      <c r="B78" s="52">
        <v>0.5</v>
      </c>
      <c r="C78" s="1"/>
      <c r="D78" s="1"/>
      <c r="E78" s="1"/>
      <c r="F78" s="1"/>
      <c r="G78" s="1"/>
      <c r="H78" s="1"/>
      <c r="I78" s="1"/>
      <c r="J78" s="1"/>
    </row>
    <row r="79" spans="1:22" x14ac:dyDescent="0.25">
      <c r="A79" s="79" t="s">
        <v>166</v>
      </c>
      <c r="B79" s="107">
        <v>4000</v>
      </c>
      <c r="C79" s="1"/>
      <c r="D79" s="1"/>
      <c r="E79" s="1"/>
      <c r="F79" s="1"/>
      <c r="G79" s="1"/>
      <c r="H79" s="1"/>
      <c r="I79" s="1"/>
      <c r="J79" s="1"/>
    </row>
    <row r="80" spans="1:22" x14ac:dyDescent="0.25">
      <c r="A80" s="1"/>
      <c r="B80" s="1"/>
      <c r="C80" s="1"/>
      <c r="D80" s="1"/>
      <c r="E80" s="1"/>
      <c r="F80" s="1"/>
      <c r="G80" s="1"/>
      <c r="H80" s="1"/>
      <c r="I80" s="1"/>
      <c r="J80" s="1"/>
    </row>
    <row r="81" spans="1:23" x14ac:dyDescent="0.25">
      <c r="A81" s="25" t="s">
        <v>298</v>
      </c>
      <c r="B81" s="8"/>
      <c r="C81" s="1"/>
      <c r="D81" s="1"/>
      <c r="E81" s="1"/>
      <c r="F81" s="1"/>
      <c r="G81" s="1"/>
      <c r="H81" s="1"/>
      <c r="I81" s="1"/>
      <c r="J81" s="1"/>
    </row>
    <row r="83" spans="1:23" x14ac:dyDescent="0.25">
      <c r="A83" s="2" t="s">
        <v>0</v>
      </c>
    </row>
    <row r="84" spans="1:23" s="24" customFormat="1" x14ac:dyDescent="0.25">
      <c r="K84" s="150"/>
      <c r="L84" s="2"/>
      <c r="M84" s="2"/>
      <c r="N84" s="2"/>
      <c r="O84" s="2"/>
      <c r="P84" s="2"/>
      <c r="Q84" s="2"/>
      <c r="R84" s="2"/>
      <c r="S84" s="2"/>
      <c r="T84" s="2"/>
      <c r="U84" s="2"/>
      <c r="V84" s="2"/>
      <c r="W84" s="2"/>
    </row>
    <row r="85" spans="1:23" s="24" customFormat="1" x14ac:dyDescent="0.25">
      <c r="A85" s="2"/>
      <c r="B85" s="2"/>
      <c r="C85" s="2"/>
      <c r="D85" s="2"/>
      <c r="E85" s="2"/>
      <c r="F85" s="2"/>
      <c r="G85" s="2"/>
      <c r="H85" s="2"/>
      <c r="I85" s="2"/>
      <c r="J85" s="2"/>
      <c r="K85" s="150"/>
      <c r="L85" s="2"/>
      <c r="M85" s="2"/>
      <c r="N85" s="2"/>
      <c r="O85" s="2"/>
      <c r="P85" s="2"/>
      <c r="Q85" s="2"/>
      <c r="R85" s="2"/>
      <c r="S85" s="2"/>
      <c r="T85" s="2"/>
      <c r="U85" s="2"/>
      <c r="V85" s="2"/>
      <c r="W85" s="2"/>
    </row>
    <row r="86" spans="1:23" s="24" customFormat="1" x14ac:dyDescent="0.25">
      <c r="A86" s="2"/>
      <c r="B86" s="2"/>
      <c r="C86" s="2"/>
      <c r="D86" s="2"/>
      <c r="E86" s="2"/>
      <c r="F86" s="2"/>
      <c r="G86" s="2"/>
      <c r="H86" s="2"/>
      <c r="I86" s="2"/>
      <c r="J86" s="2"/>
      <c r="K86" s="150"/>
      <c r="L86" s="2"/>
      <c r="M86" s="2"/>
      <c r="N86" s="2"/>
      <c r="O86" s="2"/>
      <c r="P86" s="2"/>
      <c r="Q86" s="2"/>
      <c r="R86" s="2"/>
      <c r="S86" s="2"/>
      <c r="T86" s="2"/>
      <c r="U86" s="2"/>
      <c r="V86" s="2"/>
      <c r="W86" s="2"/>
    </row>
    <row r="87" spans="1:23" s="24" customFormat="1" x14ac:dyDescent="0.25">
      <c r="A87" s="2"/>
      <c r="B87" s="2"/>
      <c r="C87" s="2"/>
      <c r="D87" s="2"/>
      <c r="E87" s="2"/>
      <c r="F87" s="2"/>
      <c r="G87" s="2"/>
      <c r="H87" s="2"/>
      <c r="I87" s="2"/>
      <c r="J87" s="2"/>
      <c r="K87" s="150"/>
      <c r="L87" s="2"/>
      <c r="M87" s="2"/>
      <c r="N87" s="2"/>
      <c r="O87" s="2"/>
      <c r="P87" s="2"/>
      <c r="Q87" s="2"/>
      <c r="R87" s="2"/>
      <c r="S87" s="2"/>
      <c r="T87" s="2"/>
      <c r="U87" s="2"/>
      <c r="V87" s="2"/>
      <c r="W87" s="2"/>
    </row>
    <row r="88" spans="1:23" s="24" customFormat="1" x14ac:dyDescent="0.25">
      <c r="A88" s="2"/>
      <c r="B88" s="2"/>
      <c r="C88" s="2"/>
      <c r="D88" s="2"/>
      <c r="E88" s="2"/>
      <c r="F88" s="2"/>
      <c r="G88" s="2"/>
      <c r="H88" s="2"/>
      <c r="I88" s="2"/>
      <c r="J88" s="2"/>
      <c r="K88" s="150"/>
      <c r="L88" s="2"/>
      <c r="M88" s="2"/>
      <c r="N88" s="2"/>
      <c r="O88" s="2"/>
      <c r="P88" s="2"/>
      <c r="Q88" s="2"/>
      <c r="R88" s="2"/>
      <c r="S88" s="2"/>
      <c r="T88" s="2"/>
      <c r="U88" s="2"/>
      <c r="V88" s="2"/>
      <c r="W88" s="2"/>
    </row>
    <row r="89" spans="1:23" s="24" customFormat="1" x14ac:dyDescent="0.25">
      <c r="A89" s="2"/>
      <c r="B89" s="2"/>
      <c r="C89" s="2"/>
      <c r="D89" s="2"/>
      <c r="E89" s="2"/>
      <c r="F89" s="2"/>
      <c r="G89" s="2"/>
      <c r="H89" s="2"/>
      <c r="I89" s="2"/>
      <c r="J89" s="2"/>
      <c r="K89" s="150"/>
      <c r="L89" s="2"/>
      <c r="M89" s="2"/>
      <c r="N89" s="2"/>
      <c r="O89" s="2"/>
      <c r="P89" s="2"/>
      <c r="Q89" s="2"/>
      <c r="R89" s="2"/>
      <c r="S89" s="2"/>
      <c r="T89" s="2"/>
      <c r="U89" s="2"/>
      <c r="V89" s="2"/>
      <c r="W89" s="2"/>
    </row>
    <row r="90" spans="1:23" s="24" customFormat="1" x14ac:dyDescent="0.25">
      <c r="A90" s="2"/>
      <c r="B90" s="2"/>
      <c r="C90" s="2"/>
      <c r="D90" s="2"/>
      <c r="E90" s="2"/>
      <c r="F90" s="2"/>
      <c r="G90" s="2"/>
      <c r="H90" s="2"/>
      <c r="I90" s="2"/>
      <c r="J90" s="2"/>
      <c r="K90" s="150"/>
    </row>
    <row r="91" spans="1:23" s="24" customFormat="1" x14ac:dyDescent="0.25">
      <c r="A91" s="2"/>
      <c r="B91" s="2"/>
      <c r="C91" s="2"/>
      <c r="D91" s="2"/>
      <c r="E91" s="2"/>
      <c r="F91" s="2"/>
      <c r="G91" s="2"/>
      <c r="H91" s="2"/>
      <c r="I91" s="2"/>
      <c r="J91" s="2"/>
      <c r="K91" s="150"/>
    </row>
    <row r="92" spans="1:23" s="24" customFormat="1" x14ac:dyDescent="0.25">
      <c r="A92" s="2"/>
      <c r="B92" s="2"/>
      <c r="C92" s="2"/>
      <c r="D92" s="2"/>
      <c r="E92" s="2"/>
      <c r="F92" s="2"/>
      <c r="G92" s="2"/>
      <c r="H92" s="2"/>
      <c r="I92" s="2"/>
      <c r="J92" s="2"/>
      <c r="K92" s="150"/>
    </row>
    <row r="93" spans="1:23" s="24" customFormat="1" ht="15" x14ac:dyDescent="0.25">
      <c r="K93" s="150"/>
    </row>
    <row r="94" spans="1:23" s="24" customFormat="1" ht="15" x14ac:dyDescent="0.25">
      <c r="K94" s="150"/>
    </row>
    <row r="95" spans="1:23" s="24" customFormat="1" ht="15" x14ac:dyDescent="0.25">
      <c r="K95" s="150"/>
    </row>
    <row r="96" spans="1:23" s="24" customFormat="1" x14ac:dyDescent="0.25">
      <c r="A96" s="4" t="s">
        <v>477</v>
      </c>
      <c r="B96" s="1"/>
      <c r="C96" s="1"/>
      <c r="D96" s="1"/>
      <c r="E96" s="1"/>
      <c r="F96" s="1"/>
      <c r="G96" s="1"/>
      <c r="H96" s="1"/>
      <c r="I96" s="1"/>
      <c r="J96" s="1"/>
      <c r="K96" s="150"/>
    </row>
    <row r="97" spans="1:23" s="24" customFormat="1" ht="15" x14ac:dyDescent="0.25">
      <c r="K97" s="150"/>
    </row>
    <row r="98" spans="1:23" s="24" customFormat="1" x14ac:dyDescent="0.25">
      <c r="A98" s="3" t="s">
        <v>2</v>
      </c>
      <c r="B98" s="3"/>
      <c r="C98" s="3"/>
      <c r="D98" s="3"/>
      <c r="E98" s="3"/>
      <c r="F98" s="3"/>
      <c r="G98" s="3"/>
      <c r="H98" s="3"/>
      <c r="I98" s="3"/>
      <c r="J98" s="3"/>
      <c r="K98" s="150"/>
    </row>
    <row r="99" spans="1:23" s="24" customFormat="1" ht="15" x14ac:dyDescent="0.25">
      <c r="K99" s="150"/>
    </row>
    <row r="100" spans="1:23" s="24" customFormat="1" ht="15" x14ac:dyDescent="0.25">
      <c r="K100" s="150"/>
    </row>
    <row r="101" spans="1:23" s="24" customFormat="1" ht="15" x14ac:dyDescent="0.25">
      <c r="K101" s="150"/>
    </row>
    <row r="102" spans="1:23" s="24" customFormat="1" ht="15" x14ac:dyDescent="0.25">
      <c r="K102" s="150"/>
    </row>
    <row r="103" spans="1:23" s="24" customFormat="1" ht="15" x14ac:dyDescent="0.25">
      <c r="K103" s="150"/>
    </row>
    <row r="104" spans="1:23" s="24" customFormat="1" ht="15" x14ac:dyDescent="0.25">
      <c r="K104" s="150"/>
    </row>
    <row r="105" spans="1:23" s="24" customFormat="1" ht="15" x14ac:dyDescent="0.25">
      <c r="K105" s="150"/>
    </row>
    <row r="106" spans="1:23" s="24" customFormat="1" ht="15" x14ac:dyDescent="0.25">
      <c r="K106" s="150"/>
    </row>
    <row r="107" spans="1:23" s="24" customFormat="1" ht="15" x14ac:dyDescent="0.25">
      <c r="K107" s="150"/>
    </row>
    <row r="108" spans="1:23" s="24" customFormat="1" ht="15" x14ac:dyDescent="0.25">
      <c r="K108" s="150"/>
    </row>
    <row r="109" spans="1:23" x14ac:dyDescent="0.25">
      <c r="L109" s="24"/>
      <c r="M109" s="24"/>
      <c r="N109" s="24"/>
      <c r="O109" s="24"/>
      <c r="P109" s="24"/>
      <c r="Q109" s="24"/>
      <c r="R109" s="24"/>
      <c r="S109" s="24"/>
      <c r="T109" s="24"/>
      <c r="U109" s="24"/>
      <c r="V109" s="24"/>
      <c r="W109" s="24"/>
    </row>
    <row r="110" spans="1:23" x14ac:dyDescent="0.25">
      <c r="L110" s="24"/>
      <c r="M110" s="24"/>
      <c r="N110" s="24"/>
      <c r="O110" s="24"/>
      <c r="P110" s="24"/>
      <c r="Q110" s="24"/>
      <c r="R110" s="24"/>
      <c r="S110" s="24"/>
      <c r="T110" s="24"/>
      <c r="U110" s="24"/>
      <c r="V110" s="24"/>
      <c r="W110" s="24"/>
    </row>
    <row r="111" spans="1:23" x14ac:dyDescent="0.25">
      <c r="L111" s="24"/>
      <c r="M111" s="24"/>
      <c r="N111" s="24"/>
      <c r="O111" s="24"/>
      <c r="P111" s="24"/>
      <c r="Q111" s="24"/>
      <c r="R111" s="24"/>
      <c r="S111" s="24"/>
      <c r="T111" s="24"/>
      <c r="U111" s="24"/>
      <c r="V111" s="24"/>
      <c r="W111" s="24"/>
    </row>
    <row r="112" spans="1:23" x14ac:dyDescent="0.25">
      <c r="L112" s="24"/>
      <c r="M112" s="24"/>
      <c r="N112" s="24"/>
      <c r="O112" s="24"/>
      <c r="P112" s="24"/>
      <c r="Q112" s="24"/>
      <c r="R112" s="24"/>
      <c r="S112" s="24"/>
      <c r="T112" s="24"/>
      <c r="U112" s="24"/>
      <c r="V112" s="24"/>
      <c r="W112" s="24"/>
    </row>
    <row r="113" spans="12:23" x14ac:dyDescent="0.25">
      <c r="L113" s="24"/>
      <c r="M113" s="24"/>
      <c r="N113" s="24"/>
      <c r="O113" s="24"/>
      <c r="P113" s="24"/>
      <c r="Q113" s="24"/>
      <c r="R113" s="24"/>
      <c r="S113" s="24"/>
      <c r="T113" s="24"/>
      <c r="U113" s="24"/>
      <c r="V113" s="24"/>
      <c r="W113" s="24"/>
    </row>
    <row r="114" spans="12:23" x14ac:dyDescent="0.25">
      <c r="L114" s="24"/>
      <c r="M114" s="24"/>
      <c r="N114" s="24"/>
      <c r="O114" s="24"/>
      <c r="P114" s="24"/>
      <c r="Q114" s="24"/>
      <c r="R114" s="24"/>
      <c r="S114" s="24"/>
      <c r="T114" s="24"/>
      <c r="U114" s="24"/>
      <c r="V114" s="24"/>
      <c r="W114" s="2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0E12A-2552-924E-9735-1946CE6F5388}">
  <dimension ref="A1:X51"/>
  <sheetViews>
    <sheetView workbookViewId="0"/>
  </sheetViews>
  <sheetFormatPr defaultColWidth="9.140625" defaultRowHeight="15.75" x14ac:dyDescent="0.25"/>
  <cols>
    <col min="1" max="1" width="17.42578125" style="2" customWidth="1"/>
    <col min="2" max="2" width="33.42578125" style="2" customWidth="1"/>
    <col min="3" max="3" width="23" style="2" customWidth="1"/>
    <col min="4" max="4" width="20.28515625" style="2" customWidth="1"/>
    <col min="5" max="5" width="15.7109375" style="2" customWidth="1"/>
    <col min="6" max="6" width="15" style="2" customWidth="1"/>
    <col min="7" max="7" width="11.42578125" style="2" bestFit="1" customWidth="1"/>
    <col min="8" max="10" width="10.140625" style="2" customWidth="1"/>
    <col min="11" max="11" width="3.28515625" style="2" customWidth="1"/>
    <col min="12" max="12" width="4.140625" style="2" customWidth="1"/>
    <col min="13" max="13" width="17" style="2" bestFit="1" customWidth="1"/>
    <col min="14" max="14" width="16.140625" style="2" bestFit="1" customWidth="1"/>
    <col min="15" max="15" width="21.140625" style="2" bestFit="1" customWidth="1"/>
    <col min="16" max="16" width="19.7109375" style="2" bestFit="1" customWidth="1"/>
    <col min="17" max="17" width="11.42578125" style="2" bestFit="1" customWidth="1"/>
    <col min="18" max="19" width="19.42578125" style="2" bestFit="1" customWidth="1"/>
    <col min="20" max="20" width="16" style="2" bestFit="1" customWidth="1"/>
    <col min="21" max="21" width="14.28515625" style="2" bestFit="1" customWidth="1"/>
    <col min="22" max="22" width="10.7109375" style="2" bestFit="1" customWidth="1"/>
    <col min="23" max="23" width="9.140625" style="2"/>
    <col min="24" max="24" width="3.28515625" style="2" customWidth="1"/>
    <col min="25" max="16384" width="9.140625" style="2"/>
  </cols>
  <sheetData>
    <row r="1" spans="1:24" x14ac:dyDescent="0.25">
      <c r="A1" s="6" t="s">
        <v>16</v>
      </c>
      <c r="B1" s="1"/>
      <c r="C1" s="1"/>
      <c r="D1" s="1"/>
      <c r="E1" s="1"/>
      <c r="F1" s="1"/>
      <c r="G1" s="1"/>
      <c r="H1" s="1"/>
      <c r="I1" s="1"/>
      <c r="J1" s="1"/>
      <c r="K1" s="150"/>
      <c r="L1" s="2" t="s">
        <v>0</v>
      </c>
      <c r="X1" s="150"/>
    </row>
    <row r="2" spans="1:24" x14ac:dyDescent="0.25">
      <c r="A2" s="1" t="s">
        <v>24</v>
      </c>
      <c r="B2" s="1"/>
      <c r="C2" s="1"/>
      <c r="D2" s="1"/>
      <c r="E2" s="1"/>
      <c r="F2" s="1"/>
      <c r="G2" s="1"/>
      <c r="H2" s="1"/>
      <c r="I2" s="1"/>
      <c r="J2" s="1"/>
      <c r="K2" s="150"/>
      <c r="X2" s="150"/>
    </row>
    <row r="3" spans="1:24" x14ac:dyDescent="0.25">
      <c r="K3" s="150"/>
      <c r="M3" s="2" t="s">
        <v>306</v>
      </c>
      <c r="N3" s="2" t="s">
        <v>301</v>
      </c>
      <c r="X3" s="150"/>
    </row>
    <row r="4" spans="1:24" x14ac:dyDescent="0.25">
      <c r="A4" s="4" t="s">
        <v>52</v>
      </c>
      <c r="B4" s="1"/>
      <c r="C4" s="1"/>
      <c r="D4" s="1"/>
      <c r="E4" s="1"/>
      <c r="F4" s="1"/>
      <c r="G4" s="1"/>
      <c r="H4" s="1"/>
      <c r="I4" s="1"/>
      <c r="J4" s="1"/>
      <c r="K4" s="150"/>
      <c r="X4" s="150"/>
    </row>
    <row r="5" spans="1:24" x14ac:dyDescent="0.25">
      <c r="K5" s="150"/>
      <c r="X5" s="150"/>
    </row>
    <row r="6" spans="1:24" x14ac:dyDescent="0.25">
      <c r="A6" s="1"/>
      <c r="B6" s="1"/>
      <c r="C6" s="1"/>
      <c r="D6" s="1"/>
      <c r="E6" s="1"/>
      <c r="F6" s="1"/>
      <c r="G6" s="1"/>
      <c r="H6" s="1"/>
      <c r="I6" s="1"/>
      <c r="J6" s="1"/>
      <c r="K6" s="150"/>
      <c r="M6" s="151" t="s">
        <v>48</v>
      </c>
      <c r="X6" s="150"/>
    </row>
    <row r="7" spans="1:24" x14ac:dyDescent="0.25">
      <c r="A7" s="16" t="s">
        <v>242</v>
      </c>
      <c r="B7" s="16"/>
      <c r="C7" s="1"/>
      <c r="D7" s="1"/>
      <c r="E7" s="1"/>
      <c r="F7" s="1"/>
      <c r="G7" s="1"/>
      <c r="H7" s="1"/>
      <c r="I7" s="1"/>
      <c r="J7" s="1"/>
      <c r="K7" s="150"/>
      <c r="N7" s="319" t="s">
        <v>471</v>
      </c>
      <c r="O7" s="320"/>
      <c r="P7" s="320"/>
      <c r="Q7" s="320"/>
      <c r="R7" s="320"/>
      <c r="S7" s="320"/>
      <c r="T7" s="320"/>
      <c r="U7" s="320"/>
      <c r="V7" s="320"/>
      <c r="X7" s="150"/>
    </row>
    <row r="8" spans="1:24" x14ac:dyDescent="0.25">
      <c r="A8" s="66"/>
      <c r="B8" s="66"/>
      <c r="C8" s="1"/>
      <c r="D8" s="1"/>
      <c r="E8" s="1"/>
      <c r="F8" s="1"/>
      <c r="G8" s="1"/>
      <c r="H8" s="1"/>
      <c r="I8" s="1"/>
      <c r="J8" s="1"/>
      <c r="K8" s="150"/>
      <c r="N8" s="320" t="s">
        <v>472</v>
      </c>
      <c r="O8" s="320"/>
      <c r="P8" s="320"/>
      <c r="Q8" s="320"/>
      <c r="R8" s="320"/>
      <c r="S8" s="320"/>
      <c r="T8" s="320"/>
      <c r="U8" s="320"/>
      <c r="V8" s="320"/>
      <c r="X8" s="150"/>
    </row>
    <row r="9" spans="1:24" x14ac:dyDescent="0.25">
      <c r="A9" s="114" t="s">
        <v>243</v>
      </c>
      <c r="B9" s="115"/>
      <c r="C9" s="52">
        <v>0.75</v>
      </c>
      <c r="D9" s="1"/>
      <c r="E9" s="1"/>
      <c r="F9" s="1"/>
      <c r="G9" s="1"/>
      <c r="H9" s="1"/>
      <c r="I9" s="1"/>
      <c r="J9" s="1"/>
      <c r="K9" s="150"/>
      <c r="N9" s="321" t="s">
        <v>46</v>
      </c>
      <c r="O9" s="321" t="s">
        <v>173</v>
      </c>
      <c r="P9" s="321" t="s">
        <v>43</v>
      </c>
      <c r="Q9" s="321" t="s">
        <v>473</v>
      </c>
      <c r="R9" s="321" t="s">
        <v>474</v>
      </c>
      <c r="S9" s="321" t="s">
        <v>475</v>
      </c>
      <c r="T9" s="321" t="s">
        <v>223</v>
      </c>
      <c r="U9" s="322" t="s">
        <v>476</v>
      </c>
      <c r="V9" s="323"/>
      <c r="X9" s="150"/>
    </row>
    <row r="10" spans="1:24" x14ac:dyDescent="0.25">
      <c r="A10" s="7"/>
      <c r="B10" s="1"/>
      <c r="C10" s="1"/>
      <c r="D10" s="1"/>
      <c r="E10" s="1"/>
      <c r="F10" s="1"/>
      <c r="G10" s="1"/>
      <c r="H10" s="1"/>
      <c r="I10" s="1"/>
      <c r="J10" s="1"/>
      <c r="K10" s="150"/>
      <c r="N10" s="324" t="s">
        <v>34</v>
      </c>
      <c r="O10" s="325">
        <f>B21</f>
        <v>1.1499999999999999</v>
      </c>
      <c r="P10" s="326">
        <v>1000000</v>
      </c>
      <c r="Q10" s="326">
        <v>850000</v>
      </c>
      <c r="R10" s="327">
        <f>Q10/P10</f>
        <v>0.85</v>
      </c>
      <c r="S10" s="327">
        <f>$B$13/$B$12</f>
        <v>0.76923076923076927</v>
      </c>
      <c r="T10" s="328">
        <f>O10*R10/S10</f>
        <v>1.2707499999999998</v>
      </c>
      <c r="U10" s="329">
        <f>75%*O10+(1-75%)*T10</f>
        <v>1.1801874999999999</v>
      </c>
      <c r="V10" s="323"/>
      <c r="X10" s="150"/>
    </row>
    <row r="11" spans="1:24" x14ac:dyDescent="0.25">
      <c r="A11" s="108" t="s">
        <v>170</v>
      </c>
      <c r="B11" s="81"/>
      <c r="C11" s="1"/>
      <c r="D11" s="82"/>
      <c r="E11" s="1"/>
      <c r="F11" s="1"/>
      <c r="G11" s="1"/>
      <c r="H11" s="1"/>
      <c r="I11" s="1"/>
      <c r="J11" s="1"/>
      <c r="K11" s="150"/>
      <c r="N11" s="330" t="s">
        <v>35</v>
      </c>
      <c r="O11" s="325">
        <f t="shared" ref="O11:O14" si="0">B22</f>
        <v>1.1000000000000001</v>
      </c>
      <c r="P11" s="326">
        <v>2500000</v>
      </c>
      <c r="Q11" s="326">
        <v>1900000</v>
      </c>
      <c r="R11" s="327">
        <f>Q11/P11</f>
        <v>0.76</v>
      </c>
      <c r="S11" s="327">
        <f t="shared" ref="S11:S14" si="1">$B$13/$B$12</f>
        <v>0.76923076923076927</v>
      </c>
      <c r="T11" s="328">
        <f>O11*R11/S11</f>
        <v>1.0868</v>
      </c>
      <c r="U11" s="329">
        <f>75%*O11+(1-75%)*T11</f>
        <v>1.0967</v>
      </c>
      <c r="V11" s="323"/>
      <c r="X11" s="150"/>
    </row>
    <row r="12" spans="1:24" x14ac:dyDescent="0.25">
      <c r="A12" s="10" t="s">
        <v>43</v>
      </c>
      <c r="B12" s="70">
        <v>13000</v>
      </c>
      <c r="C12" s="1"/>
      <c r="D12" s="83"/>
      <c r="E12" s="1"/>
      <c r="F12" s="1"/>
      <c r="G12" s="1"/>
      <c r="H12" s="1"/>
      <c r="I12" s="1"/>
      <c r="J12" s="1"/>
      <c r="K12" s="150"/>
      <c r="N12" s="330" t="s">
        <v>36</v>
      </c>
      <c r="O12" s="325">
        <f t="shared" si="0"/>
        <v>1.05</v>
      </c>
      <c r="P12" s="326">
        <v>2500000</v>
      </c>
      <c r="Q12" s="326">
        <v>1750000</v>
      </c>
      <c r="R12" s="327">
        <f>Q12/P12</f>
        <v>0.7</v>
      </c>
      <c r="S12" s="327">
        <f t="shared" si="1"/>
        <v>0.76923076923076927</v>
      </c>
      <c r="T12" s="328">
        <f>O12*R12/S12</f>
        <v>0.9554999999999999</v>
      </c>
      <c r="U12" s="329">
        <f>75%*O12+(1-75%)*T12</f>
        <v>1.026375</v>
      </c>
      <c r="V12" s="323"/>
      <c r="X12" s="150"/>
    </row>
    <row r="13" spans="1:24" x14ac:dyDescent="0.25">
      <c r="A13" s="10" t="s">
        <v>44</v>
      </c>
      <c r="B13" s="70">
        <v>10000</v>
      </c>
      <c r="C13" s="84"/>
      <c r="D13" s="83"/>
      <c r="E13" s="1"/>
      <c r="F13" s="1"/>
      <c r="G13" s="1"/>
      <c r="H13" s="1"/>
      <c r="I13" s="1"/>
      <c r="J13" s="1"/>
      <c r="K13" s="150"/>
      <c r="N13" s="330" t="s">
        <v>37</v>
      </c>
      <c r="O13" s="325">
        <f t="shared" si="0"/>
        <v>0.9</v>
      </c>
      <c r="P13" s="326">
        <v>3000000</v>
      </c>
      <c r="Q13" s="326">
        <v>2250000</v>
      </c>
      <c r="R13" s="327">
        <f>Q13/P13</f>
        <v>0.75</v>
      </c>
      <c r="S13" s="327">
        <f t="shared" si="1"/>
        <v>0.76923076923076927</v>
      </c>
      <c r="T13" s="328">
        <f>O13*R13/S13</f>
        <v>0.87750000000000006</v>
      </c>
      <c r="U13" s="329">
        <f>75%*O13+(1-75%)*T13</f>
        <v>0.89437500000000003</v>
      </c>
      <c r="V13" s="323"/>
      <c r="X13" s="150"/>
    </row>
    <row r="14" spans="1:24" x14ac:dyDescent="0.25">
      <c r="A14" s="10" t="s">
        <v>171</v>
      </c>
      <c r="B14" s="70">
        <v>1250</v>
      </c>
      <c r="C14" s="1"/>
      <c r="D14" s="83"/>
      <c r="E14" s="1"/>
      <c r="F14" s="1"/>
      <c r="G14" s="1"/>
      <c r="H14" s="1"/>
      <c r="I14" s="1"/>
      <c r="J14" s="1"/>
      <c r="K14" s="150"/>
      <c r="N14" s="330" t="s">
        <v>38</v>
      </c>
      <c r="O14" s="325">
        <f t="shared" si="0"/>
        <v>0.85</v>
      </c>
      <c r="P14" s="326">
        <v>4000000</v>
      </c>
      <c r="Q14" s="326">
        <v>3250000</v>
      </c>
      <c r="R14" s="327">
        <f>Q14/P14</f>
        <v>0.8125</v>
      </c>
      <c r="S14" s="327">
        <f t="shared" si="1"/>
        <v>0.76923076923076927</v>
      </c>
      <c r="T14" s="328">
        <f>O14*R14/S14</f>
        <v>0.8978124999999999</v>
      </c>
      <c r="U14" s="329">
        <f>75%*O14+(1-75%)*T14</f>
        <v>0.86195312499999988</v>
      </c>
      <c r="V14" s="323"/>
      <c r="X14" s="150"/>
    </row>
    <row r="15" spans="1:24" x14ac:dyDescent="0.25">
      <c r="A15" s="10" t="s">
        <v>172</v>
      </c>
      <c r="B15" s="70">
        <v>350.00000000000006</v>
      </c>
      <c r="C15" s="1"/>
      <c r="D15" s="83"/>
      <c r="E15" s="1"/>
      <c r="F15" s="1"/>
      <c r="G15" s="1"/>
      <c r="H15" s="1"/>
      <c r="I15" s="1"/>
      <c r="J15" s="1"/>
      <c r="K15" s="150"/>
      <c r="N15" s="323"/>
      <c r="O15" s="323"/>
      <c r="P15" s="323"/>
      <c r="Q15" s="323"/>
      <c r="R15" s="323"/>
      <c r="S15" s="323"/>
      <c r="T15" s="323"/>
      <c r="U15" s="323"/>
      <c r="V15" s="323"/>
      <c r="X15" s="150"/>
    </row>
    <row r="16" spans="1:24" x14ac:dyDescent="0.25">
      <c r="A16" s="10" t="s">
        <v>31</v>
      </c>
      <c r="B16" s="70">
        <v>1300</v>
      </c>
      <c r="C16" s="1"/>
      <c r="D16" s="83"/>
      <c r="E16" s="1"/>
      <c r="F16" s="1"/>
      <c r="G16" s="1"/>
      <c r="H16" s="1"/>
      <c r="I16" s="1"/>
      <c r="J16" s="1"/>
      <c r="K16" s="150"/>
      <c r="N16" s="323"/>
      <c r="O16" s="323"/>
      <c r="P16" s="323"/>
      <c r="Q16" s="323"/>
      <c r="R16" s="323"/>
      <c r="S16" s="323"/>
      <c r="T16" s="323"/>
      <c r="U16" s="323"/>
      <c r="V16" s="323"/>
      <c r="X16" s="150"/>
    </row>
    <row r="17" spans="1:24" x14ac:dyDescent="0.25">
      <c r="A17" s="10" t="s">
        <v>32</v>
      </c>
      <c r="B17" s="70">
        <v>130</v>
      </c>
      <c r="C17" s="1"/>
      <c r="D17" s="83"/>
      <c r="E17" s="1"/>
      <c r="F17" s="1"/>
      <c r="G17" s="1"/>
      <c r="H17" s="1"/>
      <c r="I17" s="1"/>
      <c r="J17" s="1"/>
      <c r="K17" s="150"/>
      <c r="N17" s="321" t="s">
        <v>39</v>
      </c>
      <c r="O17" s="321" t="s">
        <v>40</v>
      </c>
      <c r="P17" s="321" t="s">
        <v>173</v>
      </c>
      <c r="Q17" s="321" t="s">
        <v>43</v>
      </c>
      <c r="R17" s="321" t="s">
        <v>473</v>
      </c>
      <c r="S17" s="321" t="s">
        <v>474</v>
      </c>
      <c r="T17" s="321" t="s">
        <v>475</v>
      </c>
      <c r="U17" s="321" t="s">
        <v>223</v>
      </c>
      <c r="V17" s="322" t="s">
        <v>476</v>
      </c>
      <c r="X17" s="150"/>
    </row>
    <row r="18" spans="1:24" x14ac:dyDescent="0.25">
      <c r="A18" s="14"/>
      <c r="B18" s="5"/>
      <c r="C18" s="14"/>
      <c r="D18" s="14"/>
      <c r="E18" s="1"/>
      <c r="F18" s="1"/>
      <c r="G18" s="1"/>
      <c r="H18" s="1"/>
      <c r="I18" s="1"/>
      <c r="J18" s="1"/>
      <c r="K18" s="150"/>
      <c r="N18" s="324" t="s">
        <v>41</v>
      </c>
      <c r="O18" s="324" t="s">
        <v>41</v>
      </c>
      <c r="P18" s="325">
        <f>C29</f>
        <v>1.25</v>
      </c>
      <c r="Q18" s="326">
        <v>1000000</v>
      </c>
      <c r="R18" s="326">
        <v>950000</v>
      </c>
      <c r="S18" s="327">
        <f>R18/Q18</f>
        <v>0.95</v>
      </c>
      <c r="T18" s="327">
        <f t="shared" ref="T18:T21" si="2">$B$13/$B$12</f>
        <v>0.76923076923076927</v>
      </c>
      <c r="U18" s="328">
        <f>P18*S18/T18</f>
        <v>1.54375</v>
      </c>
      <c r="V18" s="329">
        <f>75%*P18+(1-75%)*U18</f>
        <v>1.3234375</v>
      </c>
      <c r="X18" s="150"/>
    </row>
    <row r="19" spans="1:24" x14ac:dyDescent="0.25">
      <c r="A19" s="360" t="s">
        <v>45</v>
      </c>
      <c r="B19" s="365"/>
      <c r="C19" s="365"/>
      <c r="D19" s="361"/>
      <c r="E19" s="1"/>
      <c r="F19" s="1"/>
      <c r="G19" s="1"/>
      <c r="H19" s="1"/>
      <c r="I19" s="1"/>
      <c r="J19" s="1"/>
      <c r="K19" s="150"/>
      <c r="N19" s="330" t="s">
        <v>42</v>
      </c>
      <c r="O19" s="324" t="s">
        <v>41</v>
      </c>
      <c r="P19" s="325">
        <f t="shared" ref="P19:P21" si="3">C30</f>
        <v>1.1000000000000001</v>
      </c>
      <c r="Q19" s="326">
        <v>2000000</v>
      </c>
      <c r="R19" s="326">
        <v>1400000</v>
      </c>
      <c r="S19" s="327">
        <f>R19/Q19</f>
        <v>0.7</v>
      </c>
      <c r="T19" s="327">
        <f t="shared" si="2"/>
        <v>0.76923076923076927</v>
      </c>
      <c r="U19" s="328">
        <f>P19*S19/T19</f>
        <v>1.0009999999999999</v>
      </c>
      <c r="V19" s="329">
        <f>75%*P19+(1-75%)*U19</f>
        <v>1.07525</v>
      </c>
      <c r="X19" s="150"/>
    </row>
    <row r="20" spans="1:24" x14ac:dyDescent="0.25">
      <c r="A20" s="11" t="s">
        <v>46</v>
      </c>
      <c r="B20" s="85" t="s">
        <v>173</v>
      </c>
      <c r="C20" s="86" t="s">
        <v>174</v>
      </c>
      <c r="D20" s="87" t="s">
        <v>175</v>
      </c>
      <c r="E20" s="1"/>
      <c r="F20" s="1"/>
      <c r="G20" s="1"/>
      <c r="H20" s="1"/>
      <c r="I20" s="1"/>
      <c r="J20" s="1"/>
      <c r="K20" s="150"/>
      <c r="N20" s="330" t="s">
        <v>41</v>
      </c>
      <c r="O20" s="330" t="s">
        <v>42</v>
      </c>
      <c r="P20" s="325">
        <f t="shared" si="3"/>
        <v>1.05</v>
      </c>
      <c r="Q20" s="326">
        <v>3000000</v>
      </c>
      <c r="R20" s="326">
        <v>2050000</v>
      </c>
      <c r="S20" s="327">
        <f>R20/Q20</f>
        <v>0.68333333333333335</v>
      </c>
      <c r="T20" s="327">
        <f t="shared" si="2"/>
        <v>0.76923076923076927</v>
      </c>
      <c r="U20" s="328">
        <f>P20*S20/T20</f>
        <v>0.93274999999999997</v>
      </c>
      <c r="V20" s="329">
        <f>75%*P20+(1-75%)*U20</f>
        <v>1.0206875000000002</v>
      </c>
      <c r="X20" s="150"/>
    </row>
    <row r="21" spans="1:24" x14ac:dyDescent="0.25">
      <c r="A21" s="109" t="s">
        <v>34</v>
      </c>
      <c r="B21" s="111">
        <v>1.1499999999999999</v>
      </c>
      <c r="C21" s="70">
        <v>1000</v>
      </c>
      <c r="D21" s="70">
        <v>850</v>
      </c>
      <c r="E21" s="1"/>
      <c r="F21" s="1"/>
      <c r="G21" s="1"/>
      <c r="H21" s="1"/>
      <c r="I21" s="1"/>
      <c r="J21" s="1"/>
      <c r="K21" s="150"/>
      <c r="N21" s="330" t="s">
        <v>42</v>
      </c>
      <c r="O21" s="330" t="s">
        <v>42</v>
      </c>
      <c r="P21" s="325">
        <f t="shared" si="3"/>
        <v>0.8</v>
      </c>
      <c r="Q21" s="326">
        <v>7000000</v>
      </c>
      <c r="R21" s="326">
        <v>5600000</v>
      </c>
      <c r="S21" s="327">
        <f>R21/Q21</f>
        <v>0.8</v>
      </c>
      <c r="T21" s="327">
        <f t="shared" si="2"/>
        <v>0.76923076923076927</v>
      </c>
      <c r="U21" s="328">
        <f>P21*S21/T21</f>
        <v>0.83200000000000007</v>
      </c>
      <c r="V21" s="329">
        <f>75%*P21+(1-75%)*U21</f>
        <v>0.80800000000000005</v>
      </c>
      <c r="X21" s="150"/>
    </row>
    <row r="22" spans="1:24" x14ac:dyDescent="0.25">
      <c r="A22" s="110" t="s">
        <v>35</v>
      </c>
      <c r="B22" s="111">
        <v>1.1000000000000001</v>
      </c>
      <c r="C22" s="70">
        <v>2500</v>
      </c>
      <c r="D22" s="70">
        <v>1900</v>
      </c>
      <c r="E22" s="1"/>
      <c r="F22" s="1"/>
      <c r="G22" s="1"/>
      <c r="H22" s="1"/>
      <c r="I22" s="1"/>
      <c r="J22" s="1"/>
      <c r="K22" s="150"/>
      <c r="X22" s="150"/>
    </row>
    <row r="23" spans="1:24" x14ac:dyDescent="0.25">
      <c r="A23" s="110" t="s">
        <v>36</v>
      </c>
      <c r="B23" s="111">
        <v>1.05</v>
      </c>
      <c r="C23" s="70">
        <v>2500</v>
      </c>
      <c r="D23" s="70">
        <v>1750</v>
      </c>
      <c r="E23" s="1"/>
      <c r="F23" s="1"/>
      <c r="G23" s="1"/>
      <c r="H23" s="1"/>
      <c r="I23" s="1"/>
      <c r="J23" s="1"/>
      <c r="K23" s="150"/>
      <c r="X23" s="150"/>
    </row>
    <row r="24" spans="1:24" x14ac:dyDescent="0.25">
      <c r="A24" s="110" t="s">
        <v>37</v>
      </c>
      <c r="B24" s="111">
        <v>0.9</v>
      </c>
      <c r="C24" s="70">
        <v>3000</v>
      </c>
      <c r="D24" s="70">
        <v>2250</v>
      </c>
      <c r="E24" s="1"/>
      <c r="F24" s="1"/>
      <c r="G24" s="1"/>
      <c r="H24" s="1"/>
      <c r="I24" s="1"/>
      <c r="J24" s="1"/>
      <c r="K24" s="150"/>
      <c r="X24" s="150"/>
    </row>
    <row r="25" spans="1:24" x14ac:dyDescent="0.25">
      <c r="A25" s="110" t="s">
        <v>38</v>
      </c>
      <c r="B25" s="111">
        <v>0.85</v>
      </c>
      <c r="C25" s="70">
        <v>4000</v>
      </c>
      <c r="D25" s="70">
        <v>3250</v>
      </c>
      <c r="E25" s="1"/>
      <c r="F25" s="1"/>
      <c r="G25" s="1"/>
      <c r="H25" s="1"/>
      <c r="I25" s="1"/>
      <c r="J25" s="1"/>
      <c r="K25" s="150"/>
      <c r="X25" s="150"/>
    </row>
    <row r="26" spans="1:24" x14ac:dyDescent="0.25">
      <c r="A26" s="1"/>
      <c r="B26" s="1"/>
      <c r="C26" s="1"/>
      <c r="D26" s="1"/>
      <c r="E26" s="1"/>
      <c r="F26" s="1"/>
      <c r="G26" s="1"/>
      <c r="H26" s="1"/>
      <c r="I26" s="1"/>
      <c r="J26" s="1"/>
      <c r="K26" s="150"/>
      <c r="X26" s="150"/>
    </row>
    <row r="27" spans="1:24" x14ac:dyDescent="0.25">
      <c r="A27" s="360" t="s">
        <v>176</v>
      </c>
      <c r="B27" s="365"/>
      <c r="C27" s="365"/>
      <c r="D27" s="365"/>
      <c r="E27" s="361"/>
      <c r="F27" s="1"/>
      <c r="G27" s="1"/>
      <c r="H27" s="1"/>
      <c r="I27" s="1"/>
      <c r="J27" s="1"/>
      <c r="K27" s="150"/>
      <c r="X27" s="150"/>
    </row>
    <row r="28" spans="1:24" x14ac:dyDescent="0.25">
      <c r="A28" s="85" t="s">
        <v>39</v>
      </c>
      <c r="B28" s="87" t="s">
        <v>40</v>
      </c>
      <c r="C28" s="85" t="s">
        <v>173</v>
      </c>
      <c r="D28" s="86" t="s">
        <v>174</v>
      </c>
      <c r="E28" s="87" t="s">
        <v>175</v>
      </c>
      <c r="F28" s="1"/>
      <c r="G28" s="1"/>
      <c r="H28" s="1"/>
      <c r="I28" s="1"/>
      <c r="J28" s="1"/>
      <c r="K28" s="150"/>
      <c r="X28" s="150"/>
    </row>
    <row r="29" spans="1:24" x14ac:dyDescent="0.25">
      <c r="A29" s="112" t="s">
        <v>41</v>
      </c>
      <c r="B29" s="112" t="s">
        <v>41</v>
      </c>
      <c r="C29" s="111">
        <v>1.25</v>
      </c>
      <c r="D29" s="70">
        <v>1000</v>
      </c>
      <c r="E29" s="70">
        <v>950</v>
      </c>
      <c r="F29" s="1"/>
      <c r="G29" s="1"/>
      <c r="H29" s="1"/>
      <c r="I29" s="1"/>
      <c r="J29" s="1"/>
      <c r="K29" s="150"/>
      <c r="X29" s="150"/>
    </row>
    <row r="30" spans="1:24" x14ac:dyDescent="0.25">
      <c r="A30" s="113" t="s">
        <v>42</v>
      </c>
      <c r="B30" s="112" t="s">
        <v>41</v>
      </c>
      <c r="C30" s="111">
        <v>1.1000000000000001</v>
      </c>
      <c r="D30" s="70">
        <v>2000</v>
      </c>
      <c r="E30" s="70">
        <v>1400</v>
      </c>
      <c r="F30" s="1"/>
      <c r="G30" s="1"/>
      <c r="H30" s="1"/>
      <c r="I30" s="1"/>
      <c r="J30" s="1"/>
      <c r="K30" s="150"/>
      <c r="X30" s="150"/>
    </row>
    <row r="31" spans="1:24" x14ac:dyDescent="0.25">
      <c r="A31" s="113" t="s">
        <v>41</v>
      </c>
      <c r="B31" s="113" t="s">
        <v>42</v>
      </c>
      <c r="C31" s="111">
        <v>1.05</v>
      </c>
      <c r="D31" s="70">
        <v>3000</v>
      </c>
      <c r="E31" s="70">
        <v>2050</v>
      </c>
      <c r="F31" s="1"/>
      <c r="G31" s="1"/>
      <c r="H31" s="1"/>
      <c r="I31" s="1"/>
      <c r="J31" s="1"/>
      <c r="K31" s="150"/>
      <c r="X31" s="150"/>
    </row>
    <row r="32" spans="1:24" x14ac:dyDescent="0.25">
      <c r="A32" s="113" t="s">
        <v>42</v>
      </c>
      <c r="B32" s="113" t="s">
        <v>42</v>
      </c>
      <c r="C32" s="111">
        <v>0.8</v>
      </c>
      <c r="D32" s="70">
        <v>7000</v>
      </c>
      <c r="E32" s="70">
        <v>5600</v>
      </c>
      <c r="F32" s="1"/>
      <c r="G32" s="1"/>
      <c r="H32" s="1"/>
      <c r="I32" s="1"/>
      <c r="J32" s="1"/>
      <c r="K32" s="150"/>
      <c r="X32" s="150"/>
    </row>
    <row r="33" spans="1:24" x14ac:dyDescent="0.25">
      <c r="A33" s="1"/>
      <c r="B33" s="1"/>
      <c r="C33" s="1"/>
      <c r="D33" s="1"/>
      <c r="E33" s="1"/>
      <c r="F33" s="1"/>
      <c r="G33" s="1"/>
      <c r="H33" s="1"/>
      <c r="I33" s="1"/>
      <c r="J33" s="1"/>
      <c r="K33" s="150"/>
      <c r="X33" s="150"/>
    </row>
    <row r="34" spans="1:24" x14ac:dyDescent="0.25">
      <c r="A34" s="1"/>
      <c r="B34" s="1"/>
      <c r="C34" s="15"/>
      <c r="D34" s="15"/>
      <c r="E34" s="1"/>
      <c r="F34" s="1"/>
      <c r="G34" s="1"/>
      <c r="H34" s="1"/>
      <c r="I34" s="1"/>
      <c r="J34" s="1"/>
      <c r="K34" s="150"/>
      <c r="X34" s="150"/>
    </row>
    <row r="35" spans="1:24" x14ac:dyDescent="0.25">
      <c r="A35" s="1" t="s">
        <v>177</v>
      </c>
      <c r="B35" s="1"/>
      <c r="C35" s="1"/>
      <c r="D35" s="1"/>
      <c r="E35" s="1"/>
      <c r="F35" s="1"/>
      <c r="G35" s="1"/>
      <c r="H35" s="1"/>
      <c r="I35" s="1"/>
      <c r="J35" s="1"/>
      <c r="K35" s="150"/>
      <c r="X35" s="150"/>
    </row>
    <row r="36" spans="1:24" x14ac:dyDescent="0.25">
      <c r="A36" s="1"/>
      <c r="B36" s="8"/>
      <c r="C36" s="1"/>
      <c r="D36" s="1"/>
      <c r="E36" s="1"/>
      <c r="F36" s="1"/>
      <c r="G36" s="1"/>
      <c r="H36" s="1"/>
      <c r="I36" s="1"/>
      <c r="J36" s="1"/>
      <c r="K36" s="150"/>
      <c r="X36" s="150"/>
    </row>
    <row r="37" spans="1:24" x14ac:dyDescent="0.25">
      <c r="K37" s="150"/>
      <c r="X37" s="150"/>
    </row>
    <row r="38" spans="1:24" x14ac:dyDescent="0.25">
      <c r="A38" s="2" t="s">
        <v>0</v>
      </c>
      <c r="K38" s="150"/>
      <c r="X38" s="150"/>
    </row>
    <row r="39" spans="1:24" x14ac:dyDescent="0.25">
      <c r="K39" s="150"/>
      <c r="X39" s="150"/>
    </row>
    <row r="40" spans="1:24" x14ac:dyDescent="0.25">
      <c r="K40" s="150"/>
      <c r="X40" s="150"/>
    </row>
    <row r="41" spans="1:24" x14ac:dyDescent="0.25">
      <c r="K41" s="150"/>
      <c r="X41" s="150"/>
    </row>
    <row r="42" spans="1:24" x14ac:dyDescent="0.25">
      <c r="K42" s="150"/>
      <c r="X42" s="150"/>
    </row>
    <row r="43" spans="1:24" x14ac:dyDescent="0.25">
      <c r="K43" s="150"/>
      <c r="X43" s="150"/>
    </row>
    <row r="44" spans="1:24" x14ac:dyDescent="0.25">
      <c r="K44" s="150"/>
      <c r="X44" s="150"/>
    </row>
    <row r="45" spans="1:24" x14ac:dyDescent="0.25">
      <c r="K45" s="150"/>
      <c r="X45" s="150"/>
    </row>
    <row r="46" spans="1:24" x14ac:dyDescent="0.25">
      <c r="K46" s="150"/>
      <c r="X46" s="150"/>
    </row>
    <row r="47" spans="1:24" x14ac:dyDescent="0.25">
      <c r="K47" s="150"/>
      <c r="X47" s="150"/>
    </row>
    <row r="48" spans="1:24" x14ac:dyDescent="0.25">
      <c r="K48" s="150"/>
      <c r="X48" s="150"/>
    </row>
    <row r="49" spans="1:24" x14ac:dyDescent="0.25">
      <c r="A49" s="4" t="s">
        <v>65</v>
      </c>
      <c r="B49" s="1"/>
      <c r="C49" s="1"/>
      <c r="D49" s="1"/>
      <c r="E49" s="1"/>
      <c r="F49" s="1"/>
      <c r="G49" s="1"/>
      <c r="H49" s="1"/>
      <c r="I49" s="1"/>
      <c r="J49" s="1"/>
      <c r="K49" s="150"/>
      <c r="X49" s="150"/>
    </row>
    <row r="50" spans="1:24" x14ac:dyDescent="0.25">
      <c r="K50" s="150"/>
      <c r="X50" s="150"/>
    </row>
    <row r="51" spans="1:24" x14ac:dyDescent="0.25">
      <c r="A51" s="3" t="s">
        <v>2</v>
      </c>
      <c r="B51" s="3"/>
      <c r="C51" s="3"/>
      <c r="D51" s="3"/>
      <c r="E51" s="3"/>
      <c r="F51" s="3"/>
      <c r="G51" s="3"/>
      <c r="H51" s="3"/>
      <c r="I51" s="3"/>
      <c r="J51" s="3"/>
      <c r="K51" s="3"/>
      <c r="L51" s="3"/>
      <c r="M51" s="3"/>
      <c r="N51" s="3"/>
      <c r="O51" s="3"/>
      <c r="P51" s="3"/>
      <c r="Q51" s="3"/>
      <c r="R51" s="3"/>
      <c r="S51" s="3"/>
      <c r="T51" s="3"/>
      <c r="U51" s="3"/>
      <c r="V51" s="3"/>
      <c r="W51" s="3"/>
      <c r="X51" s="3"/>
    </row>
  </sheetData>
  <mergeCells count="2">
    <mergeCell ref="A19:D19"/>
    <mergeCell ref="A27:E2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1FE19-606D-471E-999B-4122BD009E96}">
  <dimension ref="A1:X6"/>
  <sheetViews>
    <sheetView workbookViewId="0"/>
  </sheetViews>
  <sheetFormatPr defaultColWidth="9.140625" defaultRowHeight="15.75" x14ac:dyDescent="0.25"/>
  <cols>
    <col min="1" max="1" width="26.140625" style="2" customWidth="1"/>
    <col min="2" max="5" width="15.7109375" style="2" customWidth="1"/>
    <col min="6" max="10" width="9.140625" style="2"/>
    <col min="11" max="11" width="3.28515625" style="2" customWidth="1"/>
    <col min="12" max="12" width="4.140625" style="2" customWidth="1"/>
    <col min="13" max="13" width="17" style="2" bestFit="1" customWidth="1"/>
    <col min="14" max="23" width="9.140625" style="2"/>
    <col min="24" max="24" width="3.28515625" style="2" customWidth="1"/>
    <col min="25" max="16384" width="9.140625" style="2"/>
  </cols>
  <sheetData>
    <row r="1" spans="1:24" x14ac:dyDescent="0.25">
      <c r="A1" s="6" t="s">
        <v>17</v>
      </c>
      <c r="B1" s="1"/>
      <c r="C1" s="1"/>
      <c r="D1" s="1"/>
      <c r="E1" s="1"/>
      <c r="F1" s="1"/>
      <c r="G1" s="1"/>
      <c r="H1" s="1"/>
      <c r="I1" s="1"/>
      <c r="J1" s="1"/>
      <c r="K1" s="150"/>
      <c r="L1" s="2" t="s">
        <v>0</v>
      </c>
      <c r="X1" s="150"/>
    </row>
    <row r="2" spans="1:24" x14ac:dyDescent="0.25">
      <c r="A2" s="1" t="s">
        <v>179</v>
      </c>
      <c r="B2" s="1"/>
      <c r="C2" s="1"/>
      <c r="D2" s="1"/>
      <c r="E2" s="1"/>
      <c r="F2" s="1"/>
      <c r="G2" s="1"/>
      <c r="H2" s="1"/>
      <c r="I2" s="1"/>
      <c r="J2" s="1"/>
      <c r="K2" s="150"/>
      <c r="X2" s="150"/>
    </row>
    <row r="3" spans="1:24" x14ac:dyDescent="0.25">
      <c r="K3" s="150"/>
      <c r="M3" s="2" t="s">
        <v>307</v>
      </c>
      <c r="X3" s="150"/>
    </row>
    <row r="4" spans="1:24" x14ac:dyDescent="0.25">
      <c r="A4" s="4" t="s">
        <v>178</v>
      </c>
      <c r="B4" s="1"/>
      <c r="C4" s="1"/>
      <c r="D4" s="1"/>
      <c r="E4" s="1"/>
      <c r="F4" s="1"/>
      <c r="G4" s="1"/>
      <c r="H4" s="1"/>
      <c r="I4" s="1"/>
      <c r="J4" s="1"/>
      <c r="K4" s="150"/>
      <c r="X4" s="150"/>
    </row>
    <row r="5" spans="1:24" x14ac:dyDescent="0.25">
      <c r="K5" s="150"/>
      <c r="X5" s="150"/>
    </row>
    <row r="6" spans="1:24" x14ac:dyDescent="0.25">
      <c r="A6" s="3" t="s">
        <v>2</v>
      </c>
      <c r="B6" s="3"/>
      <c r="C6" s="3"/>
      <c r="D6" s="3"/>
      <c r="E6" s="3"/>
      <c r="F6" s="3"/>
      <c r="G6" s="3"/>
      <c r="H6" s="3"/>
      <c r="I6" s="3"/>
      <c r="J6" s="3"/>
      <c r="K6" s="3"/>
      <c r="L6" s="3"/>
      <c r="M6" s="3"/>
      <c r="N6" s="3"/>
      <c r="O6" s="3"/>
      <c r="P6" s="3"/>
      <c r="Q6" s="3"/>
      <c r="R6" s="3"/>
      <c r="S6" s="3"/>
      <c r="T6" s="3"/>
      <c r="U6" s="3"/>
      <c r="V6" s="3"/>
      <c r="W6" s="3"/>
      <c r="X6" s="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01CB-C280-476B-AB6F-69076C6E9578}">
  <dimension ref="A1:X6"/>
  <sheetViews>
    <sheetView workbookViewId="0"/>
  </sheetViews>
  <sheetFormatPr defaultColWidth="9.140625" defaultRowHeight="15.75" x14ac:dyDescent="0.25"/>
  <cols>
    <col min="1" max="1" width="26.140625" style="2" customWidth="1"/>
    <col min="2" max="5" width="15.7109375" style="2" customWidth="1"/>
    <col min="6" max="10" width="9.140625" style="2"/>
    <col min="11" max="11" width="2.7109375" style="2" customWidth="1"/>
    <col min="12" max="16384" width="9.140625" style="2"/>
  </cols>
  <sheetData>
    <row r="1" spans="1:24" x14ac:dyDescent="0.25">
      <c r="A1" s="6" t="s">
        <v>18</v>
      </c>
      <c r="B1" s="1"/>
      <c r="C1" s="1"/>
      <c r="D1" s="1"/>
      <c r="E1" s="1"/>
      <c r="F1" s="1"/>
      <c r="G1" s="1"/>
      <c r="H1" s="1"/>
      <c r="I1" s="1"/>
      <c r="J1" s="1"/>
      <c r="K1" s="150"/>
      <c r="L1" s="2" t="s">
        <v>0</v>
      </c>
      <c r="X1" s="150"/>
    </row>
    <row r="2" spans="1:24" x14ac:dyDescent="0.25">
      <c r="A2" s="1" t="s">
        <v>24</v>
      </c>
      <c r="B2" s="1"/>
      <c r="C2" s="1"/>
      <c r="D2" s="1"/>
      <c r="E2" s="1"/>
      <c r="F2" s="1"/>
      <c r="G2" s="1"/>
      <c r="H2" s="1"/>
      <c r="I2" s="1"/>
      <c r="J2" s="1"/>
      <c r="K2" s="150"/>
      <c r="X2" s="150"/>
    </row>
    <row r="3" spans="1:24" x14ac:dyDescent="0.25">
      <c r="K3" s="150"/>
      <c r="M3" s="2" t="s">
        <v>307</v>
      </c>
      <c r="X3" s="150"/>
    </row>
    <row r="4" spans="1:24" x14ac:dyDescent="0.25">
      <c r="A4" s="4" t="s">
        <v>178</v>
      </c>
      <c r="B4" s="1"/>
      <c r="C4" s="1"/>
      <c r="D4" s="1"/>
      <c r="E4" s="1"/>
      <c r="F4" s="1"/>
      <c r="G4" s="1"/>
      <c r="H4" s="1"/>
      <c r="I4" s="1"/>
      <c r="J4" s="1"/>
      <c r="K4" s="150"/>
      <c r="X4" s="150"/>
    </row>
    <row r="5" spans="1:24" x14ac:dyDescent="0.25">
      <c r="K5" s="150"/>
      <c r="X5" s="150"/>
    </row>
    <row r="6" spans="1:24" x14ac:dyDescent="0.25">
      <c r="A6" s="3" t="s">
        <v>2</v>
      </c>
      <c r="B6" s="3"/>
      <c r="C6" s="3"/>
      <c r="D6" s="3"/>
      <c r="E6" s="3"/>
      <c r="F6" s="3"/>
      <c r="G6" s="3"/>
      <c r="H6" s="3"/>
      <c r="I6" s="3"/>
      <c r="J6" s="3"/>
      <c r="K6" s="3"/>
      <c r="L6" s="3"/>
      <c r="M6" s="3"/>
      <c r="N6" s="3"/>
      <c r="O6" s="3"/>
      <c r="P6" s="3"/>
      <c r="Q6" s="3"/>
      <c r="R6" s="3"/>
      <c r="S6" s="3"/>
      <c r="T6" s="3"/>
      <c r="U6" s="3"/>
      <c r="V6" s="3"/>
      <c r="W6" s="3"/>
      <c r="X6" s="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6E0BD-04F7-8942-AB5D-70BF5DE16E18}">
  <dimension ref="A1:Y99"/>
  <sheetViews>
    <sheetView zoomScaleNormal="100" workbookViewId="0"/>
  </sheetViews>
  <sheetFormatPr defaultColWidth="9.140625" defaultRowHeight="15.75" x14ac:dyDescent="0.25"/>
  <cols>
    <col min="1" max="1" width="11" style="2" customWidth="1"/>
    <col min="2" max="2" width="11.140625" style="2" customWidth="1"/>
    <col min="3" max="8" width="12.28515625" style="2" customWidth="1"/>
    <col min="9" max="9" width="21.7109375" style="2" customWidth="1"/>
    <col min="10" max="10" width="22" style="2" customWidth="1"/>
    <col min="11" max="11" width="3.28515625" style="2" customWidth="1"/>
    <col min="12" max="12" width="4.140625" style="2" customWidth="1"/>
    <col min="13" max="13" width="17" style="2" bestFit="1" customWidth="1"/>
    <col min="14" max="14" width="15.28515625" style="2" customWidth="1"/>
    <col min="15" max="15" width="14" style="2" customWidth="1"/>
    <col min="16" max="16" width="15.7109375" style="2" customWidth="1"/>
    <col min="17" max="19" width="16.28515625" style="2" customWidth="1"/>
    <col min="20" max="22" width="18.42578125" style="2" customWidth="1"/>
    <col min="23" max="23" width="13.7109375" style="2" customWidth="1"/>
    <col min="24" max="24" width="9.140625" style="2"/>
    <col min="25" max="25" width="3.28515625" style="2" customWidth="1"/>
    <col min="26" max="16384" width="9.140625" style="2"/>
  </cols>
  <sheetData>
    <row r="1" spans="1:25" x14ac:dyDescent="0.25">
      <c r="A1" s="6" t="s">
        <v>19</v>
      </c>
      <c r="B1" s="1"/>
      <c r="C1" s="1"/>
      <c r="D1" s="1"/>
      <c r="E1" s="1"/>
      <c r="F1" s="1"/>
      <c r="G1" s="1"/>
      <c r="H1" s="1"/>
      <c r="I1" s="1"/>
      <c r="J1" s="1"/>
      <c r="K1" s="150"/>
      <c r="L1" s="2" t="s">
        <v>0</v>
      </c>
      <c r="Y1" s="150"/>
    </row>
    <row r="2" spans="1:25" x14ac:dyDescent="0.25">
      <c r="A2" s="1" t="s">
        <v>20</v>
      </c>
      <c r="B2" s="1"/>
      <c r="C2" s="1"/>
      <c r="D2" s="1"/>
      <c r="E2" s="1"/>
      <c r="F2" s="1"/>
      <c r="G2" s="1"/>
      <c r="H2" s="1"/>
      <c r="I2" s="1"/>
      <c r="J2" s="1"/>
      <c r="K2" s="150"/>
      <c r="Y2" s="150"/>
    </row>
    <row r="3" spans="1:25" x14ac:dyDescent="0.25">
      <c r="K3" s="150"/>
      <c r="M3" s="2" t="s">
        <v>308</v>
      </c>
      <c r="N3" s="2" t="s">
        <v>301</v>
      </c>
      <c r="Y3" s="150"/>
    </row>
    <row r="4" spans="1:25" x14ac:dyDescent="0.25">
      <c r="A4" s="4" t="s">
        <v>22</v>
      </c>
      <c r="B4" s="1"/>
      <c r="C4" s="1"/>
      <c r="D4" s="1"/>
      <c r="E4" s="1"/>
      <c r="F4" s="1"/>
      <c r="G4" s="1"/>
      <c r="H4" s="1"/>
      <c r="I4" s="1"/>
      <c r="J4" s="1"/>
      <c r="K4" s="150"/>
      <c r="Y4" s="150"/>
    </row>
    <row r="5" spans="1:25" x14ac:dyDescent="0.25">
      <c r="K5" s="150"/>
      <c r="Y5" s="150"/>
    </row>
    <row r="6" spans="1:25" x14ac:dyDescent="0.25">
      <c r="A6" s="7" t="s">
        <v>180</v>
      </c>
      <c r="B6" s="1"/>
      <c r="C6" s="1"/>
      <c r="D6" s="1"/>
      <c r="E6" s="1"/>
      <c r="F6" s="1"/>
      <c r="G6" s="1"/>
      <c r="H6" s="1"/>
      <c r="I6" s="1"/>
      <c r="J6" s="1"/>
      <c r="K6" s="150"/>
      <c r="Y6" s="150"/>
    </row>
    <row r="7" spans="1:25" x14ac:dyDescent="0.25">
      <c r="A7" s="7" t="s">
        <v>245</v>
      </c>
      <c r="B7" s="1"/>
      <c r="C7" s="1"/>
      <c r="D7" s="1"/>
      <c r="E7" s="1"/>
      <c r="F7" s="1"/>
      <c r="G7" s="1"/>
      <c r="H7" s="1"/>
      <c r="I7" s="1"/>
      <c r="J7" s="1"/>
      <c r="K7" s="150"/>
      <c r="Y7" s="150"/>
    </row>
    <row r="8" spans="1:25" x14ac:dyDescent="0.25">
      <c r="A8" s="7"/>
      <c r="B8" s="1"/>
      <c r="C8" s="1"/>
      <c r="D8" s="1"/>
      <c r="E8" s="1"/>
      <c r="F8" s="1"/>
      <c r="G8" s="1"/>
      <c r="H8" s="1"/>
      <c r="I8" s="1"/>
      <c r="J8" s="1"/>
      <c r="K8" s="150"/>
      <c r="Y8" s="150"/>
    </row>
    <row r="9" spans="1:25" x14ac:dyDescent="0.25">
      <c r="A9" s="116"/>
      <c r="B9" s="116"/>
      <c r="C9" s="369" t="s">
        <v>181</v>
      </c>
      <c r="D9" s="370"/>
      <c r="E9" s="371"/>
      <c r="F9" s="369" t="s">
        <v>182</v>
      </c>
      <c r="G9" s="370"/>
      <c r="H9" s="371"/>
      <c r="I9" s="1"/>
      <c r="J9" s="1"/>
      <c r="K9" s="150"/>
      <c r="Y9" s="150"/>
    </row>
    <row r="10" spans="1:25" ht="31.5" x14ac:dyDescent="0.25">
      <c r="A10" s="122" t="s">
        <v>183</v>
      </c>
      <c r="B10" s="122" t="s">
        <v>184</v>
      </c>
      <c r="C10" s="123" t="s">
        <v>185</v>
      </c>
      <c r="D10" s="124" t="s">
        <v>186</v>
      </c>
      <c r="E10" s="123" t="s">
        <v>187</v>
      </c>
      <c r="F10" s="124" t="s">
        <v>185</v>
      </c>
      <c r="G10" s="124" t="s">
        <v>186</v>
      </c>
      <c r="H10" s="124" t="s">
        <v>187</v>
      </c>
      <c r="I10" s="1"/>
      <c r="J10" s="1"/>
      <c r="K10" s="150"/>
      <c r="Y10" s="150"/>
    </row>
    <row r="11" spans="1:25" x14ac:dyDescent="0.25">
      <c r="A11" s="116" t="s">
        <v>223</v>
      </c>
      <c r="B11" s="119">
        <v>5101</v>
      </c>
      <c r="C11" s="119">
        <v>633034</v>
      </c>
      <c r="D11" s="119">
        <v>688890</v>
      </c>
      <c r="E11" s="119">
        <v>539941</v>
      </c>
      <c r="F11" s="119">
        <v>615309</v>
      </c>
      <c r="G11" s="119">
        <v>483601</v>
      </c>
      <c r="H11" s="119">
        <v>516184</v>
      </c>
      <c r="I11" s="1"/>
      <c r="J11" s="1"/>
      <c r="K11" s="150"/>
      <c r="Y11" s="150"/>
    </row>
    <row r="12" spans="1:25" x14ac:dyDescent="0.25">
      <c r="A12" s="117" t="s">
        <v>224</v>
      </c>
      <c r="B12" s="120">
        <v>5306</v>
      </c>
      <c r="C12" s="120">
        <v>699119</v>
      </c>
      <c r="D12" s="120">
        <v>718539</v>
      </c>
      <c r="E12" s="120">
        <v>524338</v>
      </c>
      <c r="F12" s="120">
        <v>685836</v>
      </c>
      <c r="G12" s="120">
        <v>513755</v>
      </c>
      <c r="H12" s="120">
        <v>497072</v>
      </c>
      <c r="I12" s="1"/>
      <c r="J12" s="1"/>
      <c r="K12" s="150"/>
      <c r="Y12" s="150"/>
    </row>
    <row r="13" spans="1:25" x14ac:dyDescent="0.25">
      <c r="A13" s="117" t="s">
        <v>247</v>
      </c>
      <c r="B13" s="120">
        <v>5463</v>
      </c>
      <c r="C13" s="120">
        <v>697898</v>
      </c>
      <c r="D13" s="120">
        <v>777658</v>
      </c>
      <c r="E13" s="120">
        <v>518439</v>
      </c>
      <c r="F13" s="120">
        <v>686732</v>
      </c>
      <c r="G13" s="120">
        <v>552137</v>
      </c>
      <c r="H13" s="120">
        <v>498220</v>
      </c>
      <c r="I13" s="1"/>
      <c r="J13" s="1"/>
      <c r="K13" s="150"/>
      <c r="Y13" s="150"/>
    </row>
    <row r="14" spans="1:25" x14ac:dyDescent="0.25">
      <c r="A14" s="117" t="s">
        <v>248</v>
      </c>
      <c r="B14" s="120">
        <v>5557</v>
      </c>
      <c r="C14" s="120">
        <v>770756</v>
      </c>
      <c r="D14" s="120">
        <v>811322</v>
      </c>
      <c r="E14" s="120">
        <v>446227</v>
      </c>
      <c r="F14" s="120">
        <v>753799</v>
      </c>
      <c r="G14" s="120">
        <v>575227</v>
      </c>
      <c r="H14" s="120">
        <v>427932</v>
      </c>
      <c r="I14" s="1"/>
      <c r="J14" s="1"/>
      <c r="K14" s="150"/>
      <c r="Y14" s="150"/>
    </row>
    <row r="15" spans="1:25" x14ac:dyDescent="0.25">
      <c r="A15" s="118" t="s">
        <v>249</v>
      </c>
      <c r="B15" s="121">
        <v>5713</v>
      </c>
      <c r="C15" s="121">
        <v>792393</v>
      </c>
      <c r="D15" s="121">
        <v>854950</v>
      </c>
      <c r="E15" s="121">
        <v>437902</v>
      </c>
      <c r="F15" s="121">
        <v>778130</v>
      </c>
      <c r="G15" s="121">
        <v>609579</v>
      </c>
      <c r="H15" s="121">
        <v>423451</v>
      </c>
      <c r="I15" s="1"/>
      <c r="J15" s="1"/>
      <c r="K15" s="150"/>
      <c r="Y15" s="150"/>
    </row>
    <row r="16" spans="1:25" x14ac:dyDescent="0.25">
      <c r="A16" s="1"/>
      <c r="B16" s="1"/>
      <c r="C16" s="1"/>
      <c r="D16" s="1"/>
      <c r="E16" s="1"/>
      <c r="F16" s="1"/>
      <c r="G16" s="1"/>
      <c r="H16" s="1"/>
      <c r="I16" s="1"/>
      <c r="J16" s="1"/>
      <c r="K16" s="150"/>
      <c r="Y16" s="150"/>
    </row>
    <row r="17" spans="1:25" x14ac:dyDescent="0.25">
      <c r="A17" s="116"/>
      <c r="B17" s="116"/>
      <c r="C17" s="369" t="s">
        <v>188</v>
      </c>
      <c r="D17" s="370"/>
      <c r="E17" s="371"/>
      <c r="F17" s="369" t="s">
        <v>189</v>
      </c>
      <c r="G17" s="370"/>
      <c r="H17" s="371"/>
      <c r="I17" s="1"/>
      <c r="J17" s="1"/>
      <c r="K17" s="150"/>
      <c r="Y17" s="150"/>
    </row>
    <row r="18" spans="1:25" ht="31.5" x14ac:dyDescent="0.25">
      <c r="A18" s="122" t="s">
        <v>183</v>
      </c>
      <c r="B18" s="122" t="s">
        <v>184</v>
      </c>
      <c r="C18" s="123" t="s">
        <v>185</v>
      </c>
      <c r="D18" s="124" t="s">
        <v>186</v>
      </c>
      <c r="E18" s="123" t="s">
        <v>187</v>
      </c>
      <c r="F18" s="124" t="s">
        <v>185</v>
      </c>
      <c r="G18" s="124" t="s">
        <v>186</v>
      </c>
      <c r="H18" s="124" t="s">
        <v>187</v>
      </c>
      <c r="I18" s="1"/>
      <c r="J18" s="1"/>
      <c r="K18" s="150"/>
      <c r="Y18" s="150"/>
    </row>
    <row r="19" spans="1:25" x14ac:dyDescent="0.25">
      <c r="A19" s="116" t="s">
        <v>223</v>
      </c>
      <c r="B19" s="119">
        <v>5026</v>
      </c>
      <c r="C19" s="119">
        <v>99880105</v>
      </c>
      <c r="D19" s="119">
        <v>108693064</v>
      </c>
      <c r="E19" s="119">
        <v>85191891</v>
      </c>
      <c r="F19" s="119">
        <v>82909276</v>
      </c>
      <c r="G19" s="119">
        <v>57455806</v>
      </c>
      <c r="H19" s="119">
        <v>80466126</v>
      </c>
      <c r="I19" s="1"/>
      <c r="J19" s="1"/>
      <c r="K19" s="150"/>
      <c r="Y19" s="150"/>
    </row>
    <row r="20" spans="1:25" x14ac:dyDescent="0.25">
      <c r="A20" s="117" t="s">
        <v>224</v>
      </c>
      <c r="B20" s="120">
        <v>5177</v>
      </c>
      <c r="C20" s="120">
        <v>112208600</v>
      </c>
      <c r="D20" s="120">
        <v>115325510</v>
      </c>
      <c r="E20" s="120">
        <v>84156249</v>
      </c>
      <c r="F20" s="120">
        <v>90923301</v>
      </c>
      <c r="G20" s="120">
        <v>61101185</v>
      </c>
      <c r="H20" s="120">
        <v>79301443</v>
      </c>
      <c r="I20" s="1"/>
      <c r="J20" s="1"/>
      <c r="K20" s="150"/>
      <c r="Y20" s="150"/>
    </row>
    <row r="21" spans="1:25" x14ac:dyDescent="0.25">
      <c r="A21" s="117" t="s">
        <v>247</v>
      </c>
      <c r="B21" s="120">
        <v>5436</v>
      </c>
      <c r="C21" s="120">
        <v>113310719</v>
      </c>
      <c r="D21" s="120">
        <v>126260553</v>
      </c>
      <c r="E21" s="120">
        <v>84173756</v>
      </c>
      <c r="F21" s="120">
        <v>93212117</v>
      </c>
      <c r="G21" s="120">
        <v>68847354</v>
      </c>
      <c r="H21" s="120">
        <v>80648307</v>
      </c>
      <c r="I21" s="1"/>
      <c r="J21" s="1"/>
      <c r="K21" s="150"/>
      <c r="Y21" s="150"/>
    </row>
    <row r="22" spans="1:25" x14ac:dyDescent="0.25">
      <c r="A22" s="117" t="s">
        <v>248</v>
      </c>
      <c r="B22" s="120">
        <v>5490</v>
      </c>
      <c r="C22" s="120">
        <v>125725719</v>
      </c>
      <c r="D22" s="120">
        <v>132342845</v>
      </c>
      <c r="E22" s="120">
        <v>72788548</v>
      </c>
      <c r="F22" s="120">
        <v>103286192</v>
      </c>
      <c r="G22" s="120">
        <v>68402855</v>
      </c>
      <c r="H22" s="120">
        <v>69245784</v>
      </c>
      <c r="I22" s="1"/>
      <c r="J22" s="1"/>
      <c r="K22" s="150"/>
      <c r="Y22" s="150"/>
    </row>
    <row r="23" spans="1:25" x14ac:dyDescent="0.25">
      <c r="A23" s="118" t="s">
        <v>249</v>
      </c>
      <c r="B23" s="121">
        <v>5624</v>
      </c>
      <c r="C23" s="121">
        <v>130744845</v>
      </c>
      <c r="D23" s="121">
        <v>141066750</v>
      </c>
      <c r="E23" s="121">
        <v>72253830</v>
      </c>
      <c r="F23" s="121">
        <v>108875939</v>
      </c>
      <c r="G23" s="121">
        <v>74429639</v>
      </c>
      <c r="H23" s="121">
        <v>68961151</v>
      </c>
      <c r="I23" s="1"/>
      <c r="J23" s="1"/>
      <c r="K23" s="150"/>
      <c r="Y23" s="150"/>
    </row>
    <row r="24" spans="1:25" x14ac:dyDescent="0.25">
      <c r="A24" s="1"/>
      <c r="B24" s="1"/>
      <c r="C24" s="1"/>
      <c r="D24" s="1"/>
      <c r="E24" s="1"/>
      <c r="F24" s="1"/>
      <c r="G24" s="1"/>
      <c r="H24" s="1"/>
      <c r="I24" s="1"/>
      <c r="J24" s="1"/>
      <c r="K24" s="150"/>
      <c r="Y24" s="150"/>
    </row>
    <row r="25" spans="1:25" x14ac:dyDescent="0.25">
      <c r="A25" s="25" t="s">
        <v>244</v>
      </c>
      <c r="B25" s="21"/>
      <c r="C25" s="1"/>
      <c r="D25" s="1"/>
      <c r="E25" s="1"/>
      <c r="F25" s="1"/>
      <c r="G25" s="1"/>
      <c r="H25" s="1"/>
      <c r="I25" s="1"/>
      <c r="J25" s="1"/>
      <c r="K25" s="150"/>
      <c r="Y25" s="150"/>
    </row>
    <row r="26" spans="1:25" x14ac:dyDescent="0.25">
      <c r="A26" s="22" t="s">
        <v>190</v>
      </c>
      <c r="B26" s="21"/>
      <c r="C26" s="1"/>
      <c r="D26" s="1"/>
      <c r="E26" s="1"/>
      <c r="F26" s="1"/>
      <c r="G26" s="1"/>
      <c r="H26" s="1"/>
      <c r="I26" s="1"/>
      <c r="J26" s="1"/>
      <c r="K26" s="150"/>
      <c r="Y26" s="150"/>
    </row>
    <row r="27" spans="1:25" x14ac:dyDescent="0.25">
      <c r="A27" s="22" t="s">
        <v>191</v>
      </c>
      <c r="B27" s="21"/>
      <c r="C27" s="1"/>
      <c r="D27" s="1"/>
      <c r="E27" s="1"/>
      <c r="F27" s="1"/>
      <c r="G27" s="1"/>
      <c r="H27" s="1"/>
      <c r="I27" s="1"/>
      <c r="J27" s="1"/>
      <c r="K27" s="150"/>
      <c r="M27" s="151" t="s">
        <v>207</v>
      </c>
      <c r="Y27" s="150"/>
    </row>
    <row r="28" spans="1:25" x14ac:dyDescent="0.25">
      <c r="A28" s="20"/>
      <c r="B28"/>
      <c r="K28" s="150"/>
      <c r="Y28" s="150"/>
    </row>
    <row r="29" spans="1:25" x14ac:dyDescent="0.25">
      <c r="A29" s="20" t="s">
        <v>0</v>
      </c>
      <c r="B29"/>
      <c r="K29" s="150"/>
      <c r="Y29" s="150"/>
    </row>
    <row r="30" spans="1:25" s="88" customFormat="1" x14ac:dyDescent="0.25">
      <c r="A30" s="2" t="s">
        <v>208</v>
      </c>
      <c r="B30"/>
      <c r="K30" s="150"/>
      <c r="L30" s="2"/>
      <c r="M30" s="2" t="s">
        <v>374</v>
      </c>
      <c r="N30" s="2"/>
      <c r="O30" s="2"/>
      <c r="P30" s="2"/>
      <c r="Q30" s="2"/>
      <c r="R30" s="2"/>
      <c r="S30" s="2"/>
      <c r="T30" s="2"/>
      <c r="U30" s="2"/>
      <c r="V30" s="2"/>
      <c r="W30" s="2"/>
      <c r="X30" s="2"/>
      <c r="Y30" s="150"/>
    </row>
    <row r="31" spans="1:25" s="88" customFormat="1" x14ac:dyDescent="0.25">
      <c r="A31" s="2"/>
      <c r="B31"/>
      <c r="K31" s="150"/>
      <c r="L31" s="2"/>
      <c r="M31" s="216" t="s">
        <v>375</v>
      </c>
      <c r="N31" s="217">
        <f>SUM(F11:F15)/SUM(C11:C15)</f>
        <v>0.97957419570299453</v>
      </c>
      <c r="O31" s="2"/>
      <c r="P31" s="2"/>
      <c r="Q31" s="2"/>
      <c r="R31" s="2"/>
      <c r="S31" s="2"/>
      <c r="T31" s="2"/>
      <c r="U31" s="2"/>
      <c r="V31" s="2"/>
      <c r="W31" s="2"/>
      <c r="X31" s="2"/>
      <c r="Y31" s="150"/>
    </row>
    <row r="32" spans="1:25" s="88" customFormat="1" x14ac:dyDescent="0.25">
      <c r="A32" s="2"/>
      <c r="B32"/>
      <c r="K32" s="150"/>
      <c r="L32" s="2"/>
      <c r="M32" s="216" t="s">
        <v>376</v>
      </c>
      <c r="N32" s="217">
        <f>SUM(G11:G15)/SUM(D11:D15)</f>
        <v>0.70995692689255918</v>
      </c>
      <c r="O32" s="2"/>
      <c r="P32" s="2"/>
      <c r="Q32" s="2"/>
      <c r="R32" s="2"/>
      <c r="S32" s="2"/>
      <c r="T32" s="2"/>
      <c r="U32" s="2"/>
      <c r="V32" s="2"/>
      <c r="W32" s="2"/>
      <c r="X32" s="2"/>
      <c r="Y32" s="150"/>
    </row>
    <row r="33" spans="1:25" s="88" customFormat="1" x14ac:dyDescent="0.25">
      <c r="A33" s="2"/>
      <c r="B33"/>
      <c r="K33" s="150"/>
      <c r="L33" s="2"/>
      <c r="M33" s="216" t="s">
        <v>377</v>
      </c>
      <c r="N33" s="217">
        <f>SUM(H11:H15)/SUM(E11:E15)</f>
        <v>0.95784578451764535</v>
      </c>
      <c r="O33" s="2"/>
      <c r="P33" s="2"/>
      <c r="Q33" s="2"/>
      <c r="R33" s="2"/>
      <c r="S33" s="2"/>
      <c r="T33" s="2"/>
      <c r="U33" s="2"/>
      <c r="V33" s="2"/>
      <c r="W33" s="2"/>
      <c r="X33" s="2"/>
      <c r="Y33" s="150"/>
    </row>
    <row r="34" spans="1:25" s="88" customFormat="1" x14ac:dyDescent="0.25">
      <c r="A34" s="2"/>
      <c r="B34"/>
      <c r="K34" s="150"/>
      <c r="L34" s="2"/>
      <c r="M34" s="216"/>
      <c r="N34" s="217"/>
      <c r="O34" s="2"/>
      <c r="P34" s="2"/>
      <c r="Q34" s="2"/>
      <c r="R34" s="2"/>
      <c r="S34" s="2"/>
      <c r="T34" s="2"/>
      <c r="U34" s="2"/>
      <c r="V34" s="2"/>
      <c r="W34" s="2"/>
      <c r="X34" s="2"/>
      <c r="Y34" s="150"/>
    </row>
    <row r="35" spans="1:25" s="88" customFormat="1" x14ac:dyDescent="0.25">
      <c r="A35" s="2"/>
      <c r="B35"/>
      <c r="K35" s="150"/>
      <c r="L35" s="2"/>
      <c r="M35" s="198" t="s">
        <v>378</v>
      </c>
      <c r="N35" s="217"/>
      <c r="O35" s="2"/>
      <c r="P35" s="2"/>
      <c r="Q35" s="2"/>
      <c r="R35" s="2"/>
      <c r="S35" s="2"/>
      <c r="T35" s="2"/>
      <c r="U35" s="2"/>
      <c r="V35" s="2"/>
      <c r="W35" s="2"/>
      <c r="X35" s="2"/>
      <c r="Y35" s="150"/>
    </row>
    <row r="36" spans="1:25" s="88" customFormat="1" x14ac:dyDescent="0.25">
      <c r="A36" s="2"/>
      <c r="B36"/>
      <c r="K36" s="150"/>
      <c r="L36" s="2"/>
      <c r="M36" s="218" t="s">
        <v>379</v>
      </c>
      <c r="N36" s="217"/>
      <c r="O36" s="2"/>
      <c r="P36" s="2"/>
      <c r="Q36" s="2"/>
      <c r="R36" s="2"/>
      <c r="S36" s="2"/>
      <c r="T36" s="2"/>
      <c r="U36" s="2"/>
      <c r="V36" s="2"/>
      <c r="W36" s="2"/>
      <c r="X36" s="2"/>
      <c r="Y36" s="150"/>
    </row>
    <row r="37" spans="1:25" s="88" customFormat="1" x14ac:dyDescent="0.25">
      <c r="A37" s="2"/>
      <c r="B37"/>
      <c r="K37" s="150"/>
      <c r="L37" s="2"/>
      <c r="M37" s="216" t="s">
        <v>375</v>
      </c>
      <c r="N37" s="217">
        <f>(SUM(F19:F23)/SUM(C19:C23))/N31</f>
        <v>0.84073611008965288</v>
      </c>
      <c r="O37" s="2"/>
      <c r="P37" s="2"/>
      <c r="Q37" s="2"/>
      <c r="R37" s="2"/>
      <c r="S37" s="2"/>
      <c r="T37" s="2"/>
      <c r="U37" s="2"/>
      <c r="V37" s="2"/>
      <c r="W37" s="2"/>
      <c r="X37" s="2"/>
      <c r="Y37" s="150"/>
    </row>
    <row r="38" spans="1:25" s="88" customFormat="1" x14ac:dyDescent="0.25">
      <c r="A38" s="2"/>
      <c r="B38"/>
      <c r="K38" s="150"/>
      <c r="L38" s="2"/>
      <c r="M38" s="216" t="s">
        <v>376</v>
      </c>
      <c r="N38" s="217">
        <f>(SUM(G19:G23)/SUM(D19:D23))/N32</f>
        <v>0.74580557740903053</v>
      </c>
      <c r="O38" s="2"/>
      <c r="P38" s="2"/>
      <c r="Q38" s="2"/>
      <c r="R38" s="2"/>
      <c r="S38" s="2"/>
      <c r="T38" s="2"/>
      <c r="U38" s="2"/>
      <c r="V38" s="2"/>
      <c r="W38" s="2"/>
      <c r="X38" s="2"/>
      <c r="Y38" s="150"/>
    </row>
    <row r="39" spans="1:25" s="88" customFormat="1" x14ac:dyDescent="0.25">
      <c r="A39" s="2"/>
      <c r="B39"/>
      <c r="K39" s="150"/>
      <c r="L39" s="2"/>
      <c r="M39" s="216" t="s">
        <v>377</v>
      </c>
      <c r="N39" s="217">
        <f>(SUM(H19:H23)/SUM(E19:E23))/N33</f>
        <v>0.99177422168260498</v>
      </c>
      <c r="O39" s="2"/>
      <c r="P39" s="2"/>
      <c r="Q39" s="2"/>
      <c r="R39" s="2"/>
      <c r="S39" s="2"/>
      <c r="T39" s="2"/>
      <c r="U39" s="2"/>
      <c r="V39" s="2"/>
      <c r="W39" s="2"/>
      <c r="X39" s="2"/>
      <c r="Y39" s="150"/>
    </row>
    <row r="40" spans="1:25" s="88" customFormat="1" x14ac:dyDescent="0.25">
      <c r="A40" s="2"/>
      <c r="B40"/>
      <c r="K40" s="150"/>
      <c r="L40" s="2"/>
      <c r="M40" s="216"/>
      <c r="N40" s="217"/>
      <c r="O40" s="2"/>
      <c r="P40" s="2"/>
      <c r="Q40" s="2"/>
      <c r="R40" s="2"/>
      <c r="S40" s="2"/>
      <c r="T40" s="2"/>
      <c r="U40" s="2"/>
      <c r="V40" s="2"/>
      <c r="W40" s="2"/>
      <c r="X40" s="2"/>
      <c r="Y40" s="150"/>
    </row>
    <row r="41" spans="1:25" s="88" customFormat="1" x14ac:dyDescent="0.25">
      <c r="A41" s="2" t="s">
        <v>227</v>
      </c>
      <c r="B41"/>
      <c r="K41" s="150"/>
      <c r="L41" s="2"/>
      <c r="M41" s="198" t="s">
        <v>380</v>
      </c>
      <c r="N41" s="219"/>
      <c r="S41" s="2"/>
      <c r="T41" s="2"/>
      <c r="U41" s="2"/>
      <c r="V41" s="2"/>
      <c r="W41" s="2"/>
      <c r="X41" s="2"/>
      <c r="Y41" s="150"/>
    </row>
    <row r="42" spans="1:25" s="88" customFormat="1" x14ac:dyDescent="0.25">
      <c r="A42" s="2"/>
      <c r="B42"/>
      <c r="K42" s="150"/>
      <c r="L42" s="2"/>
      <c r="M42" s="198" t="s">
        <v>381</v>
      </c>
      <c r="S42" s="2"/>
      <c r="T42" s="2"/>
      <c r="U42" s="2"/>
      <c r="V42" s="2"/>
      <c r="W42" s="2"/>
      <c r="X42" s="2"/>
      <c r="Y42" s="150"/>
    </row>
    <row r="43" spans="1:25" s="88" customFormat="1" x14ac:dyDescent="0.25">
      <c r="B43"/>
      <c r="K43" s="150"/>
      <c r="L43" s="2"/>
      <c r="M43" s="198" t="s">
        <v>382</v>
      </c>
      <c r="S43" s="2"/>
      <c r="T43" s="2"/>
      <c r="U43" s="2"/>
      <c r="V43" s="2"/>
      <c r="W43" s="2"/>
      <c r="X43" s="2"/>
      <c r="Y43" s="150"/>
    </row>
    <row r="44" spans="1:25" s="88" customFormat="1" x14ac:dyDescent="0.25">
      <c r="B44"/>
      <c r="K44" s="150"/>
      <c r="L44" s="2"/>
      <c r="M44" s="2"/>
      <c r="N44" s="2" t="s">
        <v>383</v>
      </c>
      <c r="O44" s="2"/>
      <c r="P44" s="2" t="s">
        <v>384</v>
      </c>
      <c r="Q44" s="2"/>
      <c r="R44" s="2"/>
      <c r="S44" s="2"/>
      <c r="T44" s="2"/>
      <c r="U44" s="2"/>
      <c r="V44" s="2"/>
      <c r="W44" s="2"/>
      <c r="X44" s="2"/>
      <c r="Y44" s="150"/>
    </row>
    <row r="45" spans="1:25" s="88" customFormat="1" x14ac:dyDescent="0.25">
      <c r="B45"/>
      <c r="K45" s="150"/>
      <c r="L45" s="2"/>
      <c r="M45" s="216" t="s">
        <v>375</v>
      </c>
      <c r="N45" s="220">
        <f>SUM(F13:F15)/SUM(C13:C15)</f>
        <v>0.98125381736867923</v>
      </c>
      <c r="O45" s="2"/>
      <c r="P45" s="220">
        <f>(SUM(F21:F23)/SUM(C21:C23))/N45</f>
        <v>0.84160077408871192</v>
      </c>
      <c r="Q45" s="2"/>
      <c r="R45" s="2"/>
      <c r="S45" s="2"/>
      <c r="T45" s="2"/>
      <c r="U45" s="2"/>
      <c r="V45" s="2"/>
      <c r="W45" s="2"/>
      <c r="X45" s="2"/>
      <c r="Y45" s="150"/>
    </row>
    <row r="46" spans="1:25" s="88" customFormat="1" x14ac:dyDescent="0.25">
      <c r="B46"/>
      <c r="K46" s="150"/>
      <c r="L46" s="2"/>
      <c r="M46" s="216" t="s">
        <v>376</v>
      </c>
      <c r="N46" s="220">
        <f>SUM(G13:G15)/SUM(D13:D15)</f>
        <v>0.71071716456690659</v>
      </c>
      <c r="O46" s="2"/>
      <c r="P46" s="220">
        <f>(SUM(G21:G23)/SUM(D21:D23))/N46</f>
        <v>0.74521399010515588</v>
      </c>
      <c r="Q46" s="2"/>
      <c r="R46" s="2"/>
      <c r="S46" s="2"/>
      <c r="T46" s="2"/>
      <c r="U46" s="2"/>
      <c r="V46" s="2"/>
      <c r="W46" s="2"/>
      <c r="X46" s="2"/>
      <c r="Y46" s="150"/>
    </row>
    <row r="47" spans="1:25" s="88" customFormat="1" x14ac:dyDescent="0.25">
      <c r="B47"/>
      <c r="K47" s="150"/>
      <c r="L47" s="2"/>
      <c r="M47" s="216" t="s">
        <v>377</v>
      </c>
      <c r="N47" s="220">
        <f>SUM(H13:H15)/SUM(E13:E15)</f>
        <v>0.96223712504491765</v>
      </c>
      <c r="O47" s="2"/>
      <c r="P47" s="220">
        <f>(SUM(H21:H23)/SUM(E21:E23))/N47</f>
        <v>0.9922695426300453</v>
      </c>
      <c r="Q47" s="2"/>
      <c r="R47" s="2"/>
      <c r="S47" s="2"/>
      <c r="T47" s="2"/>
      <c r="U47" s="2"/>
      <c r="V47" s="2"/>
      <c r="W47" s="2"/>
      <c r="X47" s="2"/>
      <c r="Y47" s="150"/>
    </row>
    <row r="48" spans="1:25" s="88" customFormat="1" x14ac:dyDescent="0.25">
      <c r="A48" s="7" t="s">
        <v>192</v>
      </c>
      <c r="B48" s="21"/>
      <c r="C48" s="1"/>
      <c r="D48" s="1"/>
      <c r="E48" s="1"/>
      <c r="F48" s="1"/>
      <c r="G48" s="1"/>
      <c r="H48" s="1"/>
      <c r="I48" s="1"/>
      <c r="J48" s="1"/>
      <c r="K48" s="150"/>
      <c r="L48" s="2"/>
      <c r="M48" s="2"/>
      <c r="N48" s="2"/>
      <c r="O48" s="2"/>
      <c r="P48" s="2"/>
      <c r="Q48" s="2"/>
      <c r="R48" s="2"/>
      <c r="S48" s="2"/>
      <c r="T48" s="2"/>
      <c r="U48" s="2"/>
      <c r="V48" s="2"/>
      <c r="W48" s="2"/>
      <c r="X48" s="2"/>
      <c r="Y48" s="150"/>
    </row>
    <row r="49" spans="1:25" s="88" customFormat="1" x14ac:dyDescent="0.25">
      <c r="A49" s="26" t="s">
        <v>193</v>
      </c>
      <c r="B49" s="21"/>
      <c r="C49" s="1"/>
      <c r="D49" s="1"/>
      <c r="E49" s="1"/>
      <c r="F49" s="1"/>
      <c r="G49" s="1"/>
      <c r="H49" s="1"/>
      <c r="I49" s="1"/>
      <c r="J49" s="1"/>
      <c r="K49" s="150"/>
      <c r="L49" s="2"/>
      <c r="M49" s="2"/>
      <c r="N49" s="2"/>
      <c r="O49" s="2"/>
      <c r="P49" s="2"/>
      <c r="Q49" s="2"/>
      <c r="R49" s="2"/>
      <c r="S49" s="2"/>
      <c r="T49" s="2"/>
      <c r="U49" s="2"/>
      <c r="V49" s="2"/>
      <c r="W49" s="2"/>
      <c r="X49" s="2"/>
      <c r="Y49" s="150"/>
    </row>
    <row r="50" spans="1:25" s="88" customFormat="1" x14ac:dyDescent="0.25">
      <c r="A50" s="26" t="s">
        <v>194</v>
      </c>
      <c r="B50" s="21"/>
      <c r="C50" s="1"/>
      <c r="D50" s="1"/>
      <c r="E50" s="1"/>
      <c r="F50" s="1"/>
      <c r="G50" s="1"/>
      <c r="H50" s="1"/>
      <c r="I50" s="1"/>
      <c r="J50" s="1"/>
      <c r="K50" s="150"/>
      <c r="L50" s="2"/>
      <c r="M50" s="2"/>
      <c r="N50" s="2"/>
      <c r="O50" s="2"/>
      <c r="P50" s="2"/>
      <c r="Q50" s="2"/>
      <c r="R50" s="2"/>
      <c r="S50" s="2"/>
      <c r="T50" s="2"/>
      <c r="U50" s="2"/>
      <c r="V50" s="2"/>
      <c r="W50" s="2"/>
      <c r="X50" s="2"/>
      <c r="Y50" s="150"/>
    </row>
    <row r="51" spans="1:25" s="88" customFormat="1" x14ac:dyDescent="0.25">
      <c r="A51" s="7"/>
      <c r="B51" s="21"/>
      <c r="C51" s="1"/>
      <c r="D51" s="1"/>
      <c r="E51" s="1"/>
      <c r="F51" s="1"/>
      <c r="G51" s="1"/>
      <c r="H51" s="1"/>
      <c r="I51" s="1"/>
      <c r="J51" s="1"/>
      <c r="K51" s="150"/>
      <c r="L51" s="2"/>
      <c r="M51" s="2"/>
      <c r="N51" s="2"/>
      <c r="O51" s="2"/>
      <c r="P51" s="2"/>
      <c r="Q51" s="2"/>
      <c r="R51" s="2"/>
      <c r="S51" s="2"/>
      <c r="T51" s="2"/>
      <c r="U51" s="2"/>
      <c r="V51" s="2"/>
      <c r="W51" s="2"/>
      <c r="X51" s="2"/>
      <c r="Y51" s="150"/>
    </row>
    <row r="52" spans="1:25" s="88" customFormat="1" x14ac:dyDescent="0.25">
      <c r="A52" s="25" t="s">
        <v>246</v>
      </c>
      <c r="B52" s="21"/>
      <c r="C52" s="1"/>
      <c r="D52" s="1"/>
      <c r="E52" s="1"/>
      <c r="F52" s="1"/>
      <c r="G52" s="1"/>
      <c r="H52" s="1"/>
      <c r="I52" s="1"/>
      <c r="J52" s="1"/>
      <c r="K52" s="150"/>
      <c r="L52" s="2"/>
      <c r="M52" s="2"/>
      <c r="N52" s="2"/>
      <c r="O52" s="2"/>
      <c r="P52" s="2"/>
      <c r="Q52" s="2"/>
      <c r="R52" s="2"/>
      <c r="S52" s="2"/>
      <c r="T52" s="2"/>
      <c r="U52" s="2"/>
      <c r="V52" s="2"/>
      <c r="W52" s="2"/>
      <c r="X52" s="2"/>
      <c r="Y52" s="150"/>
    </row>
    <row r="53" spans="1:25" x14ac:dyDescent="0.25">
      <c r="A53" s="22" t="s">
        <v>195</v>
      </c>
      <c r="B53" s="21"/>
      <c r="C53" s="1"/>
      <c r="D53" s="1"/>
      <c r="E53" s="1"/>
      <c r="F53" s="1"/>
      <c r="G53" s="1"/>
      <c r="H53" s="1"/>
      <c r="I53" s="1"/>
      <c r="J53" s="1"/>
      <c r="K53" s="150"/>
      <c r="Y53" s="150"/>
    </row>
    <row r="54" spans="1:25" x14ac:dyDescent="0.25">
      <c r="A54" s="22" t="s">
        <v>196</v>
      </c>
      <c r="B54" s="1"/>
      <c r="C54" s="1"/>
      <c r="D54" s="1"/>
      <c r="E54" s="1"/>
      <c r="F54" s="1"/>
      <c r="G54" s="1"/>
      <c r="H54" s="1"/>
      <c r="I54" s="1"/>
      <c r="J54" s="1"/>
      <c r="K54" s="150"/>
      <c r="Y54" s="150"/>
    </row>
    <row r="55" spans="1:25" x14ac:dyDescent="0.25">
      <c r="A55" s="20" t="s">
        <v>0</v>
      </c>
      <c r="K55" s="150"/>
      <c r="M55" s="151" t="s">
        <v>385</v>
      </c>
      <c r="Y55" s="150"/>
    </row>
    <row r="56" spans="1:25" x14ac:dyDescent="0.25">
      <c r="A56" s="2" t="s">
        <v>208</v>
      </c>
      <c r="K56" s="150"/>
      <c r="M56" s="2" t="s">
        <v>386</v>
      </c>
      <c r="N56"/>
      <c r="O56"/>
      <c r="P56"/>
      <c r="Y56" s="150"/>
    </row>
    <row r="57" spans="1:25" x14ac:dyDescent="0.25">
      <c r="K57" s="150"/>
      <c r="N57"/>
      <c r="O57"/>
      <c r="P57"/>
      <c r="Y57" s="150"/>
    </row>
    <row r="58" spans="1:25" x14ac:dyDescent="0.25">
      <c r="K58" s="150"/>
      <c r="M58" s="2" t="s">
        <v>387</v>
      </c>
      <c r="Y58" s="150"/>
    </row>
    <row r="59" spans="1:25" x14ac:dyDescent="0.25">
      <c r="K59" s="150"/>
      <c r="N59" s="2" t="s">
        <v>185</v>
      </c>
      <c r="O59" s="2" t="s">
        <v>186</v>
      </c>
      <c r="P59" s="2" t="s">
        <v>187</v>
      </c>
      <c r="Y59" s="150"/>
    </row>
    <row r="60" spans="1:25" x14ac:dyDescent="0.25">
      <c r="A60" s="2" t="s">
        <v>227</v>
      </c>
      <c r="K60" s="150"/>
      <c r="N60" s="221">
        <v>0.97199992417468883</v>
      </c>
      <c r="O60" s="221">
        <v>0.70200031935432361</v>
      </c>
      <c r="P60" s="221">
        <v>0.95600074822989922</v>
      </c>
      <c r="Y60" s="150"/>
    </row>
    <row r="61" spans="1:25" x14ac:dyDescent="0.25">
      <c r="K61" s="150"/>
      <c r="N61" s="221">
        <v>0.98100037332700152</v>
      </c>
      <c r="O61" s="221">
        <v>0.71499946419053106</v>
      </c>
      <c r="P61" s="221">
        <v>0.94799919136129751</v>
      </c>
      <c r="Y61" s="150"/>
    </row>
    <row r="62" spans="1:25" x14ac:dyDescent="0.25">
      <c r="K62" s="150"/>
      <c r="N62" s="221">
        <v>0.98400052729768539</v>
      </c>
      <c r="O62" s="221">
        <v>0.70999976853578306</v>
      </c>
      <c r="P62" s="221">
        <v>0.96100023339293528</v>
      </c>
      <c r="Y62" s="150"/>
    </row>
    <row r="63" spans="1:25" x14ac:dyDescent="0.25">
      <c r="K63" s="150"/>
      <c r="N63" s="221">
        <v>0.97799952254669442</v>
      </c>
      <c r="O63" s="221">
        <v>0.70899963269823818</v>
      </c>
      <c r="P63" s="221">
        <v>0.95900068799064153</v>
      </c>
      <c r="Y63" s="150"/>
    </row>
    <row r="64" spans="1:25" x14ac:dyDescent="0.25">
      <c r="K64" s="150"/>
      <c r="N64" s="221">
        <v>0.9820000933880032</v>
      </c>
      <c r="O64" s="221">
        <v>0.71299959061933449</v>
      </c>
      <c r="P64" s="221">
        <v>0.9669994656338633</v>
      </c>
      <c r="Y64" s="150"/>
    </row>
    <row r="65" spans="11:25" x14ac:dyDescent="0.25">
      <c r="K65" s="150"/>
      <c r="Y65" s="150"/>
    </row>
    <row r="66" spans="11:25" ht="16.5" thickBot="1" x14ac:dyDescent="0.3">
      <c r="K66" s="150"/>
      <c r="M66" s="2" t="s">
        <v>388</v>
      </c>
      <c r="Y66" s="150"/>
    </row>
    <row r="67" spans="11:25" ht="16.5" thickBot="1" x14ac:dyDescent="0.3">
      <c r="K67" s="150"/>
      <c r="M67" s="222"/>
      <c r="N67" s="372" t="s">
        <v>389</v>
      </c>
      <c r="O67" s="373"/>
      <c r="P67" s="374"/>
      <c r="Q67" s="369" t="str">
        <f t="shared" ref="Q67:S73" si="0">F17</f>
        <v>Actual Total Dollars Utilized</v>
      </c>
      <c r="R67" s="370">
        <f t="shared" si="0"/>
        <v>0</v>
      </c>
      <c r="S67" s="371">
        <f t="shared" si="0"/>
        <v>0</v>
      </c>
      <c r="T67" s="366" t="s">
        <v>390</v>
      </c>
      <c r="U67" s="367">
        <f t="shared" ref="U67:V67" si="1">J17</f>
        <v>0</v>
      </c>
      <c r="V67" s="368">
        <f t="shared" si="1"/>
        <v>0</v>
      </c>
      <c r="Y67" s="150"/>
    </row>
    <row r="68" spans="11:25" ht="16.5" thickBot="1" x14ac:dyDescent="0.3">
      <c r="K68" s="150"/>
      <c r="M68" s="223" t="s">
        <v>183</v>
      </c>
      <c r="N68" s="224" t="s">
        <v>185</v>
      </c>
      <c r="O68" s="224" t="s">
        <v>186</v>
      </c>
      <c r="P68" s="224" t="s">
        <v>187</v>
      </c>
      <c r="Q68" s="124" t="str">
        <f t="shared" si="0"/>
        <v>Assisted Living</v>
      </c>
      <c r="R68" s="124" t="str">
        <f t="shared" si="0"/>
        <v>Home Health</v>
      </c>
      <c r="S68" s="124" t="str">
        <f t="shared" si="0"/>
        <v>Skilled Nursing</v>
      </c>
      <c r="T68" s="225" t="s">
        <v>185</v>
      </c>
      <c r="U68" s="225" t="s">
        <v>186</v>
      </c>
      <c r="V68" s="225" t="s">
        <v>187</v>
      </c>
      <c r="Y68" s="150"/>
    </row>
    <row r="69" spans="11:25" x14ac:dyDescent="0.25">
      <c r="K69" s="150"/>
      <c r="M69" s="226">
        <v>2015</v>
      </c>
      <c r="N69" s="227">
        <f>C19*N60</f>
        <v>97083454.486559957</v>
      </c>
      <c r="O69" s="227">
        <f t="shared" ref="O69:P69" si="2">D19*O60</f>
        <v>76302565.639599934</v>
      </c>
      <c r="P69" s="227">
        <f t="shared" si="2"/>
        <v>81443511.539120018</v>
      </c>
      <c r="Q69" s="119">
        <f t="shared" si="0"/>
        <v>82909276</v>
      </c>
      <c r="R69" s="119">
        <f t="shared" si="0"/>
        <v>57455806</v>
      </c>
      <c r="S69" s="119">
        <f t="shared" si="0"/>
        <v>80466126</v>
      </c>
      <c r="T69" s="228">
        <f>N69-Q69</f>
        <v>14174178.486559957</v>
      </c>
      <c r="U69" s="228">
        <f t="shared" ref="U69:V73" si="3">O69-R69</f>
        <v>18846759.639599934</v>
      </c>
      <c r="V69" s="228">
        <f t="shared" si="3"/>
        <v>977385.53912001848</v>
      </c>
      <c r="Y69" s="150"/>
    </row>
    <row r="70" spans="11:25" x14ac:dyDescent="0.25">
      <c r="K70" s="150"/>
      <c r="M70" s="226">
        <v>2016</v>
      </c>
      <c r="N70" s="227">
        <f t="shared" ref="N70:P73" si="4">C20*N61</f>
        <v>110076678.49050018</v>
      </c>
      <c r="O70" s="227">
        <f t="shared" si="4"/>
        <v>82457677.857499734</v>
      </c>
      <c r="P70" s="227">
        <f t="shared" si="4"/>
        <v>79780056</v>
      </c>
      <c r="Q70" s="120">
        <f t="shared" si="0"/>
        <v>90923301</v>
      </c>
      <c r="R70" s="120">
        <f t="shared" si="0"/>
        <v>61101185</v>
      </c>
      <c r="S70" s="120">
        <f t="shared" si="0"/>
        <v>79301443</v>
      </c>
      <c r="T70" s="229">
        <f t="shared" ref="T70:T73" si="5">N70-Q70</f>
        <v>19153377.490500182</v>
      </c>
      <c r="U70" s="229">
        <f t="shared" si="3"/>
        <v>21356492.857499734</v>
      </c>
      <c r="V70" s="229">
        <f t="shared" si="3"/>
        <v>478613</v>
      </c>
      <c r="Y70" s="150"/>
    </row>
    <row r="71" spans="11:25" x14ac:dyDescent="0.25">
      <c r="K71" s="150"/>
      <c r="M71" s="226">
        <v>2017</v>
      </c>
      <c r="N71" s="227">
        <f t="shared" si="4"/>
        <v>111497807.24447986</v>
      </c>
      <c r="O71" s="227">
        <f t="shared" si="4"/>
        <v>89644963.405199975</v>
      </c>
      <c r="P71" s="227">
        <f t="shared" si="4"/>
        <v>80890999.161559984</v>
      </c>
      <c r="Q71" s="120">
        <f t="shared" si="0"/>
        <v>93212117</v>
      </c>
      <c r="R71" s="120">
        <f t="shared" si="0"/>
        <v>68847354</v>
      </c>
      <c r="S71" s="120">
        <f t="shared" si="0"/>
        <v>80648307</v>
      </c>
      <c r="T71" s="229">
        <f t="shared" si="5"/>
        <v>18285690.244479865</v>
      </c>
      <c r="U71" s="229">
        <f t="shared" si="3"/>
        <v>20797609.405199975</v>
      </c>
      <c r="V71" s="229">
        <f t="shared" si="3"/>
        <v>242692.16155998409</v>
      </c>
      <c r="Y71" s="150"/>
    </row>
    <row r="72" spans="11:25" x14ac:dyDescent="0.25">
      <c r="K72" s="150"/>
      <c r="M72" s="226">
        <v>2018</v>
      </c>
      <c r="N72" s="227">
        <f t="shared" si="4"/>
        <v>122959693.15383987</v>
      </c>
      <c r="O72" s="227">
        <f t="shared" si="4"/>
        <v>93831028.495239869</v>
      </c>
      <c r="P72" s="227">
        <f t="shared" si="4"/>
        <v>69804267.609839842</v>
      </c>
      <c r="Q72" s="120">
        <f t="shared" si="0"/>
        <v>103286192</v>
      </c>
      <c r="R72" s="120">
        <f t="shared" si="0"/>
        <v>68402855</v>
      </c>
      <c r="S72" s="120">
        <f t="shared" si="0"/>
        <v>69245784</v>
      </c>
      <c r="T72" s="229">
        <f t="shared" si="5"/>
        <v>19673501.153839871</v>
      </c>
      <c r="U72" s="229">
        <f t="shared" si="3"/>
        <v>25428173.495239869</v>
      </c>
      <c r="V72" s="229">
        <f t="shared" si="3"/>
        <v>558483.60983984172</v>
      </c>
      <c r="Y72" s="150"/>
    </row>
    <row r="73" spans="11:25" ht="16.5" thickBot="1" x14ac:dyDescent="0.3">
      <c r="K73" s="150"/>
      <c r="M73" s="226">
        <v>2019</v>
      </c>
      <c r="N73" s="227">
        <f t="shared" si="4"/>
        <v>128391450</v>
      </c>
      <c r="O73" s="227">
        <f t="shared" si="4"/>
        <v>100580535</v>
      </c>
      <c r="P73" s="227">
        <f t="shared" si="4"/>
        <v>69869415</v>
      </c>
      <c r="Q73" s="121">
        <f t="shared" si="0"/>
        <v>108875939</v>
      </c>
      <c r="R73" s="121">
        <f t="shared" si="0"/>
        <v>74429639</v>
      </c>
      <c r="S73" s="121">
        <f t="shared" si="0"/>
        <v>68961151</v>
      </c>
      <c r="T73" s="230">
        <f t="shared" si="5"/>
        <v>19515511</v>
      </c>
      <c r="U73" s="230">
        <f t="shared" si="3"/>
        <v>26150896</v>
      </c>
      <c r="V73" s="230">
        <f t="shared" si="3"/>
        <v>908264</v>
      </c>
      <c r="Y73" s="150"/>
    </row>
    <row r="74" spans="11:25" ht="16.5" thickBot="1" x14ac:dyDescent="0.3">
      <c r="K74" s="150"/>
      <c r="M74" s="231" t="s">
        <v>30</v>
      </c>
      <c r="N74" s="232">
        <f t="shared" ref="N74:V74" si="6">SUM(N69:N73)</f>
        <v>570009083.3753798</v>
      </c>
      <c r="O74" s="232">
        <f t="shared" si="6"/>
        <v>442816770.3975395</v>
      </c>
      <c r="P74" s="232">
        <f t="shared" si="6"/>
        <v>381788249.31051987</v>
      </c>
      <c r="Q74" s="232">
        <f t="shared" si="6"/>
        <v>479206825</v>
      </c>
      <c r="R74" s="232">
        <f t="shared" si="6"/>
        <v>330236839</v>
      </c>
      <c r="S74" s="232">
        <f t="shared" si="6"/>
        <v>378622811</v>
      </c>
      <c r="T74" s="233">
        <f t="shared" si="6"/>
        <v>90802258.375379875</v>
      </c>
      <c r="U74" s="233">
        <f t="shared" si="6"/>
        <v>112579931.39753951</v>
      </c>
      <c r="V74" s="233">
        <f t="shared" si="6"/>
        <v>3165438.3105198443</v>
      </c>
      <c r="Y74" s="150"/>
    </row>
    <row r="75" spans="11:25" x14ac:dyDescent="0.25">
      <c r="K75" s="150"/>
      <c r="Y75" s="150"/>
    </row>
    <row r="76" spans="11:25" x14ac:dyDescent="0.25">
      <c r="K76" s="150"/>
      <c r="M76" s="2" t="s">
        <v>391</v>
      </c>
      <c r="Y76" s="150"/>
    </row>
    <row r="77" spans="11:25" x14ac:dyDescent="0.25">
      <c r="K77" s="150"/>
      <c r="M77" s="2" t="s">
        <v>392</v>
      </c>
      <c r="Y77" s="150"/>
    </row>
    <row r="78" spans="11:25" ht="16.5" thickBot="1" x14ac:dyDescent="0.3">
      <c r="K78" s="150"/>
      <c r="Y78" s="150"/>
    </row>
    <row r="79" spans="11:25" x14ac:dyDescent="0.25">
      <c r="K79" s="150"/>
      <c r="M79" s="222"/>
      <c r="N79" s="369" t="str">
        <f t="shared" ref="N79:S85" si="7">C17</f>
        <v>Maximum Total Dollars Available</v>
      </c>
      <c r="O79" s="370">
        <f t="shared" si="7"/>
        <v>0</v>
      </c>
      <c r="P79" s="371">
        <f t="shared" si="7"/>
        <v>0</v>
      </c>
      <c r="Q79" s="369" t="str">
        <f t="shared" si="7"/>
        <v>Actual Total Dollars Utilized</v>
      </c>
      <c r="R79" s="370">
        <f t="shared" si="7"/>
        <v>0</v>
      </c>
      <c r="S79" s="371">
        <f t="shared" si="7"/>
        <v>0</v>
      </c>
      <c r="T79" s="366" t="s">
        <v>390</v>
      </c>
      <c r="U79" s="367">
        <f t="shared" ref="U79:V79" si="8">J28</f>
        <v>0</v>
      </c>
      <c r="V79" s="368">
        <f t="shared" si="8"/>
        <v>0</v>
      </c>
      <c r="Y79" s="150"/>
    </row>
    <row r="80" spans="11:25" ht="16.5" thickBot="1" x14ac:dyDescent="0.3">
      <c r="K80" s="150"/>
      <c r="M80" s="223" t="s">
        <v>183</v>
      </c>
      <c r="N80" s="123" t="str">
        <f t="shared" si="7"/>
        <v>Assisted Living</v>
      </c>
      <c r="O80" s="124" t="str">
        <f t="shared" si="7"/>
        <v>Home Health</v>
      </c>
      <c r="P80" s="123" t="str">
        <f t="shared" si="7"/>
        <v>Skilled Nursing</v>
      </c>
      <c r="Q80" s="124" t="str">
        <f t="shared" si="7"/>
        <v>Assisted Living</v>
      </c>
      <c r="R80" s="124" t="str">
        <f t="shared" si="7"/>
        <v>Home Health</v>
      </c>
      <c r="S80" s="124" t="str">
        <f t="shared" si="7"/>
        <v>Skilled Nursing</v>
      </c>
      <c r="T80" s="225" t="s">
        <v>185</v>
      </c>
      <c r="U80" s="225" t="s">
        <v>186</v>
      </c>
      <c r="V80" s="225" t="s">
        <v>187</v>
      </c>
      <c r="Y80" s="150"/>
    </row>
    <row r="81" spans="11:25" x14ac:dyDescent="0.25">
      <c r="K81" s="150"/>
      <c r="M81" s="226">
        <v>2015</v>
      </c>
      <c r="N81" s="119">
        <f t="shared" si="7"/>
        <v>99880105</v>
      </c>
      <c r="O81" s="119">
        <f t="shared" si="7"/>
        <v>108693064</v>
      </c>
      <c r="P81" s="119">
        <f t="shared" si="7"/>
        <v>85191891</v>
      </c>
      <c r="Q81" s="119">
        <f t="shared" si="7"/>
        <v>82909276</v>
      </c>
      <c r="R81" s="119">
        <f t="shared" si="7"/>
        <v>57455806</v>
      </c>
      <c r="S81" s="119">
        <f t="shared" si="7"/>
        <v>80466126</v>
      </c>
      <c r="T81" s="228">
        <f>N81-Q81</f>
        <v>16970829</v>
      </c>
      <c r="U81" s="228">
        <f t="shared" ref="U81:V85" si="9">O81-R81</f>
        <v>51237258</v>
      </c>
      <c r="V81" s="228">
        <f t="shared" si="9"/>
        <v>4725765</v>
      </c>
      <c r="Y81" s="150"/>
    </row>
    <row r="82" spans="11:25" x14ac:dyDescent="0.25">
      <c r="K82" s="150"/>
      <c r="M82" s="226">
        <v>2016</v>
      </c>
      <c r="N82" s="120">
        <f t="shared" si="7"/>
        <v>112208600</v>
      </c>
      <c r="O82" s="120">
        <f t="shared" si="7"/>
        <v>115325510</v>
      </c>
      <c r="P82" s="120">
        <f t="shared" si="7"/>
        <v>84156249</v>
      </c>
      <c r="Q82" s="120">
        <f t="shared" si="7"/>
        <v>90923301</v>
      </c>
      <c r="R82" s="120">
        <f t="shared" si="7"/>
        <v>61101185</v>
      </c>
      <c r="S82" s="120">
        <f t="shared" si="7"/>
        <v>79301443</v>
      </c>
      <c r="T82" s="229">
        <f t="shared" ref="T82:T85" si="10">N82-Q82</f>
        <v>21285299</v>
      </c>
      <c r="U82" s="229">
        <f t="shared" si="9"/>
        <v>54224325</v>
      </c>
      <c r="V82" s="229">
        <f t="shared" si="9"/>
        <v>4854806</v>
      </c>
      <c r="Y82" s="150"/>
    </row>
    <row r="83" spans="11:25" x14ac:dyDescent="0.25">
      <c r="K83" s="150"/>
      <c r="M83" s="226">
        <v>2017</v>
      </c>
      <c r="N83" s="120">
        <f t="shared" si="7"/>
        <v>113310719</v>
      </c>
      <c r="O83" s="120">
        <f t="shared" si="7"/>
        <v>126260553</v>
      </c>
      <c r="P83" s="120">
        <f t="shared" si="7"/>
        <v>84173756</v>
      </c>
      <c r="Q83" s="120">
        <f t="shared" si="7"/>
        <v>93212117</v>
      </c>
      <c r="R83" s="120">
        <f t="shared" si="7"/>
        <v>68847354</v>
      </c>
      <c r="S83" s="120">
        <f t="shared" si="7"/>
        <v>80648307</v>
      </c>
      <c r="T83" s="229">
        <f t="shared" si="10"/>
        <v>20098602</v>
      </c>
      <c r="U83" s="229">
        <f t="shared" si="9"/>
        <v>57413199</v>
      </c>
      <c r="V83" s="229">
        <f t="shared" si="9"/>
        <v>3525449</v>
      </c>
      <c r="Y83" s="150"/>
    </row>
    <row r="84" spans="11:25" x14ac:dyDescent="0.25">
      <c r="K84" s="150"/>
      <c r="M84" s="226">
        <v>2018</v>
      </c>
      <c r="N84" s="120">
        <f t="shared" si="7"/>
        <v>125725719</v>
      </c>
      <c r="O84" s="120">
        <f t="shared" si="7"/>
        <v>132342845</v>
      </c>
      <c r="P84" s="120">
        <f t="shared" si="7"/>
        <v>72788548</v>
      </c>
      <c r="Q84" s="120">
        <f t="shared" si="7"/>
        <v>103286192</v>
      </c>
      <c r="R84" s="120">
        <f t="shared" si="7"/>
        <v>68402855</v>
      </c>
      <c r="S84" s="120">
        <f t="shared" si="7"/>
        <v>69245784</v>
      </c>
      <c r="T84" s="229">
        <f t="shared" si="10"/>
        <v>22439527</v>
      </c>
      <c r="U84" s="229">
        <f t="shared" si="9"/>
        <v>63939990</v>
      </c>
      <c r="V84" s="229">
        <f t="shared" si="9"/>
        <v>3542764</v>
      </c>
      <c r="Y84" s="150"/>
    </row>
    <row r="85" spans="11:25" ht="16.5" thickBot="1" x14ac:dyDescent="0.3">
      <c r="K85" s="150"/>
      <c r="M85" s="226">
        <v>2019</v>
      </c>
      <c r="N85" s="121">
        <f t="shared" si="7"/>
        <v>130744845</v>
      </c>
      <c r="O85" s="121">
        <f t="shared" si="7"/>
        <v>141066750</v>
      </c>
      <c r="P85" s="121">
        <f t="shared" si="7"/>
        <v>72253830</v>
      </c>
      <c r="Q85" s="121">
        <f t="shared" si="7"/>
        <v>108875939</v>
      </c>
      <c r="R85" s="121">
        <f t="shared" si="7"/>
        <v>74429639</v>
      </c>
      <c r="S85" s="121">
        <f t="shared" si="7"/>
        <v>68961151</v>
      </c>
      <c r="T85" s="230">
        <f t="shared" si="10"/>
        <v>21868906</v>
      </c>
      <c r="U85" s="230">
        <f t="shared" si="9"/>
        <v>66637111</v>
      </c>
      <c r="V85" s="230">
        <f t="shared" si="9"/>
        <v>3292679</v>
      </c>
      <c r="Y85" s="150"/>
    </row>
    <row r="86" spans="11:25" ht="16.5" thickBot="1" x14ac:dyDescent="0.3">
      <c r="K86" s="150"/>
      <c r="M86" s="231" t="s">
        <v>30</v>
      </c>
      <c r="N86" s="232">
        <f t="shared" ref="N86:V86" si="11">SUM(N81:N85)</f>
        <v>581869988</v>
      </c>
      <c r="O86" s="232">
        <f t="shared" si="11"/>
        <v>623688722</v>
      </c>
      <c r="P86" s="232">
        <f t="shared" si="11"/>
        <v>398564274</v>
      </c>
      <c r="Q86" s="232">
        <f t="shared" si="11"/>
        <v>479206825</v>
      </c>
      <c r="R86" s="232">
        <f t="shared" si="11"/>
        <v>330236839</v>
      </c>
      <c r="S86" s="232">
        <f t="shared" si="11"/>
        <v>378622811</v>
      </c>
      <c r="T86" s="233">
        <f t="shared" si="11"/>
        <v>102663163</v>
      </c>
      <c r="U86" s="233">
        <f t="shared" si="11"/>
        <v>293451883</v>
      </c>
      <c r="V86" s="233">
        <f t="shared" si="11"/>
        <v>19941463</v>
      </c>
      <c r="Y86" s="150"/>
    </row>
    <row r="87" spans="11:25" x14ac:dyDescent="0.25">
      <c r="K87" s="150"/>
      <c r="Y87" s="150"/>
    </row>
    <row r="88" spans="11:25" x14ac:dyDescent="0.25">
      <c r="K88" s="150"/>
      <c r="Y88" s="150"/>
    </row>
    <row r="89" spans="11:25" x14ac:dyDescent="0.25">
      <c r="K89" s="150"/>
      <c r="Y89" s="150"/>
    </row>
    <row r="90" spans="11:25" x14ac:dyDescent="0.25">
      <c r="K90" s="150"/>
      <c r="Y90" s="150"/>
    </row>
    <row r="91" spans="11:25" x14ac:dyDescent="0.25">
      <c r="K91" s="150"/>
      <c r="Y91" s="150"/>
    </row>
    <row r="92" spans="11:25" x14ac:dyDescent="0.25">
      <c r="K92" s="150"/>
      <c r="Y92" s="150"/>
    </row>
    <row r="93" spans="11:25" x14ac:dyDescent="0.25">
      <c r="K93" s="150"/>
      <c r="Y93" s="150"/>
    </row>
    <row r="94" spans="11:25" x14ac:dyDescent="0.25">
      <c r="K94" s="150"/>
      <c r="Y94" s="150"/>
    </row>
    <row r="95" spans="11:25" x14ac:dyDescent="0.25">
      <c r="K95" s="150"/>
      <c r="Y95" s="150"/>
    </row>
    <row r="96" spans="11:25" x14ac:dyDescent="0.25">
      <c r="K96" s="150"/>
      <c r="Y96" s="150"/>
    </row>
    <row r="97" spans="1:25" x14ac:dyDescent="0.25">
      <c r="A97" s="4" t="s">
        <v>65</v>
      </c>
      <c r="B97" s="1"/>
      <c r="C97" s="1"/>
      <c r="D97" s="1"/>
      <c r="E97" s="1"/>
      <c r="F97" s="1"/>
      <c r="G97" s="1"/>
      <c r="H97" s="1"/>
      <c r="I97" s="1"/>
      <c r="J97" s="1"/>
      <c r="K97" s="150"/>
      <c r="Y97" s="150"/>
    </row>
    <row r="98" spans="1:25" x14ac:dyDescent="0.25">
      <c r="K98" s="150"/>
      <c r="Y98" s="150"/>
    </row>
    <row r="99" spans="1:25" x14ac:dyDescent="0.25">
      <c r="A99" s="3" t="s">
        <v>2</v>
      </c>
      <c r="B99" s="3"/>
      <c r="C99" s="3"/>
      <c r="D99" s="3"/>
      <c r="E99" s="3"/>
      <c r="F99" s="3"/>
      <c r="G99" s="3"/>
      <c r="H99" s="3"/>
      <c r="I99" s="3"/>
      <c r="J99" s="3"/>
      <c r="K99" s="3"/>
      <c r="L99" s="3"/>
      <c r="M99" s="3"/>
      <c r="N99" s="3"/>
      <c r="O99" s="3"/>
      <c r="P99" s="3"/>
      <c r="Q99" s="3"/>
      <c r="R99" s="3"/>
      <c r="S99" s="3"/>
      <c r="T99" s="3"/>
      <c r="U99" s="3"/>
      <c r="V99" s="3"/>
      <c r="W99" s="3"/>
      <c r="X99" s="3"/>
      <c r="Y99" s="3"/>
    </row>
  </sheetData>
  <mergeCells count="10">
    <mergeCell ref="T67:V67"/>
    <mergeCell ref="N79:P79"/>
    <mergeCell ref="Q79:S79"/>
    <mergeCell ref="T79:V79"/>
    <mergeCell ref="C9:E9"/>
    <mergeCell ref="F9:H9"/>
    <mergeCell ref="C17:E17"/>
    <mergeCell ref="F17:H17"/>
    <mergeCell ref="N67:P67"/>
    <mergeCell ref="Q67:S6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Notes</vt:lpstr>
      <vt:lpstr>Q01</vt:lpstr>
      <vt:lpstr>Q02</vt:lpstr>
      <vt:lpstr>Q03</vt:lpstr>
      <vt:lpstr>Q04</vt:lpstr>
      <vt:lpstr>Q05</vt:lpstr>
      <vt:lpstr>Q06</vt:lpstr>
      <vt:lpstr>Q07</vt:lpstr>
      <vt:lpstr>Q08</vt:lpstr>
      <vt:lpstr>Q09</vt:lpstr>
      <vt:lpstr>Q10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Dulceak</dc:creator>
  <cp:lastModifiedBy>Aleshia Zionce</cp:lastModifiedBy>
  <dcterms:created xsi:type="dcterms:W3CDTF">2021-01-24T18:45:40Z</dcterms:created>
  <dcterms:modified xsi:type="dcterms:W3CDTF">2025-01-14T18:00:09Z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837230a-460a-4aec-98a3-ac101fb30b10_Enabled">
    <vt:lpwstr>true</vt:lpwstr>
  </property>
  <property fmtid="{D5CDD505-2E9C-101B-9397-08002B2CF9AE}" pid="3" name="MSIP_Label_7837230a-460a-4aec-98a3-ac101fb30b10_SetDate">
    <vt:lpwstr>2022-01-22T18:32:37Z</vt:lpwstr>
  </property>
  <property fmtid="{D5CDD505-2E9C-101B-9397-08002B2CF9AE}" pid="4" name="MSIP_Label_7837230a-460a-4aec-98a3-ac101fb30b10_Method">
    <vt:lpwstr>Privileged</vt:lpwstr>
  </property>
  <property fmtid="{D5CDD505-2E9C-101B-9397-08002B2CF9AE}" pid="5" name="MSIP_Label_7837230a-460a-4aec-98a3-ac101fb30b10_Name">
    <vt:lpwstr>7837230a-460a-4aec-98a3-ac101fb30b10</vt:lpwstr>
  </property>
  <property fmtid="{D5CDD505-2E9C-101B-9397-08002B2CF9AE}" pid="6" name="MSIP_Label_7837230a-460a-4aec-98a3-ac101fb30b10_SiteId">
    <vt:lpwstr>fabb61b8-3afe-4e75-b934-a47f782b8cd7</vt:lpwstr>
  </property>
  <property fmtid="{D5CDD505-2E9C-101B-9397-08002B2CF9AE}" pid="7" name="MSIP_Label_7837230a-460a-4aec-98a3-ac101fb30b10_ActionId">
    <vt:lpwstr/>
  </property>
  <property fmtid="{D5CDD505-2E9C-101B-9397-08002B2CF9AE}" pid="8" name="MSIP_Label_7837230a-460a-4aec-98a3-ac101fb30b10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