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73C24764-9CB1-42B1-803A-23820A8BAC7B}" xr6:coauthVersionLast="47" xr6:coauthVersionMax="47" xr10:uidLastSave="{00000000-0000-0000-0000-000000000000}"/>
  <bookViews>
    <workbookView xWindow="6195" yWindow="3480" windowWidth="14400" windowHeight="7545" xr2:uid="{00000000-000D-0000-FFFF-FFFF00000000}"/>
  </bookViews>
  <sheets>
    <sheet name="Question 3" sheetId="1" r:id="rId1"/>
  </sheets>
  <externalReferences>
    <externalReference r:id="rId2"/>
  </externalReferences>
  <definedNames>
    <definedName name="_Hlk6488088" localSheetId="0">'Question 3'!$C$80</definedName>
    <definedName name="age">[1]Funding!$B$47</definedName>
    <definedName name="freq_s">[1]Parameters!$C$119</definedName>
    <definedName name="index_s">[1]Parameters!$C$115</definedName>
    <definedName name="mortbasis_s">[1]Parameters!$C$117:$G$117</definedName>
    <definedName name="nb_temp_s">[1]Parameters!$C$123</definedName>
    <definedName name="percjs_m_s">[1]Parameters!$C$125</definedName>
    <definedName name="ret_age">[1]Funding!$B$48</definedName>
    <definedName name="sex">[1]Input!$B$9</definedName>
    <definedName name="val_date">[1]Input!$B$3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9" i="1" l="1"/>
  <c r="O217" i="1"/>
  <c r="O215" i="1"/>
  <c r="S199" i="1"/>
  <c r="S200" i="1"/>
  <c r="S201" i="1"/>
  <c r="S202" i="1"/>
  <c r="S203" i="1"/>
  <c r="S204" i="1"/>
  <c r="S205" i="1"/>
  <c r="S206" i="1"/>
  <c r="S207" i="1"/>
  <c r="S208" i="1"/>
  <c r="S198" i="1"/>
  <c r="R194" i="1"/>
  <c r="R192" i="1"/>
  <c r="R193" i="1" s="1"/>
  <c r="R195" i="1" s="1"/>
  <c r="R191" i="1"/>
  <c r="Q199" i="1"/>
  <c r="Q200" i="1" s="1"/>
  <c r="Q201" i="1" s="1"/>
  <c r="Q202" i="1" s="1"/>
  <c r="Q203" i="1" s="1"/>
  <c r="Q204" i="1" s="1"/>
  <c r="Q205" i="1" s="1"/>
  <c r="Q206" i="1" s="1"/>
  <c r="Q207" i="1" s="1"/>
  <c r="Q208" i="1" s="1"/>
  <c r="M194" i="1"/>
  <c r="M191" i="1"/>
  <c r="N199" i="1"/>
  <c r="N200" i="1"/>
  <c r="N201" i="1"/>
  <c r="N202" i="1"/>
  <c r="N203" i="1"/>
  <c r="N204" i="1"/>
  <c r="N205" i="1"/>
  <c r="N206" i="1"/>
  <c r="N207" i="1"/>
  <c r="N208" i="1"/>
  <c r="N198" i="1"/>
  <c r="M192" i="1"/>
  <c r="O218" i="1"/>
  <c r="R165" i="1"/>
  <c r="R164" i="1"/>
  <c r="R163" i="1"/>
  <c r="R161" i="1"/>
  <c r="P165" i="1"/>
  <c r="N219" i="1" s="1"/>
  <c r="P219" i="1" s="1"/>
  <c r="P163" i="1"/>
  <c r="N217" i="1" s="1"/>
  <c r="P217" i="1" s="1"/>
  <c r="O161" i="1"/>
  <c r="M161" i="1"/>
  <c r="M215" i="1" s="1"/>
  <c r="X158" i="1"/>
  <c r="T156" i="1"/>
  <c r="X151" i="1"/>
  <c r="X149" i="1"/>
  <c r="X156" i="1" s="1"/>
  <c r="X157" i="1" s="1"/>
  <c r="R151" i="1"/>
  <c r="R150" i="1"/>
  <c r="R157" i="1" s="1"/>
  <c r="S149" i="1"/>
  <c r="R149" i="1"/>
  <c r="R156" i="1" s="1"/>
  <c r="S157" i="1" s="1"/>
  <c r="O150" i="1"/>
  <c r="N151" i="1"/>
  <c r="N158" i="1" s="1"/>
  <c r="O151" i="1"/>
  <c r="O149" i="1"/>
  <c r="R158" i="1"/>
  <c r="P143" i="1"/>
  <c r="S143" i="1" s="1"/>
  <c r="P145" i="1"/>
  <c r="P141" i="1"/>
  <c r="P161" i="1" s="1"/>
  <c r="N215" i="1" s="1"/>
  <c r="P215" i="1" s="1"/>
  <c r="R145" i="1"/>
  <c r="R144" i="1"/>
  <c r="R141" i="1"/>
  <c r="O145" i="1"/>
  <c r="Q145" i="1" s="1"/>
  <c r="O143" i="1"/>
  <c r="Q143" i="1" s="1"/>
  <c r="R143" i="1"/>
  <c r="M141" i="1"/>
  <c r="M144" i="1"/>
  <c r="M164" i="1" s="1"/>
  <c r="M218" i="1" s="1"/>
  <c r="M145" i="1"/>
  <c r="M165" i="1" s="1"/>
  <c r="M219" i="1" s="1"/>
  <c r="M143" i="1"/>
  <c r="M163" i="1" s="1"/>
  <c r="M217" i="1" s="1"/>
  <c r="N141" i="1"/>
  <c r="N161" i="1" s="1"/>
  <c r="Q161" i="1" s="1"/>
  <c r="N144" i="1"/>
  <c r="N164" i="1" s="1"/>
  <c r="N145" i="1"/>
  <c r="N165" i="1" s="1"/>
  <c r="N143" i="1"/>
  <c r="N163" i="1" s="1"/>
  <c r="O141" i="1"/>
  <c r="Q141" i="1" s="1"/>
  <c r="S141" i="1" s="1"/>
  <c r="F135" i="1" s="1"/>
  <c r="T136" i="1"/>
  <c r="X136" i="1"/>
  <c r="X137" i="1"/>
  <c r="R138" i="1"/>
  <c r="R136" i="1"/>
  <c r="S137" i="1" s="1"/>
  <c r="N138" i="1"/>
  <c r="O138" i="1" s="1"/>
  <c r="M136" i="1"/>
  <c r="M156" i="1" s="1"/>
  <c r="M157" i="1" s="1"/>
  <c r="M158" i="1" s="1"/>
  <c r="L136" i="1"/>
  <c r="L156" i="1" s="1"/>
  <c r="X138" i="1"/>
  <c r="M137" i="1"/>
  <c r="M138" i="1" s="1"/>
  <c r="M129" i="1"/>
  <c r="M149" i="1" s="1"/>
  <c r="X129" i="1"/>
  <c r="S130" i="1"/>
  <c r="S150" i="1" s="1"/>
  <c r="R130" i="1"/>
  <c r="R137" i="1" s="1"/>
  <c r="R129" i="1"/>
  <c r="O131" i="1"/>
  <c r="N130" i="1"/>
  <c r="N150" i="1" s="1"/>
  <c r="N157" i="1" s="1"/>
  <c r="N129" i="1"/>
  <c r="N149" i="1" s="1"/>
  <c r="N156" i="1" s="1"/>
  <c r="Q156" i="1" l="1"/>
  <c r="L157" i="1"/>
  <c r="Q157" i="1" s="1"/>
  <c r="T211" i="1"/>
  <c r="R202" i="1"/>
  <c r="R203" i="1"/>
  <c r="R204" i="1"/>
  <c r="R205" i="1"/>
  <c r="R206" i="1"/>
  <c r="T206" i="1" s="1"/>
  <c r="R199" i="1"/>
  <c r="R207" i="1"/>
  <c r="R200" i="1"/>
  <c r="T200" i="1" s="1"/>
  <c r="R208" i="1"/>
  <c r="R201" i="1"/>
  <c r="R198" i="1"/>
  <c r="T205" i="1"/>
  <c r="O163" i="1"/>
  <c r="Q163" i="1" s="1"/>
  <c r="S163" i="1" s="1"/>
  <c r="N171" i="1" s="1"/>
  <c r="O165" i="1"/>
  <c r="Q165" i="1" s="1"/>
  <c r="T204" i="1"/>
  <c r="T203" i="1"/>
  <c r="S145" i="1"/>
  <c r="T202" i="1"/>
  <c r="O144" i="1"/>
  <c r="S131" i="1"/>
  <c r="S151" i="1" s="1"/>
  <c r="Q136" i="1"/>
  <c r="T198" i="1"/>
  <c r="T201" i="1"/>
  <c r="T208" i="1"/>
  <c r="T207" i="1"/>
  <c r="T199" i="1"/>
  <c r="M130" i="1"/>
  <c r="N136" i="1"/>
  <c r="P136" i="1" s="1"/>
  <c r="U136" i="1" s="1"/>
  <c r="U156" i="1" s="1"/>
  <c r="N137" i="1"/>
  <c r="P137" i="1" s="1"/>
  <c r="X150" i="1"/>
  <c r="F179" i="1"/>
  <c r="S161" i="1"/>
  <c r="N172" i="1" s="1"/>
  <c r="L158" i="1"/>
  <c r="Q158" i="1" s="1"/>
  <c r="S158" i="1"/>
  <c r="S165" i="1"/>
  <c r="N174" i="1" s="1"/>
  <c r="O158" i="1"/>
  <c r="P157" i="1"/>
  <c r="P156" i="1"/>
  <c r="V156" i="1" s="1"/>
  <c r="S138" i="1"/>
  <c r="L137" i="1"/>
  <c r="Q137" i="1" s="1"/>
  <c r="V137" i="1" l="1"/>
  <c r="T210" i="1"/>
  <c r="T212" i="1" s="1"/>
  <c r="M131" i="1"/>
  <c r="M150" i="1"/>
  <c r="V136" i="1"/>
  <c r="W136" i="1" s="1"/>
  <c r="Y136" i="1" s="1"/>
  <c r="T137" i="1"/>
  <c r="T157" i="1" s="1"/>
  <c r="Q144" i="1"/>
  <c r="O164" i="1"/>
  <c r="Q164" i="1" s="1"/>
  <c r="P144" i="1"/>
  <c r="P158" i="1"/>
  <c r="V158" i="1" s="1"/>
  <c r="V157" i="1"/>
  <c r="W156" i="1"/>
  <c r="Y156" i="1" s="1"/>
  <c r="L138" i="1"/>
  <c r="Q138" i="1" l="1"/>
  <c r="P138" i="1"/>
  <c r="T138" i="1"/>
  <c r="T158" i="1" s="1"/>
  <c r="P164" i="1"/>
  <c r="N218" i="1" s="1"/>
  <c r="P218" i="1" s="1"/>
  <c r="P220" i="1" s="1"/>
  <c r="F180" i="1" s="1"/>
  <c r="S144" i="1"/>
  <c r="S146" i="1" s="1"/>
  <c r="F136" i="1" s="1"/>
  <c r="M151" i="1"/>
  <c r="U137" i="1"/>
  <c r="U157" i="1" s="1"/>
  <c r="W157" i="1" s="1"/>
  <c r="Y157" i="1" s="1"/>
  <c r="Z156" i="1"/>
  <c r="Z136" i="1"/>
  <c r="Z157" i="1" l="1"/>
  <c r="W137" i="1"/>
  <c r="Y137" i="1" s="1"/>
  <c r="U138" i="1"/>
  <c r="U158" i="1" s="1"/>
  <c r="W158" i="1" s="1"/>
  <c r="Y158" i="1" s="1"/>
  <c r="Z158" i="1" s="1"/>
  <c r="V138" i="1"/>
  <c r="W138" i="1" s="1"/>
  <c r="Y138" i="1" s="1"/>
  <c r="Z138" i="1" s="1"/>
  <c r="S164" i="1"/>
  <c r="Z159" i="1"/>
  <c r="N173" i="1" l="1"/>
  <c r="S166" i="1"/>
  <c r="Y159" i="1"/>
  <c r="N170" i="1" s="1"/>
  <c r="Z137" i="1"/>
  <c r="Z139" i="1" s="1"/>
  <c r="Y139" i="1"/>
  <c r="L129" i="1"/>
  <c r="X131" i="1"/>
  <c r="X130" i="1"/>
  <c r="Q129" i="1" l="1"/>
  <c r="L149" i="1"/>
  <c r="Q149" i="1" s="1"/>
  <c r="P129" i="1"/>
  <c r="T129" i="1"/>
  <c r="L130" i="1"/>
  <c r="L131" i="1"/>
  <c r="Q131" i="1" l="1"/>
  <c r="T131" i="1"/>
  <c r="L151" i="1"/>
  <c r="Q151" i="1" s="1"/>
  <c r="P131" i="1"/>
  <c r="U129" i="1"/>
  <c r="U149" i="1" s="1"/>
  <c r="T149" i="1"/>
  <c r="Q130" i="1"/>
  <c r="L150" i="1"/>
  <c r="Q150" i="1" s="1"/>
  <c r="T130" i="1"/>
  <c r="P130" i="1"/>
  <c r="P149" i="1"/>
  <c r="V149" i="1" s="1"/>
  <c r="W149" i="1" s="1"/>
  <c r="Y149" i="1" s="1"/>
  <c r="V129" i="1"/>
  <c r="W129" i="1" l="1"/>
  <c r="Y129" i="1" s="1"/>
  <c r="Z129" i="1" s="1"/>
  <c r="P151" i="1"/>
  <c r="V151" i="1" s="1"/>
  <c r="V131" i="1"/>
  <c r="Z149" i="1"/>
  <c r="T151" i="1"/>
  <c r="U131" i="1"/>
  <c r="U151" i="1" s="1"/>
  <c r="P150" i="1"/>
  <c r="V150" i="1" s="1"/>
  <c r="W150" i="1" s="1"/>
  <c r="Y150" i="1" s="1"/>
  <c r="Z150" i="1" s="1"/>
  <c r="V130" i="1"/>
  <c r="U130" i="1"/>
  <c r="U150" i="1" s="1"/>
  <c r="T150" i="1"/>
  <c r="W131" i="1" l="1"/>
  <c r="Y131" i="1" s="1"/>
  <c r="Z131" i="1" s="1"/>
  <c r="W151" i="1"/>
  <c r="Y151" i="1" s="1"/>
  <c r="Z151" i="1" s="1"/>
  <c r="Z152" i="1"/>
  <c r="Y152" i="1"/>
  <c r="N169" i="1" s="1"/>
  <c r="W130" i="1"/>
  <c r="Y130" i="1" s="1"/>
  <c r="H150" i="1"/>
  <c r="M123" i="1"/>
  <c r="Z130" i="1" l="1"/>
  <c r="Y132" i="1"/>
  <c r="F134" i="1" s="1"/>
  <c r="Z132" i="1"/>
  <c r="F143" i="1" s="1"/>
  <c r="N224" i="1"/>
  <c r="N225" i="1" s="1"/>
  <c r="M222" i="1"/>
  <c r="M193" i="1"/>
  <c r="M195" i="1" s="1"/>
  <c r="M226" i="1"/>
  <c r="L199" i="1"/>
  <c r="N188" i="1"/>
  <c r="M174" i="1"/>
  <c r="M180" i="1"/>
  <c r="M173" i="1"/>
  <c r="M172" i="1"/>
  <c r="M171" i="1"/>
  <c r="M170" i="1"/>
  <c r="M169" i="1"/>
  <c r="M179" i="1"/>
  <c r="N178" i="1"/>
  <c r="M178" i="1"/>
  <c r="M181" i="1" s="1"/>
  <c r="N180" i="1"/>
  <c r="O180" i="1" s="1"/>
  <c r="O178" i="1"/>
  <c r="M198" i="1" l="1"/>
  <c r="O198" i="1" s="1"/>
  <c r="L200" i="1"/>
  <c r="M200" i="1" s="1"/>
  <c r="O200" i="1" s="1"/>
  <c r="M199" i="1"/>
  <c r="O199" i="1" s="1"/>
  <c r="N181" i="1"/>
  <c r="O181" i="1" s="1"/>
  <c r="H153" i="1" s="1"/>
  <c r="L201" i="1"/>
  <c r="M201" i="1" s="1"/>
  <c r="O201" i="1" s="1"/>
  <c r="M175" i="1"/>
  <c r="O173" i="1"/>
  <c r="O174" i="1"/>
  <c r="L202" i="1" l="1"/>
  <c r="M183" i="1"/>
  <c r="O171" i="1"/>
  <c r="O172" i="1"/>
  <c r="M202" i="1" l="1"/>
  <c r="O202" i="1" s="1"/>
  <c r="M184" i="1"/>
  <c r="O184" i="1" s="1"/>
  <c r="H158" i="1" s="1"/>
  <c r="L203" i="1"/>
  <c r="M203" i="1" s="1"/>
  <c r="O203" i="1" s="1"/>
  <c r="O183" i="1"/>
  <c r="H159" i="1" s="1"/>
  <c r="L204" i="1" l="1"/>
  <c r="M204" i="1" s="1"/>
  <c r="O204" i="1" s="1"/>
  <c r="L205" i="1" l="1"/>
  <c r="M205" i="1" s="1"/>
  <c r="O205" i="1" s="1"/>
  <c r="L206" i="1" l="1"/>
  <c r="M206" i="1" s="1"/>
  <c r="O206" i="1" s="1"/>
  <c r="L207" i="1" l="1"/>
  <c r="M207" i="1" s="1"/>
  <c r="O207" i="1" s="1"/>
  <c r="L208" i="1" l="1"/>
  <c r="M208" i="1" s="1"/>
  <c r="O208" i="1" s="1"/>
  <c r="O211" i="1" l="1"/>
  <c r="O210" i="1"/>
  <c r="O212" i="1" l="1"/>
  <c r="F178" i="1" s="1"/>
  <c r="G120" i="1"/>
  <c r="N179" i="1" s="1"/>
  <c r="M124" i="1"/>
  <c r="G121" i="1" s="1"/>
  <c r="O179" i="1" l="1"/>
  <c r="H154" i="1" s="1"/>
  <c r="N186" i="1"/>
  <c r="O186" i="1" s="1"/>
  <c r="H156" i="1" s="1"/>
  <c r="P118" i="1"/>
  <c r="P117" i="1"/>
  <c r="M118" i="1"/>
  <c r="M119" i="1" s="1"/>
  <c r="M121" i="1" s="1"/>
  <c r="F181" i="1"/>
  <c r="P231" i="1" s="1"/>
  <c r="F175" i="1"/>
  <c r="F130" i="1"/>
  <c r="M117" i="1"/>
  <c r="M116" i="1"/>
  <c r="P116" i="1" s="1"/>
  <c r="P120" i="1" s="1"/>
  <c r="K2" i="1"/>
  <c r="K1" i="1"/>
  <c r="O170" i="1" l="1"/>
  <c r="F183" i="1"/>
  <c r="P230" i="1" s="1"/>
  <c r="M224" i="1"/>
  <c r="M225" i="1" s="1"/>
  <c r="P119" i="1"/>
  <c r="M120" i="1"/>
  <c r="M227" i="1" l="1"/>
  <c r="H194" i="1" s="1"/>
  <c r="O169" i="1"/>
  <c r="N175" i="1"/>
  <c r="M182" i="1" l="1"/>
  <c r="O182" i="1" s="1"/>
  <c r="H157" i="1" s="1"/>
  <c r="O175" i="1"/>
  <c r="G143" i="1" l="1"/>
  <c r="M234" i="1" s="1"/>
  <c r="M237" i="1" s="1"/>
  <c r="F137" i="1"/>
  <c r="M185" i="1" s="1"/>
  <c r="O185" i="1" l="1"/>
  <c r="H162" i="1" s="1"/>
  <c r="M188" i="1"/>
  <c r="F138" i="1"/>
  <c r="F139" i="1" s="1"/>
  <c r="F142" i="1"/>
  <c r="H201" i="1"/>
  <c r="G142" i="1" l="1"/>
  <c r="M231" i="1"/>
  <c r="O188" i="1"/>
  <c r="M187" i="1"/>
  <c r="O187" i="1" s="1"/>
  <c r="H160" i="1" s="1"/>
  <c r="H168" i="1" s="1"/>
  <c r="M238" i="1" l="1"/>
  <c r="H202" i="1" s="1"/>
  <c r="M230" i="1"/>
</calcChain>
</file>

<file path=xl/sharedStrings.xml><?xml version="1.0" encoding="utf-8"?>
<sst xmlns="http://schemas.openxmlformats.org/spreadsheetml/2006/main" count="374" uniqueCount="200">
  <si>
    <t>RETFRC Spring 2023</t>
  </si>
  <si>
    <t>Question 3</t>
  </si>
  <si>
    <t>Answer question here:</t>
  </si>
  <si>
    <t>(32 points)</t>
  </si>
  <si>
    <t>MNO Limited sponsors a non-contributory defined benefit pension plan registered in Ontario.</t>
  </si>
  <si>
    <t>Plan Provisions:</t>
  </si>
  <si>
    <t>Normal retirement age (NRA)</t>
  </si>
  <si>
    <t>Normal retirement benefit</t>
  </si>
  <si>
    <t>1.8% of final 3-year average earnings (FAE3)</t>
  </si>
  <si>
    <t>Early retirement reduction</t>
  </si>
  <si>
    <t xml:space="preserve">With 10+ years of service, benefit is reduced </t>
  </si>
  <si>
    <t>3% per year from age 60. Otherwise, benefit</t>
  </si>
  <si>
    <t>is reduced 6% per year from NRA</t>
  </si>
  <si>
    <t>Termination benefit</t>
  </si>
  <si>
    <t xml:space="preserve">Monthly pension deferred to NRA. Deferred </t>
  </si>
  <si>
    <t>members can start their pensions as early</t>
  </si>
  <si>
    <t>as age 55, but on an actuarially equivalent basis</t>
  </si>
  <si>
    <t>For an actuarial valuation for funding purposes as at January 1, 2022, you are given:</t>
  </si>
  <si>
    <t>Actuarial Assumptions and Method</t>
  </si>
  <si>
    <t>Going Concern Assumptions</t>
  </si>
  <si>
    <t>Discount rate</t>
  </si>
  <si>
    <t>(per year)</t>
  </si>
  <si>
    <t>Provision for adverse deviation (PfAD)</t>
  </si>
  <si>
    <t>Salary increase rate</t>
  </si>
  <si>
    <t>Pre-retirement mortality</t>
  </si>
  <si>
    <t>None</t>
  </si>
  <si>
    <t>Actuarial cost method</t>
  </si>
  <si>
    <t>Projected Unit Credit, service prorate</t>
  </si>
  <si>
    <t>Retirement age</t>
  </si>
  <si>
    <t>100% at age 60</t>
  </si>
  <si>
    <t>Termination rates</t>
  </si>
  <si>
    <t>Age</t>
  </si>
  <si>
    <t>Rate</t>
  </si>
  <si>
    <t>Solvency Assumptions</t>
  </si>
  <si>
    <t>Windup expense assumption</t>
  </si>
  <si>
    <t>As per Standards of Practice</t>
  </si>
  <si>
    <t>Liability Information</t>
  </si>
  <si>
    <t>ID</t>
  </si>
  <si>
    <t>Status</t>
  </si>
  <si>
    <t>Going Concern Liability (S)</t>
  </si>
  <si>
    <t>Normal Cost (BOY) ($)</t>
  </si>
  <si>
    <t>Solvency Liability ($)</t>
  </si>
  <si>
    <t>Active</t>
  </si>
  <si>
    <t>Deferred</t>
  </si>
  <si>
    <t>Retired</t>
  </si>
  <si>
    <t>Asset Information</t>
  </si>
  <si>
    <t>Market value of assets</t>
  </si>
  <si>
    <t>Fixed income allocation</t>
  </si>
  <si>
    <r>
      <t xml:space="preserve">For an actuarial valuation for funding purposes as at </t>
    </r>
    <r>
      <rPr>
        <b/>
        <sz val="12"/>
        <color rgb="FF002060"/>
        <rFont val="Times New Roman"/>
        <family val="1"/>
      </rPr>
      <t xml:space="preserve">January 1, 2023, </t>
    </r>
    <r>
      <rPr>
        <sz val="12"/>
        <color rgb="FF002060"/>
        <rFont val="Times New Roman"/>
        <family val="1"/>
      </rPr>
      <t>you are given:</t>
    </r>
  </si>
  <si>
    <t>Participant data as at January 1, 2023</t>
  </si>
  <si>
    <t>Accrued Monthly Benefit</t>
  </si>
  <si>
    <t>Credited Service</t>
  </si>
  <si>
    <t>n/a</t>
  </si>
  <si>
    <t xml:space="preserve"> n/a </t>
  </si>
  <si>
    <t>Participant data as at January 1, 2023 (Continued)</t>
  </si>
  <si>
    <t>Salary Current Year (CY)</t>
  </si>
  <si>
    <t>Salary CY-1</t>
  </si>
  <si>
    <t>Salary CY-2</t>
  </si>
  <si>
    <t>Salary CY-3</t>
  </si>
  <si>
    <t>Salary CY-4</t>
  </si>
  <si>
    <t>Assume that all membership movements occurred on December 31,2022 and that the retired members elected a life only pension.</t>
  </si>
  <si>
    <t>Going-concern discount rate</t>
  </si>
  <si>
    <t>Solvency discount rate</t>
  </si>
  <si>
    <t>All others assumptions and method are unchanged from the prior valuation.</t>
  </si>
  <si>
    <t>The minimum required contributions were made to the plan in 2022.</t>
  </si>
  <si>
    <t>Going Concern Annuity Factors</t>
  </si>
  <si>
    <t>Solvency Annuity Factors at 2.3%:</t>
  </si>
  <si>
    <t xml:space="preserve">d = </t>
  </si>
  <si>
    <t>x = 40</t>
  </si>
  <si>
    <t>x = 43</t>
  </si>
  <si>
    <t>(a)</t>
  </si>
  <si>
    <t>(2 points)</t>
  </si>
  <si>
    <t>Calculate the minimum required and maximum permissible employer contributions for 2022.</t>
  </si>
  <si>
    <t>MVA</t>
  </si>
  <si>
    <t>Link final results below and show all work, including each step of the calculation separately, in the workspace provided to the right (in Excel).</t>
  </si>
  <si>
    <t>GC liability</t>
  </si>
  <si>
    <t>Term expense</t>
  </si>
  <si>
    <t>PfAD</t>
  </si>
  <si>
    <t xml:space="preserve">Solv liability </t>
  </si>
  <si>
    <t>GC funding target</t>
  </si>
  <si>
    <t>Solvency excess</t>
  </si>
  <si>
    <t>Minimum required contributions for 2022</t>
  </si>
  <si>
    <t>Funding excess</t>
  </si>
  <si>
    <t>Maximum permissible contributions for 2022</t>
  </si>
  <si>
    <t>Minimum annual contribution</t>
  </si>
  <si>
    <t>(b)</t>
  </si>
  <si>
    <t>(9 points)</t>
  </si>
  <si>
    <t xml:space="preserve">Calculate the total normal cost, going concern liability, and the unfunded actuarial liability </t>
  </si>
  <si>
    <t>Maximum annual contribution</t>
  </si>
  <si>
    <t>ITA permits contributions required by minimum funding legislation</t>
  </si>
  <si>
    <t>as at January 1, 2023.</t>
  </si>
  <si>
    <t>Going concern funding target</t>
  </si>
  <si>
    <t>Going concern liabilities:</t>
  </si>
  <si>
    <t>Active members</t>
  </si>
  <si>
    <t>Deferred pensioners</t>
  </si>
  <si>
    <t>Pensioners</t>
  </si>
  <si>
    <t>Subtotal</t>
  </si>
  <si>
    <t>Total</t>
  </si>
  <si>
    <t>Without PfAD</t>
  </si>
  <si>
    <t>With PfAD</t>
  </si>
  <si>
    <t>Funding excess (shortfall)</t>
  </si>
  <si>
    <t>Normal cost</t>
  </si>
  <si>
    <t>(c)</t>
  </si>
  <si>
    <t>(10 points)</t>
  </si>
  <si>
    <t>Calculate the gains and losses on a going concern basis by source for 2022, excluding PfAD.</t>
  </si>
  <si>
    <t>Funding excess (shortfall) at January 1, 2022, excluding PfAD</t>
  </si>
  <si>
    <t>Sources</t>
  </si>
  <si>
    <t>Funding excess (shortfall) at January 1, 2023, excluding PfAD</t>
  </si>
  <si>
    <t>(d)</t>
  </si>
  <si>
    <t>(6 points)</t>
  </si>
  <si>
    <t>Calculate the solvency funded position as at January 1, 2023.</t>
  </si>
  <si>
    <t>Net assets</t>
  </si>
  <si>
    <t>Present value of accrued benefits for:</t>
  </si>
  <si>
    <t>Total solvency liability</t>
  </si>
  <si>
    <t>Solvency excess (shortfall)</t>
  </si>
  <si>
    <t>You have determined the projected solvency liabilities as at January 1, 2024, to be:</t>
  </si>
  <si>
    <t>Projected Solvency Liabilities</t>
  </si>
  <si>
    <t>(e)</t>
  </si>
  <si>
    <t>Calculate the 1-year solvency incremental cost for 2023.</t>
  </si>
  <si>
    <t>Solvency incremental cost</t>
  </si>
  <si>
    <t>(f)</t>
  </si>
  <si>
    <t>(3 points)</t>
  </si>
  <si>
    <t>Calculate the minimum required and maximum permissible employer contributions for 2023.</t>
  </si>
  <si>
    <t>Minimum required contributions for 2023</t>
  </si>
  <si>
    <t>Maximum permissible contributions for 2023</t>
  </si>
  <si>
    <t>Transfer ratio</t>
  </si>
  <si>
    <t xml:space="preserve">No deficit funding required, since over 125% there is excess surplus </t>
  </si>
  <si>
    <t>No contribution holiday since transfer ratio under 105%</t>
  </si>
  <si>
    <t>Member 1</t>
  </si>
  <si>
    <t>Retirement</t>
  </si>
  <si>
    <t>Member 2</t>
  </si>
  <si>
    <t>Factor</t>
  </si>
  <si>
    <t>Salary</t>
  </si>
  <si>
    <t>Transfer ratio is over 85% so no special payments</t>
  </si>
  <si>
    <t>G/L by individual</t>
  </si>
  <si>
    <t>Expected</t>
  </si>
  <si>
    <t>Actual</t>
  </si>
  <si>
    <t>salary</t>
  </si>
  <si>
    <t>retirement</t>
  </si>
  <si>
    <t>mortality</t>
  </si>
  <si>
    <t>NC</t>
  </si>
  <si>
    <t>Liabilities</t>
  </si>
  <si>
    <t>Assets</t>
  </si>
  <si>
    <t>Gain / (Loss)</t>
  </si>
  <si>
    <t>BP</t>
  </si>
  <si>
    <t>Interest</t>
  </si>
  <si>
    <t>Mortality</t>
  </si>
  <si>
    <t>Assumption</t>
  </si>
  <si>
    <t>Return</t>
  </si>
  <si>
    <t>Misc</t>
  </si>
  <si>
    <t>miscellaneous</t>
  </si>
  <si>
    <t>Interest on funding excess (shortfall) before PfAD</t>
  </si>
  <si>
    <t>PfAD contributions with interest</t>
  </si>
  <si>
    <t>Investment return</t>
  </si>
  <si>
    <t xml:space="preserve">Mortality </t>
  </si>
  <si>
    <t>Miscellaneous</t>
  </si>
  <si>
    <t>Impact of changes in assumptions</t>
  </si>
  <si>
    <t>Grow in?</t>
  </si>
  <si>
    <t>SVC?</t>
  </si>
  <si>
    <t>EURD</t>
  </si>
  <si>
    <t>DR</t>
  </si>
  <si>
    <t>AL projected</t>
  </si>
  <si>
    <t>AL at val date</t>
  </si>
  <si>
    <t>Exp. Benefit</t>
  </si>
  <si>
    <t>SIC</t>
  </si>
  <si>
    <t>Normal cost with PfAD</t>
  </si>
  <si>
    <t>Special payments</t>
  </si>
  <si>
    <t>1 year deferral new GC SP</t>
  </si>
  <si>
    <t>GC ratio</t>
  </si>
  <si>
    <t>GC deficit</t>
  </si>
  <si>
    <t>Solvency deficit</t>
  </si>
  <si>
    <t>x</t>
  </si>
  <si>
    <t>y</t>
  </si>
  <si>
    <t>r</t>
  </si>
  <si>
    <t>v^(r-x)</t>
  </si>
  <si>
    <t>qy</t>
  </si>
  <si>
    <t>(y-x)px</t>
  </si>
  <si>
    <t>f(x)</t>
  </si>
  <si>
    <t>B(x)</t>
  </si>
  <si>
    <t>AL(x)</t>
  </si>
  <si>
    <t>NC(x)</t>
  </si>
  <si>
    <t>Svc(y)</t>
  </si>
  <si>
    <t>FAE(y)</t>
  </si>
  <si>
    <t>B(y)</t>
  </si>
  <si>
    <t xml:space="preserve">annuity(r) </t>
  </si>
  <si>
    <t>Svc(x)</t>
  </si>
  <si>
    <t>benefit</t>
  </si>
  <si>
    <t>annuity</t>
  </si>
  <si>
    <t>Member 3</t>
  </si>
  <si>
    <t>Member 4</t>
  </si>
  <si>
    <t>Member 5</t>
  </si>
  <si>
    <t>Member 6</t>
  </si>
  <si>
    <t>(G)/L</t>
  </si>
  <si>
    <t>Benefit</t>
  </si>
  <si>
    <t>Points</t>
  </si>
  <si>
    <t>ERF</t>
  </si>
  <si>
    <t>CV</t>
  </si>
  <si>
    <t>Max CV</t>
  </si>
  <si>
    <t>EURD CV</t>
  </si>
  <si>
    <t>Solv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</si>
</sst>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%"/>
    <numFmt numFmtId="165" formatCode="_ * #,##0.00_)\ &quot;$&quot;_ ;_ * \(#,##0.00\)\ &quot;$&quot;_ ;_ * &quot;-&quot;??_)\ &quot;$&quot;_ ;_ @_ "/>
    <numFmt numFmtId="166" formatCode="_ * #,##0_)\ &quot;$&quot;_ ;_ * \(#,##0\)\ &quot;$&quot;_ ;_ * &quot;-&quot;??_)\ &quot;$&quot;_ ;_ @_ "/>
    <numFmt numFmtId="167" formatCode="_ * #,##0.00_)_ ;_ * \(#,##0.00\)_ ;_ * &quot;-&quot;??_)_ ;_ @_ "/>
    <numFmt numFmtId="168" formatCode="_ * #,##0_)_ ;_ * \(#,##0\)_ ;_ * &quot;-&quot;??_)_ ;_ @_ "/>
    <numFmt numFmtId="169" formatCode="0.0"/>
    <numFmt numFmtId="170" formatCode="_(* #,##0_);_(* \(#,##0\);_(* &quot;-&quot;??_);_(@_)"/>
    <numFmt numFmtId="171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u/>
      <sz val="12"/>
      <color rgb="FF002060"/>
      <name val="Times New Roman"/>
      <family val="1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rgb="FF002060"/>
      <name val="Symbol"/>
      <family val="1"/>
      <charset val="2"/>
    </font>
    <font>
      <i/>
      <sz val="12"/>
      <color rgb="FF305496"/>
      <name val="Times New Roman"/>
      <family val="1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</cellStyleXfs>
  <cellXfs count="172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4" fillId="0" borderId="0" xfId="3" applyFont="1"/>
    <xf numFmtId="0" fontId="5" fillId="2" borderId="0" xfId="3" applyFont="1" applyFill="1"/>
    <xf numFmtId="0" fontId="6" fillId="2" borderId="0" xfId="3" applyFont="1" applyFill="1"/>
    <xf numFmtId="0" fontId="7" fillId="2" borderId="0" xfId="3" applyFont="1" applyFill="1"/>
    <xf numFmtId="0" fontId="3" fillId="2" borderId="1" xfId="3" applyFont="1" applyFill="1" applyBorder="1"/>
    <xf numFmtId="0" fontId="3" fillId="2" borderId="2" xfId="3" applyFont="1" applyFill="1" applyBorder="1"/>
    <xf numFmtId="0" fontId="3" fillId="2" borderId="1" xfId="3" applyFont="1" applyFill="1" applyBorder="1" applyAlignment="1">
      <alignment horizontal="left" wrapText="1"/>
    </xf>
    <xf numFmtId="0" fontId="3" fillId="2" borderId="3" xfId="3" applyFont="1" applyFill="1" applyBorder="1" applyAlignment="1">
      <alignment wrapText="1"/>
    </xf>
    <xf numFmtId="0" fontId="3" fillId="2" borderId="2" xfId="3" applyFont="1" applyFill="1" applyBorder="1" applyAlignment="1">
      <alignment wrapText="1"/>
    </xf>
    <xf numFmtId="0" fontId="3" fillId="2" borderId="4" xfId="3" applyFont="1" applyFill="1" applyBorder="1"/>
    <xf numFmtId="0" fontId="3" fillId="2" borderId="5" xfId="3" applyFont="1" applyFill="1" applyBorder="1"/>
    <xf numFmtId="0" fontId="3" fillId="2" borderId="0" xfId="3" applyFont="1" applyFill="1" applyAlignment="1">
      <alignment wrapText="1"/>
    </xf>
    <xf numFmtId="0" fontId="3" fillId="2" borderId="5" xfId="3" applyFont="1" applyFill="1" applyBorder="1" applyAlignment="1">
      <alignment wrapText="1"/>
    </xf>
    <xf numFmtId="0" fontId="3" fillId="2" borderId="6" xfId="3" applyFont="1" applyFill="1" applyBorder="1"/>
    <xf numFmtId="0" fontId="3" fillId="2" borderId="7" xfId="3" applyFont="1" applyFill="1" applyBorder="1"/>
    <xf numFmtId="0" fontId="3" fillId="2" borderId="8" xfId="3" applyFont="1" applyFill="1" applyBorder="1"/>
    <xf numFmtId="0" fontId="3" fillId="2" borderId="7" xfId="3" applyFont="1" applyFill="1" applyBorder="1" applyAlignment="1">
      <alignment wrapText="1"/>
    </xf>
    <xf numFmtId="0" fontId="3" fillId="2" borderId="8" xfId="3" applyFont="1" applyFill="1" applyBorder="1" applyAlignment="1">
      <alignment wrapText="1"/>
    </xf>
    <xf numFmtId="0" fontId="3" fillId="2" borderId="9" xfId="3" applyFont="1" applyFill="1" applyBorder="1"/>
    <xf numFmtId="0" fontId="3" fillId="2" borderId="10" xfId="3" applyFont="1" applyFill="1" applyBorder="1" applyAlignment="1">
      <alignment wrapText="1"/>
    </xf>
    <xf numFmtId="0" fontId="3" fillId="2" borderId="13" xfId="3" applyFont="1" applyFill="1" applyBorder="1" applyAlignment="1">
      <alignment wrapText="1"/>
    </xf>
    <xf numFmtId="0" fontId="3" fillId="2" borderId="0" xfId="3" applyFont="1" applyFill="1" applyAlignment="1">
      <alignment horizontal="left" vertical="top"/>
    </xf>
    <xf numFmtId="0" fontId="8" fillId="2" borderId="0" xfId="3" applyFont="1" applyFill="1"/>
    <xf numFmtId="164" fontId="3" fillId="2" borderId="1" xfId="3" applyNumberFormat="1" applyFont="1" applyFill="1" applyBorder="1" applyAlignment="1">
      <alignment horizontal="left"/>
    </xf>
    <xf numFmtId="0" fontId="3" fillId="2" borderId="3" xfId="3" applyFont="1" applyFill="1" applyBorder="1"/>
    <xf numFmtId="10" fontId="3" fillId="2" borderId="1" xfId="3" applyNumberFormat="1" applyFont="1" applyFill="1" applyBorder="1"/>
    <xf numFmtId="10" fontId="3" fillId="2" borderId="1" xfId="3" applyNumberFormat="1" applyFont="1" applyFill="1" applyBorder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0" fontId="3" fillId="2" borderId="0" xfId="3" applyNumberFormat="1" applyFont="1" applyFill="1"/>
    <xf numFmtId="0" fontId="2" fillId="2" borderId="1" xfId="3" applyFont="1" applyFill="1" applyBorder="1" applyAlignment="1">
      <alignment horizontal="center" wrapText="1"/>
    </xf>
    <xf numFmtId="0" fontId="2" fillId="2" borderId="1" xfId="3" applyFont="1" applyFill="1" applyBorder="1" applyAlignment="1">
      <alignment wrapText="1"/>
    </xf>
    <xf numFmtId="0" fontId="2" fillId="2" borderId="12" xfId="3" applyFont="1" applyFill="1" applyBorder="1" applyAlignment="1">
      <alignment wrapText="1"/>
    </xf>
    <xf numFmtId="0" fontId="3" fillId="2" borderId="1" xfId="3" applyFont="1" applyFill="1" applyBorder="1" applyAlignment="1">
      <alignment horizontal="center"/>
    </xf>
    <xf numFmtId="168" fontId="3" fillId="2" borderId="1" xfId="5" applyNumberFormat="1" applyFont="1" applyFill="1" applyBorder="1" applyAlignment="1">
      <alignment horizontal="center"/>
    </xf>
    <xf numFmtId="168" fontId="3" fillId="2" borderId="12" xfId="5" applyNumberFormat="1" applyFont="1" applyFill="1" applyBorder="1" applyAlignment="1">
      <alignment horizontal="center"/>
    </xf>
    <xf numFmtId="166" fontId="3" fillId="2" borderId="12" xfId="4" applyNumberFormat="1" applyFont="1" applyFill="1" applyBorder="1" applyAlignment="1">
      <alignment horizontal="center"/>
    </xf>
    <xf numFmtId="9" fontId="3" fillId="2" borderId="12" xfId="6" applyFont="1" applyFill="1" applyBorder="1" applyAlignment="1">
      <alignment horizontal="center"/>
    </xf>
    <xf numFmtId="9" fontId="3" fillId="2" borderId="0" xfId="6" applyFont="1" applyFill="1" applyBorder="1"/>
    <xf numFmtId="0" fontId="2" fillId="2" borderId="12" xfId="3" applyFont="1" applyFill="1" applyBorder="1" applyAlignment="1">
      <alignment horizontal="center" wrapText="1"/>
    </xf>
    <xf numFmtId="0" fontId="3" fillId="2" borderId="12" xfId="3" applyFont="1" applyFill="1" applyBorder="1" applyAlignment="1">
      <alignment horizontal="center"/>
    </xf>
    <xf numFmtId="9" fontId="3" fillId="2" borderId="14" xfId="6" applyFont="1" applyFill="1" applyBorder="1" applyAlignment="1">
      <alignment horizontal="center"/>
    </xf>
    <xf numFmtId="169" fontId="3" fillId="2" borderId="12" xfId="3" applyNumberFormat="1" applyFont="1" applyFill="1" applyBorder="1" applyAlignment="1">
      <alignment horizontal="center"/>
    </xf>
    <xf numFmtId="3" fontId="3" fillId="2" borderId="12" xfId="3" applyNumberFormat="1" applyFont="1" applyFill="1" applyBorder="1" applyAlignment="1">
      <alignment horizontal="center"/>
    </xf>
    <xf numFmtId="3" fontId="3" fillId="2" borderId="0" xfId="3" applyNumberFormat="1" applyFont="1" applyFill="1"/>
    <xf numFmtId="0" fontId="3" fillId="2" borderId="0" xfId="3" applyFont="1" applyFill="1" applyAlignment="1">
      <alignment vertical="center" wrapText="1"/>
    </xf>
    <xf numFmtId="0" fontId="3" fillId="2" borderId="0" xfId="3" applyFont="1" applyFill="1" applyAlignment="1">
      <alignment vertical="center"/>
    </xf>
    <xf numFmtId="166" fontId="3" fillId="2" borderId="12" xfId="4" applyNumberFormat="1" applyFont="1" applyFill="1" applyBorder="1"/>
    <xf numFmtId="9" fontId="3" fillId="2" borderId="12" xfId="6" applyFont="1" applyFill="1" applyBorder="1"/>
    <xf numFmtId="0" fontId="7" fillId="2" borderId="14" xfId="3" applyFont="1" applyFill="1" applyBorder="1"/>
    <xf numFmtId="0" fontId="3" fillId="2" borderId="14" xfId="3" applyFont="1" applyFill="1" applyBorder="1" applyAlignment="1">
      <alignment vertical="center" wrapText="1"/>
    </xf>
    <xf numFmtId="0" fontId="2" fillId="2" borderId="11" xfId="3" applyFont="1" applyFill="1" applyBorder="1"/>
    <xf numFmtId="0" fontId="3" fillId="2" borderId="11" xfId="3" applyFont="1" applyFill="1" applyBorder="1" applyAlignment="1">
      <alignment vertical="center" wrapText="1"/>
    </xf>
    <xf numFmtId="164" fontId="3" fillId="2" borderId="12" xfId="3" applyNumberFormat="1" applyFont="1" applyFill="1" applyBorder="1" applyAlignment="1">
      <alignment horizontal="left"/>
    </xf>
    <xf numFmtId="0" fontId="3" fillId="2" borderId="12" xfId="3" applyFont="1" applyFill="1" applyBorder="1" applyAlignment="1">
      <alignment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7" fillId="2" borderId="15" xfId="3" applyFont="1" applyFill="1" applyBorder="1"/>
    <xf numFmtId="169" fontId="3" fillId="2" borderId="12" xfId="3" applyNumberFormat="1" applyFont="1" applyFill="1" applyBorder="1" applyAlignment="1">
      <alignment vertical="center" wrapText="1"/>
    </xf>
    <xf numFmtId="0" fontId="7" fillId="2" borderId="11" xfId="3" applyFont="1" applyFill="1" applyBorder="1"/>
    <xf numFmtId="0" fontId="7" fillId="2" borderId="6" xfId="3" applyFont="1" applyFill="1" applyBorder="1"/>
    <xf numFmtId="0" fontId="3" fillId="2" borderId="9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 wrapText="1"/>
    </xf>
    <xf numFmtId="0" fontId="3" fillId="2" borderId="15" xfId="3" applyFont="1" applyFill="1" applyBorder="1" applyAlignment="1">
      <alignment vertical="center" wrapText="1"/>
    </xf>
    <xf numFmtId="0" fontId="3" fillId="2" borderId="11" xfId="3" applyFont="1" applyFill="1" applyBorder="1"/>
    <xf numFmtId="0" fontId="3" fillId="2" borderId="0" xfId="3" quotePrefix="1" applyFont="1" applyFill="1"/>
    <xf numFmtId="0" fontId="9" fillId="0" borderId="0" xfId="0" applyFont="1"/>
    <xf numFmtId="170" fontId="9" fillId="0" borderId="0" xfId="0" applyNumberFormat="1" applyFont="1"/>
    <xf numFmtId="0" fontId="4" fillId="0" borderId="0" xfId="0" applyFont="1"/>
    <xf numFmtId="170" fontId="9" fillId="0" borderId="10" xfId="0" applyNumberFormat="1" applyFont="1" applyBorder="1"/>
    <xf numFmtId="0" fontId="10" fillId="0" borderId="0" xfId="0" applyFont="1"/>
    <xf numFmtId="9" fontId="9" fillId="0" borderId="0" xfId="2" applyFont="1"/>
    <xf numFmtId="0" fontId="11" fillId="2" borderId="0" xfId="3" applyFont="1" applyFill="1" applyAlignment="1">
      <alignment horizontal="left" vertical="center" indent="7"/>
    </xf>
    <xf numFmtId="0" fontId="6" fillId="2" borderId="0" xfId="3" applyFont="1" applyFill="1" applyAlignment="1">
      <alignment horizontal="left"/>
    </xf>
    <xf numFmtId="0" fontId="6" fillId="2" borderId="0" xfId="3" applyFont="1" applyFill="1" applyAlignment="1">
      <alignment horizontal="left" wrapText="1"/>
    </xf>
    <xf numFmtId="3" fontId="6" fillId="2" borderId="0" xfId="3" applyNumberFormat="1" applyFont="1" applyFill="1" applyAlignment="1">
      <alignment horizontal="left" wrapText="1"/>
    </xf>
    <xf numFmtId="0" fontId="3" fillId="2" borderId="0" xfId="3" applyFont="1" applyFill="1" applyAlignment="1">
      <alignment horizontal="left" indent="1"/>
    </xf>
    <xf numFmtId="3" fontId="3" fillId="4" borderId="12" xfId="3" applyNumberFormat="1" applyFont="1" applyFill="1" applyBorder="1"/>
    <xf numFmtId="9" fontId="3" fillId="2" borderId="0" xfId="3" applyNumberFormat="1" applyFont="1" applyFill="1"/>
    <xf numFmtId="0" fontId="3" fillId="2" borderId="0" xfId="3" applyFont="1" applyFill="1" applyAlignment="1">
      <alignment horizontal="right"/>
    </xf>
    <xf numFmtId="0" fontId="12" fillId="3" borderId="0" xfId="3" applyFont="1" applyFill="1" applyAlignment="1">
      <alignment horizontal="left" wrapText="1"/>
    </xf>
    <xf numFmtId="0" fontId="3" fillId="4" borderId="1" xfId="3" applyFont="1" applyFill="1" applyBorder="1"/>
    <xf numFmtId="0" fontId="3" fillId="4" borderId="3" xfId="3" applyFont="1" applyFill="1" applyBorder="1"/>
    <xf numFmtId="0" fontId="3" fillId="4" borderId="2" xfId="3" applyFont="1" applyFill="1" applyBorder="1"/>
    <xf numFmtId="170" fontId="3" fillId="4" borderId="12" xfId="1" applyNumberFormat="1" applyFont="1" applyFill="1" applyBorder="1"/>
    <xf numFmtId="170" fontId="9" fillId="0" borderId="0" xfId="1" applyNumberFormat="1" applyFont="1" applyFill="1"/>
    <xf numFmtId="0" fontId="9" fillId="0" borderId="10" xfId="0" applyFont="1" applyBorder="1"/>
    <xf numFmtId="43" fontId="9" fillId="0" borderId="0" xfId="1" applyFont="1" applyBorder="1" applyAlignment="1">
      <alignment horizontal="center"/>
    </xf>
    <xf numFmtId="0" fontId="14" fillId="0" borderId="0" xfId="0" applyFont="1"/>
    <xf numFmtId="43" fontId="9" fillId="0" borderId="0" xfId="1" applyFont="1"/>
    <xf numFmtId="1" fontId="9" fillId="0" borderId="0" xfId="0" applyNumberFormat="1" applyFont="1"/>
    <xf numFmtId="170" fontId="9" fillId="0" borderId="0" xfId="1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70" fontId="16" fillId="0" borderId="0" xfId="0" applyNumberFormat="1" applyFont="1"/>
    <xf numFmtId="0" fontId="9" fillId="7" borderId="0" xfId="0" applyFont="1" applyFill="1"/>
    <xf numFmtId="170" fontId="16" fillId="0" borderId="0" xfId="1" applyNumberFormat="1" applyFont="1" applyFill="1"/>
    <xf numFmtId="0" fontId="16" fillId="0" borderId="0" xfId="0" applyFont="1"/>
    <xf numFmtId="170" fontId="16" fillId="0" borderId="10" xfId="1" applyNumberFormat="1" applyFont="1" applyFill="1" applyBorder="1"/>
    <xf numFmtId="170" fontId="16" fillId="0" borderId="10" xfId="0" applyNumberFormat="1" applyFont="1" applyBorder="1"/>
    <xf numFmtId="14" fontId="9" fillId="7" borderId="0" xfId="0" applyNumberFormat="1" applyFont="1" applyFill="1" applyAlignment="1">
      <alignment horizontal="left"/>
    </xf>
    <xf numFmtId="0" fontId="9" fillId="7" borderId="0" xfId="0" applyFont="1" applyFill="1" applyAlignment="1">
      <alignment horizontal="left"/>
    </xf>
    <xf numFmtId="164" fontId="9" fillId="0" borderId="0" xfId="0" applyNumberFormat="1" applyFont="1"/>
    <xf numFmtId="3" fontId="16" fillId="0" borderId="0" xfId="0" applyNumberFormat="1" applyFont="1"/>
    <xf numFmtId="170" fontId="9" fillId="10" borderId="0" xfId="0" applyNumberFormat="1" applyFont="1" applyFill="1"/>
    <xf numFmtId="171" fontId="9" fillId="0" borderId="0" xfId="0" applyNumberFormat="1" applyFont="1"/>
    <xf numFmtId="0" fontId="15" fillId="0" borderId="0" xfId="0" applyFont="1"/>
    <xf numFmtId="0" fontId="9" fillId="11" borderId="0" xfId="0" applyFont="1" applyFill="1"/>
    <xf numFmtId="0" fontId="9" fillId="6" borderId="0" xfId="0" applyFont="1" applyFill="1"/>
    <xf numFmtId="0" fontId="9" fillId="12" borderId="0" xfId="0" applyFont="1" applyFill="1"/>
    <xf numFmtId="9" fontId="9" fillId="0" borderId="0" xfId="0" applyNumberFormat="1" applyFont="1"/>
    <xf numFmtId="0" fontId="9" fillId="8" borderId="0" xfId="0" applyFont="1" applyFill="1"/>
    <xf numFmtId="0" fontId="9" fillId="9" borderId="0" xfId="0" applyFont="1" applyFill="1"/>
    <xf numFmtId="170" fontId="9" fillId="0" borderId="10" xfId="1" applyNumberFormat="1" applyFont="1" applyFill="1" applyBorder="1"/>
    <xf numFmtId="0" fontId="9" fillId="0" borderId="0" xfId="3" applyFont="1"/>
    <xf numFmtId="0" fontId="9" fillId="0" borderId="0" xfId="3" applyFont="1" applyAlignment="1">
      <alignment horizontal="center"/>
    </xf>
    <xf numFmtId="0" fontId="9" fillId="0" borderId="10" xfId="3" applyFont="1" applyBorder="1" applyAlignment="1">
      <alignment horizontal="center"/>
    </xf>
    <xf numFmtId="171" fontId="9" fillId="0" borderId="0" xfId="3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170" fontId="9" fillId="0" borderId="0" xfId="1" applyNumberFormat="1" applyFont="1" applyAlignment="1">
      <alignment horizontal="center"/>
    </xf>
    <xf numFmtId="170" fontId="9" fillId="0" borderId="10" xfId="1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" fontId="9" fillId="0" borderId="0" xfId="3" applyNumberFormat="1" applyFont="1" applyAlignment="1">
      <alignment horizontal="center"/>
    </xf>
    <xf numFmtId="170" fontId="14" fillId="0" borderId="0" xfId="1" applyNumberFormat="1" applyFont="1" applyAlignment="1">
      <alignment horizontal="center"/>
    </xf>
    <xf numFmtId="0" fontId="9" fillId="0" borderId="10" xfId="3" applyFont="1" applyBorder="1"/>
    <xf numFmtId="0" fontId="9" fillId="7" borderId="10" xfId="0" applyFont="1" applyFill="1" applyBorder="1"/>
    <xf numFmtId="0" fontId="9" fillId="7" borderId="10" xfId="0" applyFont="1" applyFill="1" applyBorder="1" applyAlignment="1">
      <alignment horizontal="center"/>
    </xf>
    <xf numFmtId="170" fontId="9" fillId="7" borderId="0" xfId="0" applyNumberFormat="1" applyFont="1" applyFill="1" applyAlignment="1">
      <alignment horizontal="right"/>
    </xf>
    <xf numFmtId="3" fontId="9" fillId="7" borderId="0" xfId="0" applyNumberFormat="1" applyFont="1" applyFill="1" applyAlignment="1">
      <alignment horizontal="right"/>
    </xf>
    <xf numFmtId="170" fontId="9" fillId="7" borderId="0" xfId="1" applyNumberFormat="1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9" fillId="7" borderId="10" xfId="0" applyFont="1" applyFill="1" applyBorder="1" applyAlignment="1">
      <alignment horizontal="left"/>
    </xf>
    <xf numFmtId="170" fontId="9" fillId="7" borderId="10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170" fontId="14" fillId="6" borderId="0" xfId="1" applyNumberFormat="1" applyFont="1" applyFill="1" applyAlignment="1">
      <alignment horizontal="center"/>
    </xf>
    <xf numFmtId="170" fontId="14" fillId="9" borderId="0" xfId="0" applyNumberFormat="1" applyFont="1" applyFill="1"/>
    <xf numFmtId="170" fontId="14" fillId="10" borderId="0" xfId="0" applyNumberFormat="1" applyFont="1" applyFill="1"/>
    <xf numFmtId="0" fontId="14" fillId="7" borderId="10" xfId="0" applyFont="1" applyFill="1" applyBorder="1" applyAlignment="1">
      <alignment horizontal="center"/>
    </xf>
    <xf numFmtId="170" fontId="14" fillId="7" borderId="0" xfId="0" applyNumberFormat="1" applyFont="1" applyFill="1" applyAlignment="1">
      <alignment horizontal="right"/>
    </xf>
    <xf numFmtId="170" fontId="14" fillId="7" borderId="10" xfId="0" applyNumberFormat="1" applyFont="1" applyFill="1" applyBorder="1" applyAlignment="1">
      <alignment horizontal="right"/>
    </xf>
    <xf numFmtId="170" fontId="14" fillId="11" borderId="0" xfId="1" applyNumberFormat="1" applyFont="1" applyFill="1"/>
    <xf numFmtId="170" fontId="14" fillId="0" borderId="0" xfId="1" applyNumberFormat="1" applyFont="1" applyFill="1"/>
    <xf numFmtId="170" fontId="14" fillId="0" borderId="0" xfId="1" applyNumberFormat="1" applyFont="1" applyFill="1" applyAlignment="1">
      <alignment horizontal="center"/>
    </xf>
    <xf numFmtId="170" fontId="9" fillId="0" borderId="0" xfId="1" applyNumberFormat="1" applyFont="1" applyFill="1" applyAlignment="1">
      <alignment horizontal="center"/>
    </xf>
    <xf numFmtId="170" fontId="9" fillId="0" borderId="10" xfId="1" applyNumberFormat="1" applyFont="1" applyFill="1" applyBorder="1" applyAlignment="1">
      <alignment horizontal="center"/>
    </xf>
    <xf numFmtId="0" fontId="6" fillId="3" borderId="6" xfId="3" applyFont="1" applyFill="1" applyBorder="1" applyAlignment="1">
      <alignment horizontal="left" wrapText="1"/>
    </xf>
    <xf numFmtId="0" fontId="6" fillId="3" borderId="7" xfId="3" applyFont="1" applyFill="1" applyBorder="1" applyAlignment="1">
      <alignment horizontal="left" wrapText="1"/>
    </xf>
    <xf numFmtId="0" fontId="6" fillId="3" borderId="8" xfId="3" applyFont="1" applyFill="1" applyBorder="1" applyAlignment="1">
      <alignment horizontal="left" wrapText="1"/>
    </xf>
    <xf numFmtId="0" fontId="6" fillId="3" borderId="9" xfId="3" applyFont="1" applyFill="1" applyBorder="1" applyAlignment="1">
      <alignment horizontal="left" wrapText="1"/>
    </xf>
    <xf numFmtId="0" fontId="6" fillId="3" borderId="10" xfId="3" applyFont="1" applyFill="1" applyBorder="1" applyAlignment="1">
      <alignment horizontal="left" wrapText="1"/>
    </xf>
    <xf numFmtId="0" fontId="6" fillId="3" borderId="13" xfId="3" applyFont="1" applyFill="1" applyBorder="1" applyAlignment="1">
      <alignment horizontal="left" wrapText="1"/>
    </xf>
    <xf numFmtId="0" fontId="3" fillId="2" borderId="1" xfId="3" applyFont="1" applyFill="1" applyBorder="1"/>
    <xf numFmtId="0" fontId="3" fillId="2" borderId="2" xfId="3" applyFont="1" applyFill="1" applyBorder="1"/>
    <xf numFmtId="0" fontId="3" fillId="2" borderId="0" xfId="3" applyFont="1" applyFill="1" applyAlignment="1">
      <alignment vertical="center" wrapText="1"/>
    </xf>
    <xf numFmtId="0" fontId="3" fillId="2" borderId="1" xfId="3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center" vertical="top"/>
    </xf>
    <xf numFmtId="9" fontId="3" fillId="2" borderId="1" xfId="3" applyNumberFormat="1" applyFont="1" applyFill="1" applyBorder="1" applyAlignment="1">
      <alignment horizontal="center" vertical="top"/>
    </xf>
    <xf numFmtId="9" fontId="3" fillId="2" borderId="2" xfId="3" applyNumberFormat="1" applyFont="1" applyFill="1" applyBorder="1" applyAlignment="1">
      <alignment horizontal="center" vertical="top"/>
    </xf>
    <xf numFmtId="0" fontId="3" fillId="2" borderId="6" xfId="3" applyFont="1" applyFill="1" applyBorder="1" applyAlignment="1">
      <alignment vertical="top"/>
    </xf>
    <xf numFmtId="0" fontId="3" fillId="2" borderId="8" xfId="3" applyFont="1" applyFill="1" applyBorder="1" applyAlignment="1">
      <alignment vertical="top"/>
    </xf>
    <xf numFmtId="0" fontId="3" fillId="2" borderId="4" xfId="3" applyFont="1" applyFill="1" applyBorder="1" applyAlignment="1">
      <alignment vertical="top"/>
    </xf>
    <xf numFmtId="0" fontId="3" fillId="2" borderId="5" xfId="3" applyFont="1" applyFill="1" applyBorder="1" applyAlignment="1">
      <alignment vertical="top"/>
    </xf>
    <xf numFmtId="0" fontId="3" fillId="2" borderId="9" xfId="3" applyFont="1" applyFill="1" applyBorder="1" applyAlignment="1">
      <alignment vertical="top"/>
    </xf>
    <xf numFmtId="0" fontId="3" fillId="2" borderId="13" xfId="3" applyFont="1" applyFill="1" applyBorder="1" applyAlignment="1">
      <alignment vertical="top"/>
    </xf>
    <xf numFmtId="0" fontId="3" fillId="2" borderId="9" xfId="3" applyFont="1" applyFill="1" applyBorder="1" applyAlignment="1">
      <alignment horizontal="left"/>
    </xf>
    <xf numFmtId="0" fontId="3" fillId="2" borderId="10" xfId="3" applyFont="1" applyFill="1" applyBorder="1" applyAlignment="1">
      <alignment horizontal="left"/>
    </xf>
    <xf numFmtId="0" fontId="3" fillId="2" borderId="11" xfId="3" applyFont="1" applyFill="1" applyBorder="1" applyAlignment="1">
      <alignment horizontal="left" vertical="top"/>
    </xf>
    <xf numFmtId="0" fontId="3" fillId="2" borderId="9" xfId="3" applyFont="1" applyFill="1" applyBorder="1" applyAlignment="1">
      <alignment horizontal="left" vertical="top"/>
    </xf>
    <xf numFmtId="0" fontId="3" fillId="2" borderId="12" xfId="3" applyFont="1" applyFill="1" applyBorder="1" applyAlignment="1">
      <alignment horizontal="left" vertical="top"/>
    </xf>
    <xf numFmtId="0" fontId="3" fillId="2" borderId="1" xfId="3" applyFont="1" applyFill="1" applyBorder="1" applyAlignment="1">
      <alignment horizontal="left" vertical="top"/>
    </xf>
  </cellXfs>
  <cellStyles count="9">
    <cellStyle name="Comma" xfId="1" builtinId="3"/>
    <cellStyle name="Good 2" xfId="8" xr:uid="{00000000-0005-0000-0000-000001000000}"/>
    <cellStyle name="Good 3" xfId="7" xr:uid="{00000000-0005-0000-0000-000002000000}"/>
    <cellStyle name="Milliers 2" xfId="5" xr:uid="{00000000-0005-0000-0000-000003000000}"/>
    <cellStyle name="Monétaire 3" xfId="4" xr:uid="{00000000-0005-0000-0000-000004000000}"/>
    <cellStyle name="Normal" xfId="0" builtinId="0"/>
    <cellStyle name="Normal 4" xfId="3" xr:uid="{00000000-0005-0000-0000-000006000000}"/>
    <cellStyle name="Percent" xfId="2" builtinId="5"/>
    <cellStyle name="Pourcentage 2" xfId="6" xr:uid="{00000000-0005-0000-0000-000008000000}"/>
  </cellStyles>
  <dxfs count="0"/>
  <tableStyles count="0" defaultTableStyle="TableStyleMedium2" defaultPivotStyle="PivotStyleLight16"/>
  <colors>
    <mruColors>
      <color rgb="FFCCFFFF"/>
      <color rgb="FFCCCC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515919</xdr:colOff>
      <xdr:row>86</xdr:row>
      <xdr:rowOff>33170</xdr:rowOff>
    </xdr:from>
    <xdr:ext cx="484076" cy="3091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8212119" y="17597270"/>
              <a:ext cx="484076" cy="309181"/>
            </a:xfrm>
            <a:prstGeom prst="rect">
              <a:avLst/>
            </a:prstGeom>
          </xdr:spPr>
          <xdr:txBody>
            <a:bodyPr wrap="none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𝟕𝟔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2" name="Object 5">
              <a:extLst>
                <a:ext uri="{FF2B5EF4-FFF2-40B4-BE49-F238E27FC236}">
                  <a16:creationId xmlns:a16="http://schemas.microsoft.com/office/drawing/2014/main" id="{8729048F-6FA3-4E4D-BB80-DF25D23C49F2}"/>
                </a:ext>
              </a:extLst>
            </xdr:cNvPr>
            <xdr:cNvSpPr txBox="1"/>
          </xdr:nvSpPr>
          <xdr:spPr>
            <a:xfrm>
              <a:off x="8212119" y="17597270"/>
              <a:ext cx="484076" cy="309181"/>
            </a:xfrm>
            <a:prstGeom prst="rect">
              <a:avLst/>
            </a:prstGeom>
          </xdr:spPr>
          <xdr:txBody>
            <a:bodyPr wrap="none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̈_𝟕𝟔^((𝟏𝟐)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722108</xdr:colOff>
      <xdr:row>86</xdr:row>
      <xdr:rowOff>18825</xdr:rowOff>
    </xdr:from>
    <xdr:ext cx="466747" cy="3555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7268958" y="17582925"/>
              <a:ext cx="466747" cy="35550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3" name="Object 4">
              <a:extLst>
                <a:ext uri="{FF2B5EF4-FFF2-40B4-BE49-F238E27FC236}">
                  <a16:creationId xmlns:a16="http://schemas.microsoft.com/office/drawing/2014/main" id="{11F96581-CCC0-4634-8517-39BD60A5492D}"/>
                </a:ext>
              </a:extLst>
            </xdr:cNvPr>
            <xdr:cNvSpPr txBox="1"/>
          </xdr:nvSpPr>
          <xdr:spPr>
            <a:xfrm>
              <a:off x="7268958" y="17582925"/>
              <a:ext cx="466747" cy="35550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1071283</xdr:colOff>
      <xdr:row>86</xdr:row>
      <xdr:rowOff>43031</xdr:rowOff>
    </xdr:from>
    <xdr:ext cx="408880" cy="3662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795433" y="17607131"/>
              <a:ext cx="408880" cy="36629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𝟓𝟓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4" name="Object 4">
              <a:extLst>
                <a:ext uri="{FF2B5EF4-FFF2-40B4-BE49-F238E27FC236}">
                  <a16:creationId xmlns:a16="http://schemas.microsoft.com/office/drawing/2014/main" id="{F22E4E10-CE77-4802-99F5-13BDA60F3AD6}"/>
                </a:ext>
              </a:extLst>
            </xdr:cNvPr>
            <xdr:cNvSpPr txBox="1"/>
          </xdr:nvSpPr>
          <xdr:spPr>
            <a:xfrm>
              <a:off x="3795433" y="17607131"/>
              <a:ext cx="408880" cy="36629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̈_𝟓𝟓^((𝟏𝟐)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610945</xdr:colOff>
      <xdr:row>86</xdr:row>
      <xdr:rowOff>54685</xdr:rowOff>
    </xdr:from>
    <xdr:ext cx="477505" cy="3616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5817945" y="17618785"/>
              <a:ext cx="477505" cy="361622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𝟔𝟏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5" name="Object 4">
              <a:extLst>
                <a:ext uri="{FF2B5EF4-FFF2-40B4-BE49-F238E27FC236}">
                  <a16:creationId xmlns:a16="http://schemas.microsoft.com/office/drawing/2014/main" id="{D30EED3D-31B0-4156-9C47-F47153BC0640}"/>
                </a:ext>
              </a:extLst>
            </xdr:cNvPr>
            <xdr:cNvSpPr txBox="1"/>
          </xdr:nvSpPr>
          <xdr:spPr>
            <a:xfrm>
              <a:off x="5817945" y="17618785"/>
              <a:ext cx="477505" cy="361622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̈_𝟔𝟏^((𝟏𝟐)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493059</xdr:colOff>
      <xdr:row>86</xdr:row>
      <xdr:rowOff>54684</xdr:rowOff>
    </xdr:from>
    <xdr:ext cx="397083" cy="3147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 flipH="1">
              <a:off x="4741209" y="17618784"/>
              <a:ext cx="397083" cy="314735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𝟔𝟎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6" name="Object 4">
              <a:extLst>
                <a:ext uri="{FF2B5EF4-FFF2-40B4-BE49-F238E27FC236}">
                  <a16:creationId xmlns:a16="http://schemas.microsoft.com/office/drawing/2014/main" id="{41AEC130-E3EF-4ECE-AC28-50F9EBA47CEA}"/>
                </a:ext>
              </a:extLst>
            </xdr:cNvPr>
            <xdr:cNvSpPr txBox="1"/>
          </xdr:nvSpPr>
          <xdr:spPr>
            <a:xfrm flipH="1">
              <a:off x="4741209" y="17618784"/>
              <a:ext cx="397083" cy="314735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̈_𝟔𝟎^((𝟏𝟐)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167640</xdr:colOff>
      <xdr:row>91</xdr:row>
      <xdr:rowOff>182880</xdr:rowOff>
    </xdr:from>
    <xdr:ext cx="1402150" cy="2848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4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1196340" y="18731230"/>
              <a:ext cx="1402150" cy="2848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𝒅</m:t>
                        </m:r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|</m:t>
                        </m:r>
                      </m:sub>
                      <m:sup>
                        <m:r>
                          <a:rPr lang="en-CA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  <m:e>
                        <m:sSubSup>
                          <m:sSubSupPr>
                            <m:ctrlP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1" i="0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𝐚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𝒙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𝟏𝟐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7" name="Object 4">
              <a:extLst>
                <a:ext uri="{FF2B5EF4-FFF2-40B4-BE49-F238E27FC236}">
                  <a16:creationId xmlns:a16="http://schemas.microsoft.com/office/drawing/2014/main" id="{4EFA18A3-8822-4605-AC04-4AE259440DFE}"/>
                </a:ext>
              </a:extLst>
            </xdr:cNvPr>
            <xdr:cNvSpPr txBox="1"/>
          </xdr:nvSpPr>
          <xdr:spPr>
            <a:xfrm>
              <a:off x="1196340" y="18731230"/>
              <a:ext cx="1402150" cy="2848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(_𝒅|</a:t>
              </a:r>
              <a:r>
                <a:rPr lang="en-CA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^ </a:t>
              </a:r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 b="1" i="0">
                  <a:solidFill>
                    <a:srgbClr val="00206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𝐚 ̈_𝒙^((𝟏𝟐) ) 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663388</xdr:colOff>
      <xdr:row>111</xdr:row>
      <xdr:rowOff>101301</xdr:rowOff>
    </xdr:from>
    <xdr:ext cx="491810" cy="4249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1692088" y="22586651"/>
              <a:ext cx="491810" cy="42492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76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8" name="Object 5">
              <a:extLst>
                <a:ext uri="{FF2B5EF4-FFF2-40B4-BE49-F238E27FC236}">
                  <a16:creationId xmlns:a16="http://schemas.microsoft.com/office/drawing/2014/main" id="{48000E25-F67D-4E92-99AD-0C6AC85349D3}"/>
                </a:ext>
              </a:extLst>
            </xdr:cNvPr>
            <xdr:cNvSpPr txBox="1"/>
          </xdr:nvSpPr>
          <xdr:spPr>
            <a:xfrm>
              <a:off x="1692088" y="22586651"/>
              <a:ext cx="491810" cy="424926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76^((</a:t>
              </a:r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12) )</a:t>
              </a:r>
              <a:endParaRPr lang="en-US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667422</xdr:colOff>
      <xdr:row>109</xdr:row>
      <xdr:rowOff>114300</xdr:rowOff>
    </xdr:from>
    <xdr:ext cx="495905" cy="3951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Object 5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1696122" y="22205950"/>
              <a:ext cx="495905" cy="395169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a</m:t>
                            </m:r>
                          </m:e>
                        </m:acc>
                      </m:e>
                      <m:sub>
                        <m:r>
                          <a:rPr lang="en-US" b="0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61</m:t>
                        </m:r>
                      </m:sub>
                      <m:sup>
                        <m:d>
                          <m:dPr>
                            <m:ctrlP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12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9" name="Object 5">
              <a:extLst>
                <a:ext uri="{FF2B5EF4-FFF2-40B4-BE49-F238E27FC236}">
                  <a16:creationId xmlns:a16="http://schemas.microsoft.com/office/drawing/2014/main" id="{6035E9B8-6BE5-4F30-BE6E-408AC3B181FC}"/>
                </a:ext>
              </a:extLst>
            </xdr:cNvPr>
            <xdr:cNvSpPr txBox="1"/>
          </xdr:nvSpPr>
          <xdr:spPr>
            <a:xfrm>
              <a:off x="1696122" y="22205950"/>
              <a:ext cx="495905" cy="395169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a ̈_</a:t>
              </a:r>
              <a:r>
                <a:rPr lang="en-US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61^((</a:t>
              </a:r>
              <a:r>
                <a:rPr lang="en-US" i="0">
                  <a:solidFill>
                    <a:srgbClr val="002060"/>
                  </a:solidFill>
                  <a:latin typeface="Cambria Math" panose="02040503050406030204" pitchFamily="18" charset="0"/>
                </a:rPr>
                <a:t>12) )</a:t>
              </a:r>
              <a:endParaRPr lang="en-US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649493</xdr:colOff>
      <xdr:row>107</xdr:row>
      <xdr:rowOff>146125</xdr:rowOff>
    </xdr:from>
    <xdr:ext cx="495905" cy="4505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Object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1678193" y="21844075"/>
              <a:ext cx="495905" cy="450558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acc>
                          <m:accPr>
                            <m:chr m:val="̈"/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b="1" i="0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𝐚</m:t>
                            </m:r>
                          </m:e>
                        </m:acc>
                      </m:e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𝟓𝟓</m:t>
                        </m:r>
                      </m:sub>
                      <m:sup>
                        <m:d>
                          <m:dPr>
                            <m:ctrlP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b="1" i="1">
                                <a:solidFill>
                                  <a:srgbClr val="002060"/>
                                </a:solidFill>
                                <a:latin typeface="Cambria Math" panose="02040503050406030204" pitchFamily="18" charset="0"/>
                              </a:rPr>
                              <m:t>𝟏𝟐</m:t>
                            </m:r>
                          </m:e>
                        </m:d>
                      </m:sup>
                    </m:sSubSup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10" name="Object 5">
              <a:extLst>
                <a:ext uri="{FF2B5EF4-FFF2-40B4-BE49-F238E27FC236}">
                  <a16:creationId xmlns:a16="http://schemas.microsoft.com/office/drawing/2014/main" id="{8425C540-9B91-4B4A-8515-05F7C716F976}"/>
                </a:ext>
              </a:extLst>
            </xdr:cNvPr>
            <xdr:cNvSpPr txBox="1"/>
          </xdr:nvSpPr>
          <xdr:spPr>
            <a:xfrm>
              <a:off x="1678193" y="21844075"/>
              <a:ext cx="495905" cy="450558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𝐚 ̈_𝟓𝟓^((𝟏𝟐) )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617668</xdr:colOff>
      <xdr:row>105</xdr:row>
      <xdr:rowOff>100405</xdr:rowOff>
    </xdr:from>
    <xdr:ext cx="742208" cy="365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1646368" y="21404655"/>
              <a:ext cx="742208" cy="3659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Pre>
                      <m:sPrePr>
                        <m:ctrlP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</m:ctrlPr>
                      </m:sPrePr>
                      <m:sub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𝟏𝟒</m:t>
                        </m:r>
                        <m:r>
                          <a:rPr lang="en-US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|</m:t>
                        </m:r>
                      </m:sub>
                      <m:sup>
                        <m:r>
                          <a:rPr lang="en-CA" b="1" i="1">
                            <a:solidFill>
                              <a:srgbClr val="00206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sup>
                      <m:e>
                        <m:sSubSup>
                          <m:sSubSupPr>
                            <m:ctrlP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acc>
                              <m:accPr>
                                <m:chr m:val="̈"/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accPr>
                              <m:e>
                                <m:r>
                                  <a:rPr lang="en-US" sz="1100" b="1" i="0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𝐚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1" i="1">
                                <a:solidFill>
                                  <a:srgbClr val="00206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𝟓𝟏</m:t>
                            </m:r>
                          </m:sub>
                          <m:sup>
                            <m:d>
                              <m:dPr>
                                <m:ctrlP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US" sz="1100" b="1" i="1">
                                    <a:solidFill>
                                      <a:srgbClr val="00206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𝟏𝟐</m:t>
                                </m:r>
                              </m:e>
                            </m:d>
                          </m:sup>
                        </m:sSubSup>
                      </m:e>
                    </m:sPre>
                  </m:oMath>
                </m:oMathPara>
              </a14:m>
              <a:endParaRPr lang="en-US" b="1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11" name="Object 4">
              <a:extLst>
                <a:ext uri="{FF2B5EF4-FFF2-40B4-BE49-F238E27FC236}">
                  <a16:creationId xmlns:a16="http://schemas.microsoft.com/office/drawing/2014/main" id="{47838FCD-CE88-4B0D-B612-0493B3B8BEE0}"/>
                </a:ext>
              </a:extLst>
            </xdr:cNvPr>
            <xdr:cNvSpPr txBox="1"/>
          </xdr:nvSpPr>
          <xdr:spPr>
            <a:xfrm>
              <a:off x="1646368" y="21404655"/>
              <a:ext cx="742208" cy="365967"/>
            </a:xfrm>
            <a:prstGeom prst="rect">
              <a:avLst/>
            </a:prstGeom>
          </xdr:spPr>
          <xdr:txBody>
            <a:bodyPr wrap="none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(_𝟏𝟒|</a:t>
              </a:r>
              <a:r>
                <a:rPr lang="en-CA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^ </a:t>
              </a:r>
              <a:r>
                <a:rPr lang="en-US" b="1" i="0">
                  <a:solidFill>
                    <a:srgbClr val="00206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 b="1" i="0">
                  <a:solidFill>
                    <a:srgbClr val="00206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𝐚 ̈_𝟓𝟏^((𝟏𝟐) ) </a:t>
              </a:r>
              <a:endParaRPr lang="en-US" b="1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  <xdr:twoCellAnchor>
    <xdr:from>
      <xdr:col>5</xdr:col>
      <xdr:colOff>508000</xdr:colOff>
      <xdr:row>15</xdr:row>
      <xdr:rowOff>158750</xdr:rowOff>
    </xdr:from>
    <xdr:to>
      <xdr:col>10</xdr:col>
      <xdr:colOff>349626</xdr:colOff>
      <xdr:row>19</xdr:row>
      <xdr:rowOff>42368</xdr:rowOff>
    </xdr:to>
    <xdr:sp macro="" textlink="">
      <xdr:nvSpPr>
        <xdr:cNvPr id="12" name="GLOBALPEERREVIEW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715000" y="3175000"/>
          <a:ext cx="4470776" cy="671018"/>
        </a:xfrm>
        <a:prstGeom prst="rect">
          <a:avLst/>
        </a:prstGeom>
        <a:solidFill>
          <a:schemeClr val="lt1">
            <a:alpha val="300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lang="en-US" sz="3200">
              <a:solidFill>
                <a:srgbClr val="A9A9A9"/>
              </a:solidFill>
              <a:latin typeface="Arial Black" panose="020B0A04020102020204" pitchFamily="34" charset="0"/>
            </a:rPr>
            <a:t>Not Peer Reviewed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mcglobalcan-my.sharepoint.com/Users/licscs/OneDrive%20-%20Industrial%20Alliance/Desktop/Verif%20FM/V&#233;rif_FM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Aide mémoire"/>
      <sheetName val="Funding"/>
      <sheetName val="Funding LV"/>
      <sheetName val="Solvency"/>
      <sheetName val="MaxFunding"/>
      <sheetName val="Funding sens"/>
      <sheetName val="Solvency sens"/>
      <sheetName val="Incr cost Solv"/>
      <sheetName val=" FESP 2014"/>
      <sheetName val="PfAD ON"/>
      <sheetName val="PfAD NS"/>
      <sheetName val="PfAD QC"/>
      <sheetName val="Amortissement"/>
      <sheetName val="Sommaire"/>
      <sheetName val="Amort2"/>
      <sheetName val="Terminaison"/>
      <sheetName val="Terminaison Future"/>
      <sheetName val="Funding RCA"/>
      <sheetName val="Solvency RCA"/>
      <sheetName val="Projection to retirement"/>
      <sheetName val="Parameters"/>
      <sheetName val="Tables"/>
      <sheetName val="PA"/>
    </sheetNames>
    <sheetDataSet>
      <sheetData sheetId="0">
        <row r="3">
          <cell r="B3">
            <v>44562</v>
          </cell>
        </row>
        <row r="9">
          <cell r="B9" t="str">
            <v>M</v>
          </cell>
        </row>
      </sheetData>
      <sheetData sheetId="1" refreshError="1"/>
      <sheetData sheetId="2">
        <row r="47">
          <cell r="B47">
            <v>50</v>
          </cell>
        </row>
        <row r="48">
          <cell r="B48">
            <v>65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5">
          <cell r="C115">
            <v>0</v>
          </cell>
        </row>
        <row r="117">
          <cell r="C117" t="str">
            <v>CPM2014</v>
          </cell>
          <cell r="D117" t="str">
            <v>CPM-B</v>
          </cell>
          <cell r="E117" t="str">
            <v>N</v>
          </cell>
          <cell r="F117" t="str">
            <v>N</v>
          </cell>
          <cell r="G117">
            <v>0</v>
          </cell>
        </row>
        <row r="119">
          <cell r="C119" t="str">
            <v>M</v>
          </cell>
        </row>
        <row r="123">
          <cell r="C123">
            <v>0</v>
          </cell>
        </row>
        <row r="125">
          <cell r="C125">
            <v>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8"/>
  <sheetViews>
    <sheetView tabSelected="1" zoomScale="55" zoomScaleNormal="55" workbookViewId="0">
      <selection activeCell="H153" sqref="H153:H166"/>
    </sheetView>
  </sheetViews>
  <sheetFormatPr defaultColWidth="8.7109375" defaultRowHeight="15.75" x14ac:dyDescent="0.25"/>
  <cols>
    <col min="1" max="1" width="3.5703125" style="2" customWidth="1"/>
    <col min="2" max="2" width="11.28515625" style="2" customWidth="1"/>
    <col min="3" max="3" width="24.28515625" style="2" customWidth="1"/>
    <col min="4" max="4" width="21.7109375" style="2" customWidth="1"/>
    <col min="5" max="5" width="13.7109375" style="2" customWidth="1"/>
    <col min="6" max="6" width="19.28515625" style="2" customWidth="1"/>
    <col min="7" max="7" width="16.42578125" style="2" customWidth="1"/>
    <col min="8" max="8" width="13.5703125" style="2" customWidth="1"/>
    <col min="9" max="9" width="8.7109375" style="2"/>
    <col min="10" max="10" width="8.28515625" style="2" customWidth="1"/>
    <col min="11" max="11" width="8.7109375" style="3"/>
    <col min="12" max="15" width="10.28515625" style="3" customWidth="1"/>
    <col min="16" max="16" width="12.28515625" style="3" bestFit="1" customWidth="1"/>
    <col min="17" max="18" width="10.28515625" style="3" customWidth="1"/>
    <col min="19" max="19" width="12.28515625" style="3" bestFit="1" customWidth="1"/>
    <col min="20" max="20" width="10.28515625" style="3" customWidth="1"/>
    <col min="21" max="21" width="8.7109375" style="3" customWidth="1"/>
    <col min="22" max="22" width="7.85546875" style="3" customWidth="1"/>
    <col min="23" max="23" width="8" style="3" customWidth="1"/>
    <col min="24" max="24" width="8.7109375" style="3" customWidth="1"/>
    <col min="25" max="26" width="11" style="3" customWidth="1"/>
    <col min="27" max="27" width="12.7109375" style="3" customWidth="1"/>
    <col min="28" max="28" width="9.28515625" style="3" bestFit="1" customWidth="1"/>
    <col min="29" max="32" width="8.7109375" style="3"/>
    <col min="33" max="33" width="11.28515625" style="3" bestFit="1" customWidth="1"/>
    <col min="34" max="34" width="10.7109375" style="3" customWidth="1"/>
    <col min="35" max="35" width="9.28515625" style="3" customWidth="1"/>
    <col min="36" max="16384" width="8.7109375" style="3"/>
  </cols>
  <sheetData>
    <row r="1" spans="1:11" x14ac:dyDescent="0.25">
      <c r="A1" s="1" t="s">
        <v>0</v>
      </c>
      <c r="B1" s="1"/>
      <c r="K1" s="3" t="str">
        <f>A1</f>
        <v>RETFRC Spring 2023</v>
      </c>
    </row>
    <row r="2" spans="1:11" x14ac:dyDescent="0.25">
      <c r="A2" s="1" t="s">
        <v>1</v>
      </c>
      <c r="B2" s="1"/>
      <c r="K2" s="3" t="str">
        <f>A2</f>
        <v>Question 3</v>
      </c>
    </row>
    <row r="3" spans="1:11" ht="18.399999999999999" customHeight="1" x14ac:dyDescent="0.3">
      <c r="A3" s="4"/>
    </row>
    <row r="4" spans="1:11" ht="18.399999999999999" customHeight="1" x14ac:dyDescent="0.25">
      <c r="A4" s="1"/>
      <c r="K4" s="3" t="s">
        <v>2</v>
      </c>
    </row>
    <row r="5" spans="1:11" x14ac:dyDescent="0.25">
      <c r="A5" s="1"/>
      <c r="B5" s="5" t="s">
        <v>3</v>
      </c>
      <c r="C5" s="2" t="s">
        <v>4</v>
      </c>
    </row>
    <row r="7" spans="1:11" x14ac:dyDescent="0.25">
      <c r="C7" s="6" t="s">
        <v>5</v>
      </c>
    </row>
    <row r="8" spans="1:11" ht="15.6" customHeight="1" x14ac:dyDescent="0.25">
      <c r="C8" s="7" t="s">
        <v>6</v>
      </c>
      <c r="D8" s="8"/>
      <c r="E8" s="9">
        <v>65</v>
      </c>
      <c r="F8" s="10"/>
      <c r="G8" s="11"/>
    </row>
    <row r="9" spans="1:11" ht="15.6" customHeight="1" x14ac:dyDescent="0.25">
      <c r="C9" s="12" t="s">
        <v>7</v>
      </c>
      <c r="D9" s="13"/>
      <c r="E9" s="12" t="s">
        <v>8</v>
      </c>
      <c r="F9" s="14"/>
      <c r="G9" s="15"/>
    </row>
    <row r="10" spans="1:11" x14ac:dyDescent="0.25">
      <c r="C10" s="16" t="s">
        <v>9</v>
      </c>
      <c r="D10" s="17"/>
      <c r="E10" s="16" t="s">
        <v>10</v>
      </c>
      <c r="F10" s="17"/>
      <c r="G10" s="18"/>
    </row>
    <row r="11" spans="1:11" x14ac:dyDescent="0.25">
      <c r="C11" s="12"/>
      <c r="E11" s="12" t="s">
        <v>11</v>
      </c>
      <c r="G11" s="13"/>
    </row>
    <row r="12" spans="1:11" x14ac:dyDescent="0.25">
      <c r="C12" s="166"/>
      <c r="D12" s="167"/>
      <c r="E12" s="12" t="s">
        <v>12</v>
      </c>
      <c r="G12" s="13"/>
    </row>
    <row r="13" spans="1:11" ht="15.6" customHeight="1" x14ac:dyDescent="0.25">
      <c r="C13" s="168" t="s">
        <v>13</v>
      </c>
      <c r="D13" s="169"/>
      <c r="E13" s="16" t="s">
        <v>14</v>
      </c>
      <c r="F13" s="19"/>
      <c r="G13" s="20"/>
    </row>
    <row r="14" spans="1:11" ht="15.6" customHeight="1" x14ac:dyDescent="0.25">
      <c r="C14" s="170"/>
      <c r="D14" s="171"/>
      <c r="E14" s="12" t="s">
        <v>15</v>
      </c>
      <c r="F14" s="14"/>
      <c r="G14" s="15"/>
    </row>
    <row r="15" spans="1:11" x14ac:dyDescent="0.25">
      <c r="C15" s="170"/>
      <c r="D15" s="171"/>
      <c r="E15" s="21" t="s">
        <v>16</v>
      </c>
      <c r="F15" s="22"/>
      <c r="G15" s="23"/>
    </row>
    <row r="16" spans="1:11" x14ac:dyDescent="0.25">
      <c r="C16" s="24"/>
      <c r="D16" s="24"/>
      <c r="F16" s="14"/>
      <c r="G16" s="14"/>
    </row>
    <row r="17" spans="3:8" x14ac:dyDescent="0.25">
      <c r="C17" s="24" t="s">
        <v>17</v>
      </c>
      <c r="D17" s="24"/>
      <c r="F17" s="14"/>
      <c r="G17" s="14"/>
    </row>
    <row r="19" spans="3:8" x14ac:dyDescent="0.25">
      <c r="C19" s="6" t="s">
        <v>18</v>
      </c>
    </row>
    <row r="20" spans="3:8" x14ac:dyDescent="0.25">
      <c r="C20" s="25" t="s">
        <v>19</v>
      </c>
    </row>
    <row r="21" spans="3:8" x14ac:dyDescent="0.25">
      <c r="C21" s="153" t="s">
        <v>20</v>
      </c>
      <c r="D21" s="154"/>
      <c r="E21" s="26">
        <v>0.05</v>
      </c>
      <c r="F21" s="27" t="s">
        <v>21</v>
      </c>
      <c r="G21" s="27"/>
      <c r="H21" s="8"/>
    </row>
    <row r="22" spans="3:8" x14ac:dyDescent="0.25">
      <c r="C22" s="7" t="s">
        <v>22</v>
      </c>
      <c r="D22" s="8"/>
      <c r="E22" s="26">
        <v>0.1</v>
      </c>
      <c r="F22" s="27"/>
      <c r="G22" s="27"/>
      <c r="H22" s="8"/>
    </row>
    <row r="23" spans="3:8" x14ac:dyDescent="0.25">
      <c r="C23" s="7" t="s">
        <v>23</v>
      </c>
      <c r="D23" s="8"/>
      <c r="E23" s="26">
        <v>0.03</v>
      </c>
      <c r="F23" s="27" t="s">
        <v>21</v>
      </c>
      <c r="G23" s="27"/>
      <c r="H23" s="8"/>
    </row>
    <row r="24" spans="3:8" x14ac:dyDescent="0.25">
      <c r="C24" s="7" t="s">
        <v>24</v>
      </c>
      <c r="D24" s="18"/>
      <c r="E24" s="28" t="s">
        <v>25</v>
      </c>
      <c r="F24" s="27"/>
      <c r="G24" s="27"/>
      <c r="H24" s="8"/>
    </row>
    <row r="25" spans="3:8" x14ac:dyDescent="0.25">
      <c r="C25" s="153" t="s">
        <v>26</v>
      </c>
      <c r="D25" s="154"/>
      <c r="E25" s="7" t="s">
        <v>27</v>
      </c>
      <c r="F25" s="27"/>
      <c r="G25" s="27"/>
      <c r="H25" s="8"/>
    </row>
    <row r="26" spans="3:8" x14ac:dyDescent="0.25">
      <c r="C26" s="153" t="s">
        <v>28</v>
      </c>
      <c r="D26" s="154"/>
      <c r="E26" s="7" t="s">
        <v>29</v>
      </c>
      <c r="F26" s="27"/>
      <c r="G26" s="27"/>
      <c r="H26" s="8"/>
    </row>
    <row r="27" spans="3:8" x14ac:dyDescent="0.25">
      <c r="C27" s="160" t="s">
        <v>30</v>
      </c>
      <c r="D27" s="161"/>
      <c r="E27" s="156" t="s">
        <v>31</v>
      </c>
      <c r="F27" s="157"/>
      <c r="G27" s="156" t="s">
        <v>32</v>
      </c>
      <c r="H27" s="157"/>
    </row>
    <row r="28" spans="3:8" x14ac:dyDescent="0.25">
      <c r="C28" s="162"/>
      <c r="D28" s="163"/>
      <c r="E28" s="156">
        <v>45</v>
      </c>
      <c r="F28" s="157"/>
      <c r="G28" s="158">
        <v>0.1</v>
      </c>
      <c r="H28" s="159"/>
    </row>
    <row r="29" spans="3:8" x14ac:dyDescent="0.25">
      <c r="C29" s="164"/>
      <c r="D29" s="165"/>
      <c r="E29" s="156">
        <v>55</v>
      </c>
      <c r="F29" s="157"/>
      <c r="G29" s="158">
        <v>0.05</v>
      </c>
      <c r="H29" s="159"/>
    </row>
    <row r="31" spans="3:8" x14ac:dyDescent="0.25">
      <c r="C31" s="25" t="s">
        <v>33</v>
      </c>
    </row>
    <row r="32" spans="3:8" x14ac:dyDescent="0.25">
      <c r="C32" s="153" t="s">
        <v>20</v>
      </c>
      <c r="D32" s="154"/>
      <c r="E32" s="26">
        <v>2.5000000000000001E-2</v>
      </c>
      <c r="F32" s="27" t="s">
        <v>21</v>
      </c>
      <c r="G32" s="27"/>
      <c r="H32" s="8"/>
    </row>
    <row r="33" spans="3:8" x14ac:dyDescent="0.25">
      <c r="C33" s="7" t="s">
        <v>24</v>
      </c>
      <c r="D33" s="8"/>
      <c r="E33" s="29" t="s">
        <v>25</v>
      </c>
      <c r="F33" s="27"/>
      <c r="G33" s="27"/>
      <c r="H33" s="8"/>
    </row>
    <row r="34" spans="3:8" x14ac:dyDescent="0.25">
      <c r="C34" s="7" t="s">
        <v>34</v>
      </c>
      <c r="D34" s="8"/>
      <c r="E34" s="30">
        <v>100000</v>
      </c>
      <c r="F34" s="27"/>
      <c r="G34" s="27"/>
      <c r="H34" s="8"/>
    </row>
    <row r="35" spans="3:8" x14ac:dyDescent="0.25">
      <c r="C35" s="7" t="s">
        <v>28</v>
      </c>
      <c r="D35" s="8"/>
      <c r="E35" s="28" t="s">
        <v>35</v>
      </c>
      <c r="F35" s="27"/>
      <c r="G35" s="27"/>
      <c r="H35" s="8"/>
    </row>
    <row r="36" spans="3:8" x14ac:dyDescent="0.25">
      <c r="E36" s="31"/>
    </row>
    <row r="37" spans="3:8" x14ac:dyDescent="0.25">
      <c r="C37" s="6" t="s">
        <v>36</v>
      </c>
      <c r="E37" s="31"/>
    </row>
    <row r="38" spans="3:8" ht="31.5" x14ac:dyDescent="0.25">
      <c r="C38" s="32" t="s">
        <v>37</v>
      </c>
      <c r="D38" s="32" t="s">
        <v>38</v>
      </c>
      <c r="E38" s="32" t="s">
        <v>31</v>
      </c>
      <c r="F38" s="33" t="s">
        <v>39</v>
      </c>
      <c r="G38" s="33" t="s">
        <v>40</v>
      </c>
      <c r="H38" s="34" t="s">
        <v>41</v>
      </c>
    </row>
    <row r="39" spans="3:8" x14ac:dyDescent="0.25">
      <c r="C39" s="35">
        <v>1</v>
      </c>
      <c r="D39" s="35" t="s">
        <v>42</v>
      </c>
      <c r="E39" s="35">
        <v>39</v>
      </c>
      <c r="F39" s="36">
        <v>134000</v>
      </c>
      <c r="G39" s="36">
        <v>13000</v>
      </c>
      <c r="H39" s="37">
        <v>141000</v>
      </c>
    </row>
    <row r="40" spans="3:8" x14ac:dyDescent="0.25">
      <c r="C40" s="35">
        <v>2</v>
      </c>
      <c r="D40" s="35" t="s">
        <v>42</v>
      </c>
      <c r="E40" s="35">
        <v>42</v>
      </c>
      <c r="F40" s="36">
        <v>421000</v>
      </c>
      <c r="G40" s="36">
        <v>22000</v>
      </c>
      <c r="H40" s="37">
        <v>608000</v>
      </c>
    </row>
    <row r="41" spans="3:8" x14ac:dyDescent="0.25">
      <c r="C41" s="35">
        <v>3</v>
      </c>
      <c r="D41" s="35" t="s">
        <v>42</v>
      </c>
      <c r="E41" s="35">
        <v>54</v>
      </c>
      <c r="F41" s="36">
        <v>487000</v>
      </c>
      <c r="G41" s="36">
        <v>29000</v>
      </c>
      <c r="H41" s="37">
        <v>643000</v>
      </c>
    </row>
    <row r="42" spans="3:8" x14ac:dyDescent="0.25">
      <c r="C42" s="35">
        <v>4</v>
      </c>
      <c r="D42" s="35" t="s">
        <v>43</v>
      </c>
      <c r="E42" s="35">
        <v>50</v>
      </c>
      <c r="F42" s="36">
        <v>76000</v>
      </c>
      <c r="G42" s="36">
        <v>0</v>
      </c>
      <c r="H42" s="37">
        <v>148000</v>
      </c>
    </row>
    <row r="43" spans="3:8" x14ac:dyDescent="0.25">
      <c r="C43" s="35">
        <v>5</v>
      </c>
      <c r="D43" s="35" t="s">
        <v>43</v>
      </c>
      <c r="E43" s="35">
        <v>60</v>
      </c>
      <c r="F43" s="36">
        <v>310000</v>
      </c>
      <c r="G43" s="36">
        <v>0</v>
      </c>
      <c r="H43" s="37">
        <v>465000</v>
      </c>
    </row>
    <row r="44" spans="3:8" x14ac:dyDescent="0.25">
      <c r="C44" s="35">
        <v>6</v>
      </c>
      <c r="D44" s="35" t="s">
        <v>44</v>
      </c>
      <c r="E44" s="35">
        <v>75</v>
      </c>
      <c r="F44" s="36">
        <v>470000</v>
      </c>
      <c r="G44" s="36">
        <v>0</v>
      </c>
      <c r="H44" s="37">
        <v>581000</v>
      </c>
    </row>
    <row r="46" spans="3:8" x14ac:dyDescent="0.25">
      <c r="C46" s="6" t="s">
        <v>45</v>
      </c>
    </row>
    <row r="47" spans="3:8" x14ac:dyDescent="0.25">
      <c r="C47" s="7" t="s">
        <v>46</v>
      </c>
      <c r="D47" s="38">
        <v>2700000</v>
      </c>
    </row>
    <row r="48" spans="3:8" x14ac:dyDescent="0.25">
      <c r="C48" s="7" t="s">
        <v>47</v>
      </c>
      <c r="D48" s="39">
        <v>0.5</v>
      </c>
    </row>
    <row r="49" spans="3:8" x14ac:dyDescent="0.25">
      <c r="D49" s="40"/>
    </row>
    <row r="50" spans="3:8" x14ac:dyDescent="0.25">
      <c r="C50" s="2" t="s">
        <v>48</v>
      </c>
      <c r="D50" s="40"/>
    </row>
    <row r="51" spans="3:8" x14ac:dyDescent="0.25">
      <c r="D51" s="40"/>
    </row>
    <row r="52" spans="3:8" x14ac:dyDescent="0.25">
      <c r="C52" s="1" t="s">
        <v>49</v>
      </c>
      <c r="D52" s="40"/>
    </row>
    <row r="53" spans="3:8" ht="31.5" x14ac:dyDescent="0.25">
      <c r="C53" s="32" t="s">
        <v>37</v>
      </c>
      <c r="D53" s="32" t="s">
        <v>38</v>
      </c>
      <c r="E53" s="32" t="s">
        <v>31</v>
      </c>
      <c r="F53" s="32" t="s">
        <v>50</v>
      </c>
      <c r="G53" s="41" t="s">
        <v>51</v>
      </c>
    </row>
    <row r="54" spans="3:8" x14ac:dyDescent="0.25">
      <c r="C54" s="42">
        <v>1</v>
      </c>
      <c r="D54" s="43" t="s">
        <v>42</v>
      </c>
      <c r="E54" s="42">
        <v>40</v>
      </c>
      <c r="F54" s="42" t="s">
        <v>52</v>
      </c>
      <c r="G54" s="44">
        <v>11</v>
      </c>
    </row>
    <row r="55" spans="3:8" x14ac:dyDescent="0.25">
      <c r="C55" s="35">
        <v>2</v>
      </c>
      <c r="D55" s="42" t="s">
        <v>42</v>
      </c>
      <c r="E55" s="42">
        <v>43</v>
      </c>
      <c r="F55" s="42" t="s">
        <v>52</v>
      </c>
      <c r="G55" s="44">
        <v>20</v>
      </c>
    </row>
    <row r="56" spans="3:8" x14ac:dyDescent="0.25">
      <c r="C56" s="35">
        <v>3</v>
      </c>
      <c r="D56" s="42" t="s">
        <v>44</v>
      </c>
      <c r="E56" s="42">
        <v>55</v>
      </c>
      <c r="F56" s="42" t="s">
        <v>52</v>
      </c>
      <c r="G56" s="44">
        <v>18</v>
      </c>
    </row>
    <row r="57" spans="3:8" x14ac:dyDescent="0.25">
      <c r="C57" s="35">
        <v>4</v>
      </c>
      <c r="D57" s="42" t="s">
        <v>43</v>
      </c>
      <c r="E57" s="42">
        <v>51</v>
      </c>
      <c r="F57" s="45">
        <v>1000</v>
      </c>
      <c r="G57" s="42" t="s">
        <v>53</v>
      </c>
    </row>
    <row r="58" spans="3:8" x14ac:dyDescent="0.25">
      <c r="C58" s="35">
        <v>5</v>
      </c>
      <c r="D58" s="42" t="s">
        <v>44</v>
      </c>
      <c r="E58" s="42">
        <v>61</v>
      </c>
      <c r="F58" s="45">
        <v>2500</v>
      </c>
      <c r="G58" s="42" t="s">
        <v>53</v>
      </c>
    </row>
    <row r="59" spans="3:8" x14ac:dyDescent="0.25">
      <c r="C59" s="35">
        <v>6</v>
      </c>
      <c r="D59" s="42" t="s">
        <v>44</v>
      </c>
      <c r="E59" s="42">
        <v>76</v>
      </c>
      <c r="F59" s="45">
        <v>4000</v>
      </c>
      <c r="G59" s="42" t="s">
        <v>53</v>
      </c>
    </row>
    <row r="60" spans="3:8" x14ac:dyDescent="0.25">
      <c r="D60" s="40"/>
      <c r="F60" s="46"/>
    </row>
    <row r="61" spans="3:8" x14ac:dyDescent="0.25">
      <c r="C61" s="1" t="s">
        <v>54</v>
      </c>
      <c r="D61" s="40"/>
      <c r="F61" s="46"/>
    </row>
    <row r="62" spans="3:8" ht="31.5" x14ac:dyDescent="0.25">
      <c r="C62" s="32" t="s">
        <v>37</v>
      </c>
      <c r="D62" s="32" t="s">
        <v>55</v>
      </c>
      <c r="E62" s="32" t="s">
        <v>56</v>
      </c>
      <c r="F62" s="32" t="s">
        <v>57</v>
      </c>
      <c r="G62" s="32" t="s">
        <v>58</v>
      </c>
      <c r="H62" s="41" t="s">
        <v>59</v>
      </c>
    </row>
    <row r="63" spans="3:8" x14ac:dyDescent="0.25">
      <c r="C63" s="35">
        <v>1</v>
      </c>
      <c r="D63" s="45">
        <v>89000</v>
      </c>
      <c r="E63" s="45">
        <v>88000</v>
      </c>
      <c r="F63" s="45">
        <v>85000</v>
      </c>
      <c r="G63" s="45">
        <v>83000</v>
      </c>
      <c r="H63" s="45">
        <v>81000</v>
      </c>
    </row>
    <row r="64" spans="3:8" x14ac:dyDescent="0.25">
      <c r="C64" s="35">
        <v>2</v>
      </c>
      <c r="D64" s="45">
        <v>150000</v>
      </c>
      <c r="E64" s="45">
        <v>137000</v>
      </c>
      <c r="F64" s="45">
        <v>133000</v>
      </c>
      <c r="G64" s="45">
        <v>129000</v>
      </c>
      <c r="H64" s="45">
        <v>125000</v>
      </c>
    </row>
    <row r="65" spans="3:8" x14ac:dyDescent="0.25">
      <c r="C65" s="35">
        <v>3</v>
      </c>
      <c r="D65" s="42" t="s">
        <v>52</v>
      </c>
      <c r="E65" s="45">
        <v>122000</v>
      </c>
      <c r="F65" s="45">
        <v>118000</v>
      </c>
      <c r="G65" s="45">
        <v>115000</v>
      </c>
      <c r="H65" s="45">
        <v>112000</v>
      </c>
    </row>
    <row r="66" spans="3:8" x14ac:dyDescent="0.25">
      <c r="C66" s="35">
        <v>4</v>
      </c>
      <c r="D66" s="42" t="s">
        <v>52</v>
      </c>
      <c r="E66" s="42" t="s">
        <v>52</v>
      </c>
      <c r="F66" s="42" t="s">
        <v>52</v>
      </c>
      <c r="G66" s="42" t="s">
        <v>52</v>
      </c>
      <c r="H66" s="42" t="s">
        <v>52</v>
      </c>
    </row>
    <row r="67" spans="3:8" x14ac:dyDescent="0.25">
      <c r="C67" s="35">
        <v>5</v>
      </c>
      <c r="D67" s="42" t="s">
        <v>52</v>
      </c>
      <c r="E67" s="42" t="s">
        <v>52</v>
      </c>
      <c r="F67" s="42" t="s">
        <v>52</v>
      </c>
      <c r="G67" s="42" t="s">
        <v>52</v>
      </c>
      <c r="H67" s="42" t="s">
        <v>52</v>
      </c>
    </row>
    <row r="68" spans="3:8" x14ac:dyDescent="0.25">
      <c r="C68" s="35">
        <v>6</v>
      </c>
      <c r="D68" s="42" t="s">
        <v>52</v>
      </c>
      <c r="E68" s="42" t="s">
        <v>52</v>
      </c>
      <c r="F68" s="42" t="s">
        <v>52</v>
      </c>
      <c r="G68" s="42" t="s">
        <v>52</v>
      </c>
      <c r="H68" s="42" t="s">
        <v>52</v>
      </c>
    </row>
    <row r="70" spans="3:8" x14ac:dyDescent="0.25">
      <c r="C70" s="2" t="s">
        <v>60</v>
      </c>
    </row>
    <row r="72" spans="3:8" x14ac:dyDescent="0.25">
      <c r="C72" s="6" t="s">
        <v>18</v>
      </c>
    </row>
    <row r="73" spans="3:8" x14ac:dyDescent="0.25">
      <c r="C73" s="153" t="s">
        <v>61</v>
      </c>
      <c r="D73" s="154"/>
      <c r="E73" s="26">
        <v>3.5000000000000003E-2</v>
      </c>
      <c r="F73" s="27" t="s">
        <v>21</v>
      </c>
      <c r="G73" s="27"/>
      <c r="H73" s="8"/>
    </row>
    <row r="74" spans="3:8" x14ac:dyDescent="0.25">
      <c r="C74" s="7" t="s">
        <v>22</v>
      </c>
      <c r="D74" s="8"/>
      <c r="E74" s="26">
        <v>7.0000000000000007E-2</v>
      </c>
      <c r="F74" s="27"/>
      <c r="G74" s="27"/>
      <c r="H74" s="8"/>
    </row>
    <row r="75" spans="3:8" x14ac:dyDescent="0.25">
      <c r="C75" s="7" t="s">
        <v>62</v>
      </c>
      <c r="D75" s="8"/>
      <c r="E75" s="26">
        <v>2.3E-2</v>
      </c>
      <c r="F75" s="27" t="s">
        <v>21</v>
      </c>
      <c r="G75" s="27"/>
      <c r="H75" s="8"/>
    </row>
    <row r="76" spans="3:8" x14ac:dyDescent="0.25">
      <c r="C76" s="47"/>
      <c r="D76" s="47"/>
      <c r="E76" s="47"/>
      <c r="F76" s="47"/>
      <c r="G76" s="47"/>
      <c r="H76" s="47"/>
    </row>
    <row r="77" spans="3:8" x14ac:dyDescent="0.25">
      <c r="C77" s="48" t="s">
        <v>63</v>
      </c>
      <c r="D77" s="47"/>
      <c r="E77" s="47"/>
      <c r="F77" s="47"/>
      <c r="G77" s="47"/>
      <c r="H77" s="47"/>
    </row>
    <row r="78" spans="3:8" x14ac:dyDescent="0.25">
      <c r="C78" s="47"/>
      <c r="D78" s="155"/>
      <c r="E78" s="155"/>
      <c r="F78" s="155"/>
      <c r="G78" s="155"/>
      <c r="H78" s="47"/>
    </row>
    <row r="79" spans="3:8" x14ac:dyDescent="0.25">
      <c r="C79" s="6" t="s">
        <v>45</v>
      </c>
      <c r="E79" s="47"/>
      <c r="F79" s="47"/>
      <c r="G79" s="47"/>
      <c r="H79" s="47"/>
    </row>
    <row r="80" spans="3:8" x14ac:dyDescent="0.25">
      <c r="C80" s="7" t="s">
        <v>46</v>
      </c>
      <c r="D80" s="49">
        <v>2600000</v>
      </c>
      <c r="E80" s="47"/>
      <c r="F80" s="47"/>
      <c r="G80" s="47"/>
      <c r="H80" s="47"/>
    </row>
    <row r="81" spans="3:8" x14ac:dyDescent="0.25">
      <c r="C81" s="7" t="s">
        <v>47</v>
      </c>
      <c r="D81" s="50">
        <v>0.8</v>
      </c>
      <c r="E81" s="47"/>
      <c r="F81" s="47"/>
      <c r="G81" s="47"/>
      <c r="H81" s="47"/>
    </row>
    <row r="82" spans="3:8" x14ac:dyDescent="0.25">
      <c r="C82" s="47"/>
      <c r="D82" s="47"/>
      <c r="E82" s="47"/>
      <c r="F82" s="47"/>
      <c r="G82" s="47"/>
      <c r="H82" s="47"/>
    </row>
    <row r="83" spans="3:8" x14ac:dyDescent="0.25">
      <c r="C83" s="48" t="s">
        <v>64</v>
      </c>
      <c r="D83" s="47"/>
      <c r="E83" s="47"/>
      <c r="F83" s="47"/>
      <c r="G83" s="47"/>
      <c r="H83" s="47"/>
    </row>
    <row r="84" spans="3:8" x14ac:dyDescent="0.25">
      <c r="C84" s="48"/>
      <c r="D84" s="47"/>
      <c r="E84" s="47"/>
      <c r="F84" s="47"/>
      <c r="G84" s="47"/>
      <c r="H84" s="47"/>
    </row>
    <row r="85" spans="3:8" x14ac:dyDescent="0.25">
      <c r="C85" s="6"/>
      <c r="D85" s="47"/>
      <c r="E85" s="47"/>
      <c r="F85" s="47"/>
      <c r="G85" s="47"/>
      <c r="H85" s="47"/>
    </row>
    <row r="86" spans="3:8" x14ac:dyDescent="0.25">
      <c r="C86" s="1" t="s">
        <v>65</v>
      </c>
      <c r="D86" s="47"/>
      <c r="E86" s="47"/>
      <c r="F86" s="47"/>
      <c r="G86" s="47"/>
      <c r="H86" s="47"/>
    </row>
    <row r="87" spans="3:8" x14ac:dyDescent="0.25">
      <c r="C87" s="51"/>
      <c r="D87" s="52"/>
      <c r="E87" s="52"/>
      <c r="F87" s="52"/>
      <c r="G87" s="52"/>
      <c r="H87" s="52"/>
    </row>
    <row r="88" spans="3:8" x14ac:dyDescent="0.25">
      <c r="C88" s="53" t="s">
        <v>20</v>
      </c>
      <c r="D88" s="54"/>
      <c r="E88" s="54"/>
      <c r="F88" s="54"/>
      <c r="G88" s="54"/>
      <c r="H88" s="54"/>
    </row>
    <row r="89" spans="3:8" x14ac:dyDescent="0.25">
      <c r="C89" s="55">
        <v>3.5000000000000003E-2</v>
      </c>
      <c r="D89" s="56">
        <v>18.899999999999999</v>
      </c>
      <c r="E89" s="56">
        <v>17.2</v>
      </c>
      <c r="F89" s="56">
        <v>16.899999999999999</v>
      </c>
      <c r="G89" s="56">
        <v>15.3</v>
      </c>
      <c r="H89" s="56">
        <v>10.5</v>
      </c>
    </row>
    <row r="90" spans="3:8" x14ac:dyDescent="0.25">
      <c r="C90" s="55">
        <v>0.05</v>
      </c>
      <c r="D90" s="56">
        <v>15.7</v>
      </c>
      <c r="E90" s="56">
        <v>14.5</v>
      </c>
      <c r="F90" s="56">
        <v>14.3</v>
      </c>
      <c r="G90" s="56">
        <v>13.2</v>
      </c>
      <c r="H90" s="56">
        <v>9.5</v>
      </c>
    </row>
    <row r="91" spans="3:8" x14ac:dyDescent="0.25">
      <c r="C91" s="6"/>
      <c r="D91" s="47"/>
      <c r="E91" s="47"/>
      <c r="F91" s="47"/>
      <c r="G91" s="47"/>
      <c r="H91" s="47"/>
    </row>
    <row r="92" spans="3:8" x14ac:dyDescent="0.25">
      <c r="C92" s="6" t="s">
        <v>66</v>
      </c>
      <c r="D92" s="47"/>
      <c r="E92" s="47"/>
      <c r="F92" s="47"/>
      <c r="G92" s="47"/>
      <c r="H92" s="47"/>
    </row>
    <row r="93" spans="3:8" x14ac:dyDescent="0.25">
      <c r="C93" s="51"/>
      <c r="D93" s="57" t="s">
        <v>67</v>
      </c>
      <c r="E93" s="57" t="s">
        <v>68</v>
      </c>
      <c r="F93" s="57" t="s">
        <v>67</v>
      </c>
      <c r="G93" s="57" t="s">
        <v>69</v>
      </c>
      <c r="H93" s="47"/>
    </row>
    <row r="94" spans="3:8" x14ac:dyDescent="0.25">
      <c r="C94" s="58"/>
      <c r="D94" s="56">
        <v>15</v>
      </c>
      <c r="E94" s="56">
        <v>16.399999999999999</v>
      </c>
      <c r="F94" s="56">
        <v>12</v>
      </c>
      <c r="G94" s="56">
        <v>17.5</v>
      </c>
      <c r="H94" s="47"/>
    </row>
    <row r="95" spans="3:8" x14ac:dyDescent="0.25">
      <c r="C95" s="58"/>
      <c r="D95" s="56">
        <v>16</v>
      </c>
      <c r="E95" s="56">
        <v>15.8</v>
      </c>
      <c r="F95" s="56">
        <v>13</v>
      </c>
      <c r="G95" s="56">
        <v>16.8</v>
      </c>
      <c r="H95" s="47"/>
    </row>
    <row r="96" spans="3:8" x14ac:dyDescent="0.25">
      <c r="C96" s="58"/>
      <c r="D96" s="56">
        <v>17</v>
      </c>
      <c r="E96" s="56">
        <v>15.1</v>
      </c>
      <c r="F96" s="56">
        <v>14</v>
      </c>
      <c r="G96" s="56">
        <v>16.100000000000001</v>
      </c>
      <c r="H96" s="47"/>
    </row>
    <row r="97" spans="3:8" x14ac:dyDescent="0.25">
      <c r="C97" s="58"/>
      <c r="D97" s="56">
        <v>18</v>
      </c>
      <c r="E97" s="56">
        <v>14.5</v>
      </c>
      <c r="F97" s="56">
        <v>15</v>
      </c>
      <c r="G97" s="56">
        <v>15.5</v>
      </c>
      <c r="H97" s="47"/>
    </row>
    <row r="98" spans="3:8" x14ac:dyDescent="0.25">
      <c r="C98" s="58"/>
      <c r="D98" s="56">
        <v>19</v>
      </c>
      <c r="E98" s="56">
        <v>13.9</v>
      </c>
      <c r="F98" s="56">
        <v>16</v>
      </c>
      <c r="G98" s="56">
        <v>14.8</v>
      </c>
      <c r="H98" s="47"/>
    </row>
    <row r="99" spans="3:8" x14ac:dyDescent="0.25">
      <c r="C99" s="58"/>
      <c r="D99" s="56">
        <v>20</v>
      </c>
      <c r="E99" s="56">
        <v>13.3</v>
      </c>
      <c r="F99" s="56">
        <v>17</v>
      </c>
      <c r="G99" s="56">
        <v>14.2</v>
      </c>
      <c r="H99" s="47"/>
    </row>
    <row r="100" spans="3:8" x14ac:dyDescent="0.25">
      <c r="C100" s="58"/>
      <c r="D100" s="56">
        <v>21</v>
      </c>
      <c r="E100" s="56">
        <v>12.7</v>
      </c>
      <c r="F100" s="56">
        <v>18</v>
      </c>
      <c r="G100" s="56">
        <v>13.5</v>
      </c>
      <c r="H100" s="47"/>
    </row>
    <row r="101" spans="3:8" x14ac:dyDescent="0.25">
      <c r="C101" s="58"/>
      <c r="D101" s="56">
        <v>22</v>
      </c>
      <c r="E101" s="56">
        <v>12.1</v>
      </c>
      <c r="F101" s="56">
        <v>19</v>
      </c>
      <c r="G101" s="56">
        <v>12.9</v>
      </c>
      <c r="H101" s="47"/>
    </row>
    <row r="102" spans="3:8" x14ac:dyDescent="0.25">
      <c r="C102" s="58"/>
      <c r="D102" s="56">
        <v>23</v>
      </c>
      <c r="E102" s="56">
        <v>11.6</v>
      </c>
      <c r="F102" s="56">
        <v>20</v>
      </c>
      <c r="G102" s="56">
        <v>12.3</v>
      </c>
      <c r="H102" s="47"/>
    </row>
    <row r="103" spans="3:8" x14ac:dyDescent="0.25">
      <c r="C103" s="58"/>
      <c r="D103" s="56">
        <v>24</v>
      </c>
      <c r="E103" s="59">
        <v>11</v>
      </c>
      <c r="F103" s="56">
        <v>21</v>
      </c>
      <c r="G103" s="56">
        <v>11.8</v>
      </c>
      <c r="H103" s="47"/>
    </row>
    <row r="104" spans="3:8" x14ac:dyDescent="0.25">
      <c r="C104" s="60"/>
      <c r="D104" s="56">
        <v>25</v>
      </c>
      <c r="E104" s="56">
        <v>10.5</v>
      </c>
      <c r="F104" s="56">
        <v>22</v>
      </c>
      <c r="G104" s="56">
        <v>11.2</v>
      </c>
      <c r="H104" s="47"/>
    </row>
    <row r="105" spans="3:8" x14ac:dyDescent="0.25">
      <c r="C105" s="6"/>
      <c r="D105" s="47"/>
      <c r="E105" s="47"/>
      <c r="F105" s="47"/>
      <c r="G105" s="47"/>
      <c r="H105" s="47"/>
    </row>
    <row r="106" spans="3:8" x14ac:dyDescent="0.25">
      <c r="C106" s="61"/>
      <c r="D106" s="52"/>
      <c r="E106" s="47"/>
      <c r="F106" s="47"/>
      <c r="G106" s="47"/>
      <c r="H106" s="47"/>
    </row>
    <row r="107" spans="3:8" x14ac:dyDescent="0.25">
      <c r="C107" s="62"/>
      <c r="D107" s="54">
        <v>13.3</v>
      </c>
      <c r="E107" s="47"/>
      <c r="F107" s="47"/>
      <c r="G107" s="47"/>
      <c r="H107" s="47"/>
    </row>
    <row r="108" spans="3:8" x14ac:dyDescent="0.25">
      <c r="C108" s="63"/>
      <c r="D108" s="52"/>
      <c r="E108" s="47"/>
      <c r="F108" s="47"/>
      <c r="G108" s="47"/>
      <c r="H108" s="47"/>
    </row>
    <row r="109" spans="3:8" x14ac:dyDescent="0.25">
      <c r="C109" s="62"/>
      <c r="D109" s="54">
        <v>22.7</v>
      </c>
      <c r="E109" s="47"/>
      <c r="F109" s="47"/>
      <c r="G109" s="47"/>
      <c r="H109" s="47"/>
    </row>
    <row r="110" spans="3:8" x14ac:dyDescent="0.25">
      <c r="C110" s="63"/>
      <c r="D110" s="52"/>
      <c r="E110" s="47"/>
      <c r="F110" s="47"/>
      <c r="G110" s="47"/>
      <c r="H110" s="47"/>
    </row>
    <row r="111" spans="3:8" x14ac:dyDescent="0.25">
      <c r="C111" s="62"/>
      <c r="D111" s="54">
        <v>19.899999999999999</v>
      </c>
      <c r="E111" s="47"/>
      <c r="F111" s="47"/>
      <c r="G111" s="47"/>
      <c r="H111" s="47"/>
    </row>
    <row r="112" spans="3:8" x14ac:dyDescent="0.25">
      <c r="C112" s="64"/>
      <c r="D112" s="65"/>
      <c r="E112" s="47"/>
      <c r="F112" s="47"/>
      <c r="G112" s="47"/>
      <c r="H112" s="47"/>
    </row>
    <row r="113" spans="2:26" x14ac:dyDescent="0.25">
      <c r="C113" s="21"/>
      <c r="D113" s="66">
        <v>11.8</v>
      </c>
    </row>
    <row r="115" spans="2:26" x14ac:dyDescent="0.25">
      <c r="B115" s="2" t="s">
        <v>70</v>
      </c>
      <c r="C115" s="5" t="s">
        <v>71</v>
      </c>
      <c r="D115" s="2" t="s">
        <v>72</v>
      </c>
      <c r="L115" s="68"/>
    </row>
    <row r="116" spans="2:26" x14ac:dyDescent="0.25">
      <c r="C116" s="5"/>
      <c r="D116" s="67"/>
      <c r="K116" s="109" t="s">
        <v>70</v>
      </c>
      <c r="L116" s="68" t="s">
        <v>73</v>
      </c>
      <c r="M116" s="69">
        <f>D47</f>
        <v>2700000</v>
      </c>
      <c r="N116" s="70"/>
      <c r="O116" s="68" t="s">
        <v>73</v>
      </c>
      <c r="P116" s="69">
        <f>M116</f>
        <v>2700000</v>
      </c>
      <c r="Q116" s="70"/>
    </row>
    <row r="117" spans="2:26" x14ac:dyDescent="0.25">
      <c r="D117" s="147" t="s">
        <v>74</v>
      </c>
      <c r="E117" s="148"/>
      <c r="F117" s="148"/>
      <c r="G117" s="148"/>
      <c r="H117" s="148"/>
      <c r="I117" s="149"/>
      <c r="L117" s="68" t="s">
        <v>75</v>
      </c>
      <c r="M117" s="69">
        <f>SUM(F39:F44)</f>
        <v>1898000</v>
      </c>
      <c r="N117" s="70"/>
      <c r="O117" s="68" t="s">
        <v>76</v>
      </c>
      <c r="P117" s="69">
        <f>-E34</f>
        <v>-100000</v>
      </c>
      <c r="Q117" s="70"/>
    </row>
    <row r="118" spans="2:26" ht="15.6" customHeight="1" x14ac:dyDescent="0.25">
      <c r="D118" s="150"/>
      <c r="E118" s="151"/>
      <c r="F118" s="151"/>
      <c r="G118" s="151"/>
      <c r="H118" s="151"/>
      <c r="I118" s="152"/>
      <c r="L118" s="68" t="s">
        <v>77</v>
      </c>
      <c r="M118" s="71">
        <f>M117*E22</f>
        <v>189800</v>
      </c>
      <c r="N118" s="70"/>
      <c r="O118" s="68" t="s">
        <v>78</v>
      </c>
      <c r="P118" s="71">
        <f>SUM(H39:H44)</f>
        <v>2586000</v>
      </c>
      <c r="Q118" s="70"/>
    </row>
    <row r="119" spans="2:26" x14ac:dyDescent="0.25">
      <c r="L119" s="68" t="s">
        <v>79</v>
      </c>
      <c r="M119" s="69">
        <f>SUM(M117:M118)</f>
        <v>2087800</v>
      </c>
      <c r="N119" s="70"/>
      <c r="O119" s="68" t="s">
        <v>80</v>
      </c>
      <c r="P119" s="69">
        <f>SUM(P116:P117)-P118</f>
        <v>14000</v>
      </c>
      <c r="Q119" s="70"/>
    </row>
    <row r="120" spans="2:26" x14ac:dyDescent="0.25">
      <c r="D120" s="2" t="s">
        <v>81</v>
      </c>
      <c r="G120" s="86">
        <f>M123</f>
        <v>73920</v>
      </c>
      <c r="L120" s="68" t="s">
        <v>82</v>
      </c>
      <c r="M120" s="69">
        <f>M116-M119</f>
        <v>612200</v>
      </c>
      <c r="N120" s="72"/>
      <c r="O120" s="68" t="s">
        <v>125</v>
      </c>
      <c r="P120" s="73">
        <f>P116/P118</f>
        <v>1.0440835266821347</v>
      </c>
      <c r="Q120" s="68" t="s">
        <v>133</v>
      </c>
    </row>
    <row r="121" spans="2:26" x14ac:dyDescent="0.25">
      <c r="D121" s="2" t="s">
        <v>83</v>
      </c>
      <c r="G121" s="86">
        <f>M124</f>
        <v>73920</v>
      </c>
      <c r="L121" s="68" t="s">
        <v>168</v>
      </c>
      <c r="M121" s="73">
        <f>M116/M119</f>
        <v>1.2932273206245808</v>
      </c>
      <c r="N121" s="68" t="s">
        <v>126</v>
      </c>
      <c r="O121" s="70"/>
      <c r="P121" s="70"/>
      <c r="Q121" s="70"/>
    </row>
    <row r="122" spans="2:26" x14ac:dyDescent="0.25">
      <c r="C122" s="74"/>
      <c r="L122" s="70"/>
      <c r="M122" s="70"/>
      <c r="N122" s="70"/>
      <c r="O122" s="70"/>
      <c r="P122" s="70"/>
      <c r="Q122" s="70"/>
      <c r="R122" s="70"/>
      <c r="S122" s="70"/>
      <c r="T122" s="72"/>
    </row>
    <row r="123" spans="2:26" x14ac:dyDescent="0.25">
      <c r="C123" s="74"/>
      <c r="L123" s="68" t="s">
        <v>84</v>
      </c>
      <c r="M123" s="142">
        <f>SUM(G39:G41)*(1+E21)*(1+E22)</f>
        <v>73920</v>
      </c>
      <c r="N123" s="68" t="s">
        <v>127</v>
      </c>
      <c r="O123" s="72"/>
      <c r="P123" s="70"/>
      <c r="Q123" s="70"/>
      <c r="R123" s="70"/>
      <c r="S123" s="70"/>
      <c r="T123" s="70"/>
    </row>
    <row r="124" spans="2:26" x14ac:dyDescent="0.25">
      <c r="B124" s="2" t="s">
        <v>85</v>
      </c>
      <c r="C124" s="5" t="s">
        <v>86</v>
      </c>
      <c r="D124" s="2" t="s">
        <v>87</v>
      </c>
      <c r="L124" s="68" t="s">
        <v>88</v>
      </c>
      <c r="M124" s="142">
        <f>M123</f>
        <v>73920</v>
      </c>
      <c r="N124" s="68" t="s">
        <v>89</v>
      </c>
      <c r="O124" s="72"/>
      <c r="Q124" s="70"/>
      <c r="R124" s="70"/>
      <c r="S124" s="70"/>
      <c r="T124" s="70"/>
    </row>
    <row r="125" spans="2:26" x14ac:dyDescent="0.25">
      <c r="C125" s="74"/>
      <c r="D125" s="2" t="s">
        <v>90</v>
      </c>
      <c r="N125" s="70"/>
      <c r="Q125" s="70"/>
      <c r="R125" s="70"/>
      <c r="S125" s="70"/>
    </row>
    <row r="126" spans="2:26" x14ac:dyDescent="0.25">
      <c r="C126" s="74"/>
      <c r="Q126" s="70"/>
      <c r="R126" s="70"/>
      <c r="S126" s="70"/>
    </row>
    <row r="127" spans="2:26" ht="15.6" customHeight="1" x14ac:dyDescent="0.25">
      <c r="D127" s="147" t="s">
        <v>74</v>
      </c>
      <c r="E127" s="148"/>
      <c r="F127" s="148"/>
      <c r="G127" s="148"/>
      <c r="H127" s="148"/>
      <c r="I127" s="149"/>
      <c r="K127" s="110" t="s">
        <v>85</v>
      </c>
      <c r="L127" s="116" t="s">
        <v>128</v>
      </c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</row>
    <row r="128" spans="2:26" x14ac:dyDescent="0.25">
      <c r="C128" s="5"/>
      <c r="D128" s="150"/>
      <c r="E128" s="151"/>
      <c r="F128" s="151"/>
      <c r="G128" s="151"/>
      <c r="H128" s="151"/>
      <c r="I128" s="152"/>
      <c r="L128" s="118" t="s">
        <v>171</v>
      </c>
      <c r="M128" s="118" t="s">
        <v>185</v>
      </c>
      <c r="N128" s="118" t="s">
        <v>172</v>
      </c>
      <c r="O128" s="118" t="s">
        <v>173</v>
      </c>
      <c r="P128" s="118" t="s">
        <v>181</v>
      </c>
      <c r="Q128" s="118" t="s">
        <v>174</v>
      </c>
      <c r="R128" s="118" t="s">
        <v>175</v>
      </c>
      <c r="S128" s="118" t="s">
        <v>176</v>
      </c>
      <c r="T128" s="118" t="s">
        <v>182</v>
      </c>
      <c r="U128" s="118" t="s">
        <v>183</v>
      </c>
      <c r="V128" s="118" t="s">
        <v>177</v>
      </c>
      <c r="W128" s="118" t="s">
        <v>178</v>
      </c>
      <c r="X128" s="118" t="s">
        <v>184</v>
      </c>
      <c r="Y128" s="118" t="s">
        <v>179</v>
      </c>
      <c r="Z128" s="118" t="s">
        <v>180</v>
      </c>
    </row>
    <row r="129" spans="3:27" x14ac:dyDescent="0.25">
      <c r="L129" s="117">
        <f>E54</f>
        <v>40</v>
      </c>
      <c r="M129" s="117">
        <f>G54</f>
        <v>11</v>
      </c>
      <c r="N129" s="117">
        <f>E28</f>
        <v>45</v>
      </c>
      <c r="O129" s="117">
        <v>65</v>
      </c>
      <c r="P129" s="124">
        <f>M129+(N129-L129)</f>
        <v>16</v>
      </c>
      <c r="Q129" s="119">
        <f>(1+$E$73)^(L129-O129)</f>
        <v>0.42314698926998884</v>
      </c>
      <c r="R129" s="120">
        <f>G28</f>
        <v>0.1</v>
      </c>
      <c r="S129" s="120">
        <v>1</v>
      </c>
      <c r="T129" s="121">
        <f>$D$63*((1+$E$23)^(N129-L129-1)+(1+$E$23)^(N129-L129-2)+(1+$E$23)^(N129-L129-3))/3</f>
        <v>97281.029029999991</v>
      </c>
      <c r="U129" s="121">
        <f>T129*0.018*P129</f>
        <v>28016.936360639997</v>
      </c>
      <c r="V129" s="119">
        <f>M129/P129</f>
        <v>0.6875</v>
      </c>
      <c r="W129" s="121">
        <f>V129*U129</f>
        <v>19261.643747939997</v>
      </c>
      <c r="X129" s="117">
        <f>$G$89</f>
        <v>15.3</v>
      </c>
      <c r="Y129" s="121">
        <f>X129*W129*S129*R129*Q129</f>
        <v>12470.275037307829</v>
      </c>
      <c r="Z129" s="121">
        <f>Y129/M129</f>
        <v>1133.6613670279844</v>
      </c>
    </row>
    <row r="130" spans="3:27" ht="15.6" customHeight="1" x14ac:dyDescent="0.25">
      <c r="D130" s="75" t="s">
        <v>46</v>
      </c>
      <c r="E130" s="76"/>
      <c r="F130" s="77">
        <f>D80</f>
        <v>2600000</v>
      </c>
      <c r="G130" s="76"/>
      <c r="H130" s="76"/>
      <c r="I130" s="76"/>
      <c r="J130" s="76"/>
      <c r="L130" s="117">
        <f>L129</f>
        <v>40</v>
      </c>
      <c r="M130" s="117">
        <f>M129</f>
        <v>11</v>
      </c>
      <c r="N130" s="117">
        <f>E29</f>
        <v>55</v>
      </c>
      <c r="O130" s="117">
        <v>65</v>
      </c>
      <c r="P130" s="124">
        <f t="shared" ref="P130:P131" si="0">M130+(N130-L130)</f>
        <v>26</v>
      </c>
      <c r="Q130" s="119">
        <f>(1+$E$73)^(L130-O130)</f>
        <v>0.42314698926998884</v>
      </c>
      <c r="R130" s="120">
        <f>G29</f>
        <v>0.05</v>
      </c>
      <c r="S130" s="120">
        <f>S129*(1-R129)</f>
        <v>0.9</v>
      </c>
      <c r="T130" s="121">
        <f>$D$63*((1+$E$23)^(N130-L130-1)+(1+$E$23)^(N130-L130-2)+(1+$E$23)^(N130-L130-3))/3</f>
        <v>130737.568312868</v>
      </c>
      <c r="U130" s="121">
        <f>T130*0.018*P130</f>
        <v>61185.181970422214</v>
      </c>
      <c r="V130" s="119">
        <f t="shared" ref="V130:V131" si="1">M130/P130</f>
        <v>0.42307692307692307</v>
      </c>
      <c r="W130" s="121">
        <f>V130*U130</f>
        <v>25886.038525947861</v>
      </c>
      <c r="X130" s="117">
        <f>$G$89</f>
        <v>15.3</v>
      </c>
      <c r="Y130" s="121">
        <f>X130*W130*S130*R130*Q130</f>
        <v>7541.553094903853</v>
      </c>
      <c r="Z130" s="121">
        <f>Y130/M130</f>
        <v>685.59573590035029</v>
      </c>
    </row>
    <row r="131" spans="3:27" x14ac:dyDescent="0.25">
      <c r="D131" s="76"/>
      <c r="E131" s="76"/>
      <c r="F131" s="76"/>
      <c r="G131" s="76"/>
      <c r="H131" s="76"/>
      <c r="I131" s="76"/>
      <c r="J131" s="76"/>
      <c r="L131" s="117">
        <f>L130</f>
        <v>40</v>
      </c>
      <c r="M131" s="117">
        <f>M130</f>
        <v>11</v>
      </c>
      <c r="N131" s="117">
        <v>60</v>
      </c>
      <c r="O131" s="117">
        <f>N131</f>
        <v>60</v>
      </c>
      <c r="P131" s="124">
        <f t="shared" si="0"/>
        <v>31</v>
      </c>
      <c r="Q131" s="119">
        <f>(1+$E$73)^(L131-O131)</f>
        <v>0.50256588443167061</v>
      </c>
      <c r="R131" s="120">
        <v>1</v>
      </c>
      <c r="S131" s="120">
        <f>S130*(1-R130)</f>
        <v>0.85499999999999998</v>
      </c>
      <c r="T131" s="121">
        <f>$D$63*((1+$E$23)^(N131-L131-1)+(1+$E$23)^(N131-L131-2)+(1+$E$23)^(N131-L131-3))/3</f>
        <v>151560.67348213305</v>
      </c>
      <c r="U131" s="121">
        <f>T131*0.018*P131</f>
        <v>84570.855803030237</v>
      </c>
      <c r="V131" s="119">
        <f t="shared" si="1"/>
        <v>0.35483870967741937</v>
      </c>
      <c r="W131" s="121">
        <f t="shared" ref="W131" si="2">V131*U131</f>
        <v>30009.013349462344</v>
      </c>
      <c r="X131" s="117">
        <f>$E$89</f>
        <v>17.2</v>
      </c>
      <c r="Y131" s="122">
        <f>X131*W131*S131*R131*Q131</f>
        <v>221788.63216095633</v>
      </c>
      <c r="Z131" s="122">
        <f>Y131/M131</f>
        <v>20162.602923723302</v>
      </c>
    </row>
    <row r="132" spans="3:27" x14ac:dyDescent="0.25">
      <c r="D132" s="1" t="s">
        <v>91</v>
      </c>
      <c r="L132" s="117"/>
      <c r="M132" s="123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36">
        <f>SUM(Y129:Y131)</f>
        <v>241800.46029316803</v>
      </c>
      <c r="Z132" s="136">
        <f>SUM(Z129:Z131)</f>
        <v>21981.860026651637</v>
      </c>
    </row>
    <row r="133" spans="3:27" x14ac:dyDescent="0.25">
      <c r="C133" s="5"/>
      <c r="D133" s="2" t="s">
        <v>92</v>
      </c>
    </row>
    <row r="134" spans="3:27" x14ac:dyDescent="0.25">
      <c r="D134" s="78" t="s">
        <v>93</v>
      </c>
      <c r="F134" s="79">
        <f>Y132+Y139</f>
        <v>992861.75741839316</v>
      </c>
      <c r="L134" s="116" t="s">
        <v>130</v>
      </c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93"/>
    </row>
    <row r="135" spans="3:27" x14ac:dyDescent="0.25">
      <c r="D135" s="78" t="s">
        <v>94</v>
      </c>
      <c r="F135" s="79">
        <f>S141</f>
        <v>113424.73669479716</v>
      </c>
      <c r="L135" s="118" t="s">
        <v>171</v>
      </c>
      <c r="M135" s="118" t="s">
        <v>185</v>
      </c>
      <c r="N135" s="118" t="s">
        <v>172</v>
      </c>
      <c r="O135" s="118" t="s">
        <v>173</v>
      </c>
      <c r="P135" s="118" t="s">
        <v>181</v>
      </c>
      <c r="Q135" s="118" t="s">
        <v>174</v>
      </c>
      <c r="R135" s="118" t="s">
        <v>175</v>
      </c>
      <c r="S135" s="118" t="s">
        <v>176</v>
      </c>
      <c r="T135" s="118" t="s">
        <v>182</v>
      </c>
      <c r="U135" s="118" t="s">
        <v>183</v>
      </c>
      <c r="V135" s="118" t="s">
        <v>177</v>
      </c>
      <c r="W135" s="118" t="s">
        <v>178</v>
      </c>
      <c r="X135" s="118" t="s">
        <v>184</v>
      </c>
      <c r="Y135" s="118" t="s">
        <v>179</v>
      </c>
      <c r="Z135" s="118" t="s">
        <v>180</v>
      </c>
    </row>
    <row r="136" spans="3:27" ht="15.6" customHeight="1" x14ac:dyDescent="0.25">
      <c r="D136" s="78" t="s">
        <v>95</v>
      </c>
      <c r="E136" s="76"/>
      <c r="F136" s="79">
        <f>S146</f>
        <v>1505252.0999999999</v>
      </c>
      <c r="G136" s="76"/>
      <c r="H136" s="76"/>
      <c r="I136" s="76"/>
      <c r="J136" s="76"/>
      <c r="L136" s="117">
        <f>E55</f>
        <v>43</v>
      </c>
      <c r="M136" s="124">
        <f>G55</f>
        <v>20</v>
      </c>
      <c r="N136" s="117">
        <f>N129</f>
        <v>45</v>
      </c>
      <c r="O136" s="117">
        <v>65</v>
      </c>
      <c r="P136" s="124">
        <f>M136+(N136-L136)</f>
        <v>22</v>
      </c>
      <c r="Q136" s="119">
        <f>1/(1+$E$73)^(O136-L136)</f>
        <v>0.46915063075606966</v>
      </c>
      <c r="R136" s="120">
        <f>R129</f>
        <v>0.1</v>
      </c>
      <c r="S136" s="120">
        <v>1</v>
      </c>
      <c r="T136" s="121">
        <f>(D64*(1+E23)+D64+E64)/3</f>
        <v>147166.66666666666</v>
      </c>
      <c r="U136" s="121">
        <f>T136*0.018*P136</f>
        <v>58277.999999999993</v>
      </c>
      <c r="V136" s="119">
        <f>M136/P136</f>
        <v>0.90909090909090906</v>
      </c>
      <c r="W136" s="121">
        <f>V136*U136</f>
        <v>52979.999999999993</v>
      </c>
      <c r="X136" s="117">
        <f>$G$89</f>
        <v>15.3</v>
      </c>
      <c r="Y136" s="121">
        <f>X136*W136*S136*R136*Q136</f>
        <v>38029.068638708552</v>
      </c>
      <c r="Z136" s="121">
        <f>Y136/M136</f>
        <v>1901.4534319354275</v>
      </c>
    </row>
    <row r="137" spans="3:27" x14ac:dyDescent="0.25">
      <c r="D137" s="2" t="s">
        <v>96</v>
      </c>
      <c r="E137" s="76"/>
      <c r="F137" s="46">
        <f>F136+F135+F134</f>
        <v>2611538.5941131902</v>
      </c>
      <c r="G137" s="76"/>
      <c r="H137" s="76"/>
      <c r="I137" s="76"/>
      <c r="J137" s="76"/>
      <c r="L137" s="117">
        <f>L136</f>
        <v>43</v>
      </c>
      <c r="M137" s="117">
        <f>M136</f>
        <v>20</v>
      </c>
      <c r="N137" s="117">
        <f>N130</f>
        <v>55</v>
      </c>
      <c r="O137" s="117">
        <v>65</v>
      </c>
      <c r="P137" s="124">
        <f t="shared" ref="P137:P138" si="3">M137+(N137-L137)</f>
        <v>32</v>
      </c>
      <c r="Q137" s="119">
        <f t="shared" ref="Q137:Q138" si="4">1/(1+$E$73)^(O137-L137)</f>
        <v>0.46915063075606966</v>
      </c>
      <c r="R137" s="120">
        <f>R130</f>
        <v>0.05</v>
      </c>
      <c r="S137" s="120">
        <f>S136*(1-R136)</f>
        <v>0.9</v>
      </c>
      <c r="T137" s="121">
        <f t="shared" ref="T137:T138" si="5">$D$64*((1+$E$23)^(N137-L137-1)+(1+$E$23)^(N137-L137-2)+(1+$E$23)^(N137-L137-3))/3</f>
        <v>201646.17169489057</v>
      </c>
      <c r="U137" s="121">
        <f>T137*0.018*P137</f>
        <v>116148.19489625696</v>
      </c>
      <c r="V137" s="119">
        <f t="shared" ref="V137:V138" si="6">M137/P137</f>
        <v>0.625</v>
      </c>
      <c r="W137" s="121">
        <f>V137*U137</f>
        <v>72592.621810160606</v>
      </c>
      <c r="X137" s="117">
        <f>$G$89</f>
        <v>15.3</v>
      </c>
      <c r="Y137" s="121">
        <f>X137*W137*S137*R137*Q137</f>
        <v>23448.157962761125</v>
      </c>
      <c r="Z137" s="121">
        <f>Y137/M137</f>
        <v>1172.4078981380562</v>
      </c>
    </row>
    <row r="138" spans="3:27" x14ac:dyDescent="0.25">
      <c r="D138" s="2" t="s">
        <v>77</v>
      </c>
      <c r="F138" s="79">
        <f>F137*E74</f>
        <v>182807.70158792334</v>
      </c>
      <c r="L138" s="117">
        <f>L137</f>
        <v>43</v>
      </c>
      <c r="M138" s="117">
        <f>M137</f>
        <v>20</v>
      </c>
      <c r="N138" s="117">
        <f>N131</f>
        <v>60</v>
      </c>
      <c r="O138" s="117">
        <f>N138</f>
        <v>60</v>
      </c>
      <c r="P138" s="124">
        <f t="shared" si="3"/>
        <v>37</v>
      </c>
      <c r="Q138" s="119">
        <f t="shared" si="4"/>
        <v>0.55720377943457733</v>
      </c>
      <c r="R138" s="120">
        <f>R131</f>
        <v>1</v>
      </c>
      <c r="S138" s="120">
        <f>S137*(1-R137)</f>
        <v>0.85499999999999998</v>
      </c>
      <c r="T138" s="121">
        <f t="shared" si="5"/>
        <v>233763.17902773313</v>
      </c>
      <c r="U138" s="121">
        <f>T138*0.018*P138</f>
        <v>155686.27723247025</v>
      </c>
      <c r="V138" s="119">
        <f t="shared" si="6"/>
        <v>0.54054054054054057</v>
      </c>
      <c r="W138" s="121">
        <f>V138*U138</f>
        <v>84154.744449983918</v>
      </c>
      <c r="X138" s="117">
        <f>$E$89</f>
        <v>17.2</v>
      </c>
      <c r="Y138" s="122">
        <f>X138*W138*S138*R138*Q138</f>
        <v>689584.07052375551</v>
      </c>
      <c r="Z138" s="122">
        <f>Y138/M138</f>
        <v>34479.203526187775</v>
      </c>
    </row>
    <row r="139" spans="3:27" x14ac:dyDescent="0.25">
      <c r="D139" s="1" t="s">
        <v>97</v>
      </c>
      <c r="F139" s="46">
        <f>F138+F137</f>
        <v>2794346.2957011135</v>
      </c>
      <c r="J139" s="80"/>
      <c r="L139" s="117"/>
      <c r="M139" s="123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36">
        <f>SUM(Y136:Y138)</f>
        <v>751061.29712522519</v>
      </c>
      <c r="Z139" s="136">
        <f>SUM(Z136:Z138)</f>
        <v>37553.064856261262</v>
      </c>
    </row>
    <row r="140" spans="3:27" x14ac:dyDescent="0.25">
      <c r="M140" s="126" t="s">
        <v>38</v>
      </c>
      <c r="N140" s="118" t="s">
        <v>171</v>
      </c>
      <c r="O140" s="118" t="s">
        <v>173</v>
      </c>
      <c r="P140" s="118" t="s">
        <v>186</v>
      </c>
      <c r="Q140" s="118" t="s">
        <v>174</v>
      </c>
      <c r="R140" s="118" t="s">
        <v>187</v>
      </c>
      <c r="S140" s="118" t="s">
        <v>179</v>
      </c>
    </row>
    <row r="141" spans="3:27" x14ac:dyDescent="0.25">
      <c r="F141" s="2" t="s">
        <v>98</v>
      </c>
      <c r="G141" s="81" t="s">
        <v>99</v>
      </c>
      <c r="L141" s="116" t="s">
        <v>189</v>
      </c>
      <c r="M141" s="116" t="str">
        <f>D57</f>
        <v>Deferred</v>
      </c>
      <c r="N141" s="117">
        <f>E57</f>
        <v>51</v>
      </c>
      <c r="O141" s="117">
        <f>65</f>
        <v>65</v>
      </c>
      <c r="P141" s="121">
        <f>F57*12</f>
        <v>12000</v>
      </c>
      <c r="Q141" s="119">
        <f>1/(1+$E$73)^(O141-N141)</f>
        <v>0.61778179027667302</v>
      </c>
      <c r="R141" s="117">
        <f>G89</f>
        <v>15.3</v>
      </c>
      <c r="S141" s="136">
        <f>P141*Q141*R141</f>
        <v>113424.73669479716</v>
      </c>
      <c r="T141" s="116"/>
    </row>
    <row r="142" spans="3:27" x14ac:dyDescent="0.25">
      <c r="D142" s="2" t="s">
        <v>100</v>
      </c>
      <c r="F142" s="46">
        <f>F130-F137</f>
        <v>-11538.594113190193</v>
      </c>
      <c r="G142" s="46">
        <f>F130-F139</f>
        <v>-194346.29570111353</v>
      </c>
    </row>
    <row r="143" spans="3:27" x14ac:dyDescent="0.25">
      <c r="D143" s="2" t="s">
        <v>101</v>
      </c>
      <c r="F143" s="79">
        <f>Z132+Z139</f>
        <v>59534.924882912899</v>
      </c>
      <c r="G143" s="79">
        <f>F143*(1+E74)</f>
        <v>63702.369624716805</v>
      </c>
      <c r="L143" s="116" t="s">
        <v>188</v>
      </c>
      <c r="M143" s="116" t="str">
        <f>D56</f>
        <v>Retired</v>
      </c>
      <c r="N143" s="117">
        <f>E56</f>
        <v>55</v>
      </c>
      <c r="O143" s="117">
        <f>N143</f>
        <v>55</v>
      </c>
      <c r="P143" s="121">
        <f>G56*0.018*AVERAGE(E65:G65)*(1-0.03*(60-O143))</f>
        <v>32588.999999999993</v>
      </c>
      <c r="Q143" s="119">
        <f>1/(1+$E$73)^(O143-N143)</f>
        <v>1</v>
      </c>
      <c r="R143" s="117">
        <f>D89</f>
        <v>18.899999999999999</v>
      </c>
      <c r="S143" s="121">
        <f t="shared" ref="S143:S145" si="7">P143*Q143*R143</f>
        <v>615932.09999999986</v>
      </c>
      <c r="T143" s="116"/>
    </row>
    <row r="144" spans="3:27" x14ac:dyDescent="0.25">
      <c r="L144" s="116" t="s">
        <v>190</v>
      </c>
      <c r="M144" s="116" t="str">
        <f>D58</f>
        <v>Retired</v>
      </c>
      <c r="N144" s="117">
        <f>E58</f>
        <v>61</v>
      </c>
      <c r="O144" s="117">
        <f>N144</f>
        <v>61</v>
      </c>
      <c r="P144" s="121">
        <f>F58*12*(1-0.06*(65-O144))</f>
        <v>22800</v>
      </c>
      <c r="Q144" s="119">
        <f t="shared" ref="Q144:Q145" si="8">1/(1+$E$73)^(O144-N144)</f>
        <v>1</v>
      </c>
      <c r="R144" s="117">
        <f>F89</f>
        <v>16.899999999999999</v>
      </c>
      <c r="S144" s="121">
        <f t="shared" si="7"/>
        <v>385319.99999999994</v>
      </c>
      <c r="T144" s="116"/>
    </row>
    <row r="145" spans="2:26" x14ac:dyDescent="0.25">
      <c r="B145" s="2" t="s">
        <v>102</v>
      </c>
      <c r="C145" s="2" t="s">
        <v>103</v>
      </c>
      <c r="D145" s="2" t="s">
        <v>104</v>
      </c>
      <c r="L145" s="116" t="s">
        <v>191</v>
      </c>
      <c r="M145" s="116" t="str">
        <f>D59</f>
        <v>Retired</v>
      </c>
      <c r="N145" s="117">
        <f>E59</f>
        <v>76</v>
      </c>
      <c r="O145" s="117">
        <f>N145</f>
        <v>76</v>
      </c>
      <c r="P145" s="121">
        <f>F59*12</f>
        <v>48000</v>
      </c>
      <c r="Q145" s="119">
        <f t="shared" si="8"/>
        <v>1</v>
      </c>
      <c r="R145" s="117">
        <f>H89</f>
        <v>10.5</v>
      </c>
      <c r="S145" s="122">
        <f t="shared" si="7"/>
        <v>504000</v>
      </c>
    </row>
    <row r="146" spans="2:26" x14ac:dyDescent="0.25">
      <c r="S146" s="136">
        <f>SUM(S143:S145)</f>
        <v>1505252.0999999999</v>
      </c>
    </row>
    <row r="147" spans="2:26" x14ac:dyDescent="0.25">
      <c r="D147" s="147" t="s">
        <v>74</v>
      </c>
      <c r="E147" s="148"/>
      <c r="F147" s="148"/>
      <c r="G147" s="148"/>
      <c r="H147" s="148"/>
      <c r="I147" s="149"/>
      <c r="K147" s="111" t="s">
        <v>102</v>
      </c>
      <c r="L147" s="116" t="s">
        <v>128</v>
      </c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</row>
    <row r="148" spans="2:26" x14ac:dyDescent="0.25">
      <c r="D148" s="150"/>
      <c r="E148" s="151"/>
      <c r="F148" s="151"/>
      <c r="G148" s="151"/>
      <c r="H148" s="151"/>
      <c r="I148" s="152"/>
      <c r="L148" s="118" t="s">
        <v>171</v>
      </c>
      <c r="M148" s="118" t="s">
        <v>185</v>
      </c>
      <c r="N148" s="118" t="s">
        <v>172</v>
      </c>
      <c r="O148" s="118" t="s">
        <v>173</v>
      </c>
      <c r="P148" s="118" t="s">
        <v>181</v>
      </c>
      <c r="Q148" s="118" t="s">
        <v>174</v>
      </c>
      <c r="R148" s="118" t="s">
        <v>175</v>
      </c>
      <c r="S148" s="118" t="s">
        <v>176</v>
      </c>
      <c r="T148" s="118" t="s">
        <v>182</v>
      </c>
      <c r="U148" s="118" t="s">
        <v>183</v>
      </c>
      <c r="V148" s="118" t="s">
        <v>177</v>
      </c>
      <c r="W148" s="118" t="s">
        <v>178</v>
      </c>
      <c r="X148" s="118" t="s">
        <v>184</v>
      </c>
      <c r="Y148" s="118" t="s">
        <v>179</v>
      </c>
      <c r="Z148" s="118" t="s">
        <v>180</v>
      </c>
    </row>
    <row r="149" spans="2:26" x14ac:dyDescent="0.25">
      <c r="D149" s="82"/>
      <c r="E149" s="82"/>
      <c r="F149" s="82"/>
      <c r="G149" s="82"/>
      <c r="H149" s="82"/>
      <c r="I149" s="82"/>
      <c r="L149" s="117">
        <f>L129</f>
        <v>40</v>
      </c>
      <c r="M149" s="117">
        <f t="shared" ref="M149:P149" si="9">M129</f>
        <v>11</v>
      </c>
      <c r="N149" s="117">
        <f t="shared" si="9"/>
        <v>45</v>
      </c>
      <c r="O149" s="117">
        <f t="shared" si="9"/>
        <v>65</v>
      </c>
      <c r="P149" s="117">
        <f t="shared" si="9"/>
        <v>16</v>
      </c>
      <c r="Q149" s="119">
        <f>(1+$E$21)^(L149-O149)</f>
        <v>0.29530277169776209</v>
      </c>
      <c r="R149" s="120">
        <f t="shared" ref="R149:U149" si="10">R129</f>
        <v>0.1</v>
      </c>
      <c r="S149" s="120">
        <f t="shared" si="10"/>
        <v>1</v>
      </c>
      <c r="T149" s="121">
        <f t="shared" si="10"/>
        <v>97281.029029999991</v>
      </c>
      <c r="U149" s="121">
        <f t="shared" si="10"/>
        <v>28016.936360639997</v>
      </c>
      <c r="V149" s="119">
        <f>M149/P149</f>
        <v>0.6875</v>
      </c>
      <c r="W149" s="121">
        <f>V149*U149</f>
        <v>19261.643747939997</v>
      </c>
      <c r="X149" s="117">
        <f>G90</f>
        <v>13.2</v>
      </c>
      <c r="Y149" s="121">
        <f>X149*W149*S149*R149*Q149</f>
        <v>7508.1821578124482</v>
      </c>
      <c r="Z149" s="121">
        <f>Y149/M149</f>
        <v>682.56201434658624</v>
      </c>
    </row>
    <row r="150" spans="2:26" x14ac:dyDescent="0.25">
      <c r="D150" s="2" t="s">
        <v>105</v>
      </c>
      <c r="H150" s="46">
        <f>D47-SUM(F39:F44)</f>
        <v>802000</v>
      </c>
      <c r="L150" s="117">
        <f t="shared" ref="L150:P150" si="11">L130</f>
        <v>40</v>
      </c>
      <c r="M150" s="117">
        <f t="shared" si="11"/>
        <v>11</v>
      </c>
      <c r="N150" s="117">
        <f t="shared" si="11"/>
        <v>55</v>
      </c>
      <c r="O150" s="117">
        <f t="shared" si="11"/>
        <v>65</v>
      </c>
      <c r="P150" s="117">
        <f t="shared" si="11"/>
        <v>26</v>
      </c>
      <c r="Q150" s="119">
        <f t="shared" ref="Q150:Q151" si="12">(1+$E$21)^(L150-O150)</f>
        <v>0.29530277169776209</v>
      </c>
      <c r="R150" s="120">
        <f t="shared" ref="R150:U150" si="13">R130</f>
        <v>0.05</v>
      </c>
      <c r="S150" s="120">
        <f t="shared" si="13"/>
        <v>0.9</v>
      </c>
      <c r="T150" s="121">
        <f t="shared" si="13"/>
        <v>130737.568312868</v>
      </c>
      <c r="U150" s="121">
        <f t="shared" si="13"/>
        <v>61185.181970422214</v>
      </c>
      <c r="V150" s="119">
        <f t="shared" ref="V150:V151" si="14">M150/P150</f>
        <v>0.42307692307692307</v>
      </c>
      <c r="W150" s="121">
        <f>V150*U150</f>
        <v>25886.038525947861</v>
      </c>
      <c r="X150" s="117">
        <f>X149</f>
        <v>13.2</v>
      </c>
      <c r="Y150" s="121">
        <f>X150*W150*S150*R150*Q150</f>
        <v>4540.6660414425487</v>
      </c>
      <c r="Z150" s="121">
        <f>Y150/M150</f>
        <v>412.78782194932262</v>
      </c>
    </row>
    <row r="151" spans="2:26" x14ac:dyDescent="0.25">
      <c r="L151" s="117">
        <f t="shared" ref="L151:P151" si="15">L131</f>
        <v>40</v>
      </c>
      <c r="M151" s="117">
        <f t="shared" si="15"/>
        <v>11</v>
      </c>
      <c r="N151" s="117">
        <f t="shared" si="15"/>
        <v>60</v>
      </c>
      <c r="O151" s="117">
        <f t="shared" si="15"/>
        <v>60</v>
      </c>
      <c r="P151" s="117">
        <f t="shared" si="15"/>
        <v>31</v>
      </c>
      <c r="Q151" s="119">
        <f t="shared" si="12"/>
        <v>0.37688948287300061</v>
      </c>
      <c r="R151" s="120">
        <f t="shared" ref="R151:U151" si="16">R131</f>
        <v>1</v>
      </c>
      <c r="S151" s="120">
        <f t="shared" si="16"/>
        <v>0.85499999999999998</v>
      </c>
      <c r="T151" s="121">
        <f t="shared" si="16"/>
        <v>151560.67348213305</v>
      </c>
      <c r="U151" s="121">
        <f t="shared" si="16"/>
        <v>84570.855803030237</v>
      </c>
      <c r="V151" s="119">
        <f t="shared" si="14"/>
        <v>0.35483870967741937</v>
      </c>
      <c r="W151" s="121">
        <f t="shared" ref="W151" si="17">V151*U151</f>
        <v>30009.013349462344</v>
      </c>
      <c r="X151" s="117">
        <f>E90</f>
        <v>14.5</v>
      </c>
      <c r="Y151" s="122">
        <f>X151*W151*S151*R151*Q151</f>
        <v>140216.73567901013</v>
      </c>
      <c r="Z151" s="122">
        <f>Y151/M151</f>
        <v>12746.975970819103</v>
      </c>
    </row>
    <row r="152" spans="2:26" x14ac:dyDescent="0.25">
      <c r="D152" s="2" t="s">
        <v>106</v>
      </c>
      <c r="L152" s="117"/>
      <c r="M152" s="123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25">
        <f>SUM(Y149:Y151)</f>
        <v>152265.58387826514</v>
      </c>
      <c r="Z152" s="125">
        <f>SUM(Z149:Z151)</f>
        <v>13842.325807115012</v>
      </c>
    </row>
    <row r="153" spans="2:26" x14ac:dyDescent="0.25">
      <c r="D153" s="83" t="s">
        <v>151</v>
      </c>
      <c r="E153" s="84"/>
      <c r="F153" s="84"/>
      <c r="G153" s="85"/>
      <c r="H153" s="79">
        <f>O181</f>
        <v>40100</v>
      </c>
    </row>
    <row r="154" spans="2:26" x14ac:dyDescent="0.25">
      <c r="D154" s="83" t="s">
        <v>152</v>
      </c>
      <c r="E154" s="84"/>
      <c r="F154" s="84"/>
      <c r="G154" s="85"/>
      <c r="H154" s="79">
        <f>O179</f>
        <v>6720</v>
      </c>
      <c r="L154" s="116" t="s">
        <v>130</v>
      </c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</row>
    <row r="155" spans="2:26" x14ac:dyDescent="0.25">
      <c r="D155" s="83"/>
      <c r="E155" s="84"/>
      <c r="F155" s="84"/>
      <c r="G155" s="85"/>
      <c r="H155" s="79"/>
      <c r="L155" s="118" t="s">
        <v>171</v>
      </c>
      <c r="M155" s="118" t="s">
        <v>185</v>
      </c>
      <c r="N155" s="118" t="s">
        <v>172</v>
      </c>
      <c r="O155" s="118" t="s">
        <v>173</v>
      </c>
      <c r="P155" s="118" t="s">
        <v>181</v>
      </c>
      <c r="Q155" s="118" t="s">
        <v>174</v>
      </c>
      <c r="R155" s="118" t="s">
        <v>175</v>
      </c>
      <c r="S155" s="118" t="s">
        <v>176</v>
      </c>
      <c r="T155" s="118" t="s">
        <v>182</v>
      </c>
      <c r="U155" s="118" t="s">
        <v>183</v>
      </c>
      <c r="V155" s="118" t="s">
        <v>177</v>
      </c>
      <c r="W155" s="118" t="s">
        <v>178</v>
      </c>
      <c r="X155" s="118" t="s">
        <v>184</v>
      </c>
      <c r="Y155" s="118" t="s">
        <v>179</v>
      </c>
      <c r="Z155" s="118" t="s">
        <v>180</v>
      </c>
    </row>
    <row r="156" spans="2:26" x14ac:dyDescent="0.25">
      <c r="D156" s="83" t="s">
        <v>153</v>
      </c>
      <c r="E156" s="84"/>
      <c r="F156" s="84"/>
      <c r="G156" s="85"/>
      <c r="H156" s="79">
        <f>O186</f>
        <v>-259720</v>
      </c>
      <c r="L156" s="117">
        <f>L136</f>
        <v>43</v>
      </c>
      <c r="M156" s="124">
        <f>M136</f>
        <v>20</v>
      </c>
      <c r="N156" s="117">
        <f>N149</f>
        <v>45</v>
      </c>
      <c r="O156" s="117">
        <v>65</v>
      </c>
      <c r="P156" s="124">
        <f>M156+(N156-L156)</f>
        <v>22</v>
      </c>
      <c r="Q156" s="119">
        <f>(1+$E$21)^(L156-O156)</f>
        <v>0.3418498710866219</v>
      </c>
      <c r="R156" s="120">
        <f>R149</f>
        <v>0.1</v>
      </c>
      <c r="S156" s="120">
        <v>1</v>
      </c>
      <c r="T156" s="121">
        <f t="shared" ref="T156:U156" si="18">T136</f>
        <v>147166.66666666666</v>
      </c>
      <c r="U156" s="121">
        <f t="shared" si="18"/>
        <v>58277.999999999993</v>
      </c>
      <c r="V156" s="119">
        <f>M156/P156</f>
        <v>0.90909090909090906</v>
      </c>
      <c r="W156" s="121">
        <f>V156*U156</f>
        <v>52979.999999999993</v>
      </c>
      <c r="X156" s="117">
        <f>X149</f>
        <v>13.2</v>
      </c>
      <c r="Y156" s="121">
        <f>X156*W156*S156*R156*Q156</f>
        <v>23906.792144623378</v>
      </c>
      <c r="Z156" s="121">
        <f>Y156/M156</f>
        <v>1195.3396072311689</v>
      </c>
    </row>
    <row r="157" spans="2:26" x14ac:dyDescent="0.25">
      <c r="D157" s="83" t="s">
        <v>132</v>
      </c>
      <c r="E157" s="84"/>
      <c r="F157" s="84"/>
      <c r="G157" s="85"/>
      <c r="H157" s="79">
        <f>O182</f>
        <v>-26604.966809703299</v>
      </c>
      <c r="L157" s="117">
        <f>L156</f>
        <v>43</v>
      </c>
      <c r="M157" s="117">
        <f>M156</f>
        <v>20</v>
      </c>
      <c r="N157" s="117">
        <f>N150</f>
        <v>55</v>
      </c>
      <c r="O157" s="117">
        <v>65</v>
      </c>
      <c r="P157" s="124">
        <f t="shared" ref="P157:P158" si="19">M157+(N157-L157)</f>
        <v>32</v>
      </c>
      <c r="Q157" s="119">
        <f t="shared" ref="Q157:Q158" si="20">(1+$E$21)^(L157-O157)</f>
        <v>0.3418498710866219</v>
      </c>
      <c r="R157" s="120">
        <f>R150</f>
        <v>0.05</v>
      </c>
      <c r="S157" s="120">
        <f>S156*(1-R156)</f>
        <v>0.9</v>
      </c>
      <c r="T157" s="121">
        <f t="shared" ref="T157:U157" si="21">T137</f>
        <v>201646.17169489057</v>
      </c>
      <c r="U157" s="121">
        <f t="shared" si="21"/>
        <v>116148.19489625696</v>
      </c>
      <c r="V157" s="119">
        <f t="shared" ref="V157:V158" si="22">M157/P157</f>
        <v>0.625</v>
      </c>
      <c r="W157" s="121">
        <f>V157*U157</f>
        <v>72592.621810160606</v>
      </c>
      <c r="X157" s="117">
        <f>X156</f>
        <v>13.2</v>
      </c>
      <c r="Y157" s="121">
        <f>X157*W157*S157*R157*Q157</f>
        <v>14740.572374140122</v>
      </c>
      <c r="Z157" s="121">
        <f>Y157/M157</f>
        <v>737.0286187070061</v>
      </c>
    </row>
    <row r="158" spans="2:26" x14ac:dyDescent="0.25">
      <c r="D158" s="83" t="s">
        <v>129</v>
      </c>
      <c r="E158" s="84"/>
      <c r="F158" s="84"/>
      <c r="G158" s="85"/>
      <c r="H158" s="79">
        <f>O184</f>
        <v>29612.700000000128</v>
      </c>
      <c r="L158" s="117">
        <f>L157</f>
        <v>43</v>
      </c>
      <c r="M158" s="117">
        <f>M157</f>
        <v>20</v>
      </c>
      <c r="N158" s="117">
        <f>N151</f>
        <v>60</v>
      </c>
      <c r="O158" s="117">
        <f>N158</f>
        <v>60</v>
      </c>
      <c r="P158" s="124">
        <f t="shared" si="19"/>
        <v>37</v>
      </c>
      <c r="Q158" s="119">
        <f t="shared" si="20"/>
        <v>0.43629668761085727</v>
      </c>
      <c r="R158" s="120">
        <f>R151</f>
        <v>1</v>
      </c>
      <c r="S158" s="120">
        <f>S157*(1-R157)</f>
        <v>0.85499999999999998</v>
      </c>
      <c r="T158" s="121">
        <f t="shared" ref="T158:U158" si="23">T138</f>
        <v>233763.17902773313</v>
      </c>
      <c r="U158" s="121">
        <f t="shared" si="23"/>
        <v>155686.27723247025</v>
      </c>
      <c r="V158" s="119">
        <f t="shared" si="22"/>
        <v>0.54054054054054057</v>
      </c>
      <c r="W158" s="121">
        <f>V158*U158</f>
        <v>84154.744449983918</v>
      </c>
      <c r="X158" s="117">
        <f>X151</f>
        <v>14.5</v>
      </c>
      <c r="Y158" s="122">
        <f>X158*W158*S158*R158*Q158</f>
        <v>455192.01841267466</v>
      </c>
      <c r="Z158" s="122">
        <f>Y158/M158</f>
        <v>22759.600920633733</v>
      </c>
    </row>
    <row r="159" spans="2:26" x14ac:dyDescent="0.25">
      <c r="D159" s="83" t="s">
        <v>154</v>
      </c>
      <c r="E159" s="84"/>
      <c r="F159" s="84"/>
      <c r="G159" s="85"/>
      <c r="H159" s="79">
        <f>O183</f>
        <v>-11700</v>
      </c>
      <c r="L159" s="117"/>
      <c r="M159" s="123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25">
        <f>SUM(Y156:Y158)</f>
        <v>493839.38293143816</v>
      </c>
      <c r="Z159" s="125">
        <f>SUM(Z156:Z158)</f>
        <v>24691.969146571908</v>
      </c>
    </row>
    <row r="160" spans="2:26" x14ac:dyDescent="0.25">
      <c r="D160" s="83" t="s">
        <v>155</v>
      </c>
      <c r="E160" s="84"/>
      <c r="F160" s="84"/>
      <c r="G160" s="85"/>
      <c r="H160" s="79">
        <f>O187</f>
        <v>-202.76375449029729</v>
      </c>
      <c r="M160" s="126" t="s">
        <v>38</v>
      </c>
      <c r="N160" s="118" t="s">
        <v>171</v>
      </c>
      <c r="O160" s="118" t="s">
        <v>173</v>
      </c>
      <c r="P160" s="118" t="s">
        <v>186</v>
      </c>
      <c r="Q160" s="118" t="s">
        <v>174</v>
      </c>
      <c r="R160" s="118" t="s">
        <v>187</v>
      </c>
      <c r="S160" s="118" t="s">
        <v>179</v>
      </c>
    </row>
    <row r="161" spans="2:38" x14ac:dyDescent="0.25">
      <c r="D161" s="83"/>
      <c r="E161" s="84"/>
      <c r="F161" s="84"/>
      <c r="G161" s="85"/>
      <c r="H161" s="79"/>
      <c r="L161" s="116" t="s">
        <v>189</v>
      </c>
      <c r="M161" s="116" t="str">
        <f>M141</f>
        <v>Deferred</v>
      </c>
      <c r="N161" s="117">
        <f>N141</f>
        <v>51</v>
      </c>
      <c r="O161" s="117">
        <f>O141</f>
        <v>65</v>
      </c>
      <c r="P161" s="121">
        <f>P141</f>
        <v>12000</v>
      </c>
      <c r="Q161" s="119">
        <f>1/(1+$E$21)^(O161-N161)</f>
        <v>0.50506795299551888</v>
      </c>
      <c r="R161" s="117">
        <f>G90</f>
        <v>13.2</v>
      </c>
      <c r="S161" s="125">
        <f>P161*Q161*R161</f>
        <v>80002.763754490195</v>
      </c>
      <c r="T161" s="116"/>
    </row>
    <row r="162" spans="2:38" x14ac:dyDescent="0.25">
      <c r="D162" s="83" t="s">
        <v>156</v>
      </c>
      <c r="E162" s="84"/>
      <c r="F162" s="84"/>
      <c r="G162" s="85"/>
      <c r="H162" s="79">
        <f>O185</f>
        <v>-591743.56354899681</v>
      </c>
      <c r="AA162" s="107"/>
      <c r="AB162" s="89"/>
      <c r="AC162" s="89"/>
      <c r="AD162" s="89"/>
      <c r="AE162" s="89"/>
      <c r="AF162" s="89"/>
      <c r="AG162" s="70"/>
      <c r="AH162" s="70"/>
      <c r="AI162" s="68"/>
      <c r="AJ162" s="68"/>
      <c r="AK162" s="68"/>
      <c r="AL162" s="68"/>
    </row>
    <row r="163" spans="2:38" x14ac:dyDescent="0.25">
      <c r="D163" s="83"/>
      <c r="E163" s="84"/>
      <c r="F163" s="84"/>
      <c r="G163" s="85"/>
      <c r="H163" s="79"/>
      <c r="L163" s="116" t="s">
        <v>188</v>
      </c>
      <c r="M163" s="116" t="str">
        <f t="shared" ref="M163:P163" si="24">M143</f>
        <v>Retired</v>
      </c>
      <c r="N163" s="117">
        <f t="shared" si="24"/>
        <v>55</v>
      </c>
      <c r="O163" s="117">
        <f t="shared" si="24"/>
        <v>55</v>
      </c>
      <c r="P163" s="121">
        <f t="shared" si="24"/>
        <v>32588.999999999993</v>
      </c>
      <c r="Q163" s="119">
        <f>1/(1+$E$73)^(O163-N163)</f>
        <v>1</v>
      </c>
      <c r="R163" s="117">
        <f>D90</f>
        <v>15.7</v>
      </c>
      <c r="S163" s="121">
        <f t="shared" ref="S163:S165" si="25">P163*Q163*R163</f>
        <v>511647.29999999987</v>
      </c>
      <c r="T163" s="116"/>
    </row>
    <row r="164" spans="2:38" x14ac:dyDescent="0.25">
      <c r="D164" s="83"/>
      <c r="E164" s="84"/>
      <c r="F164" s="84"/>
      <c r="G164" s="85"/>
      <c r="H164" s="79"/>
      <c r="L164" s="116" t="s">
        <v>190</v>
      </c>
      <c r="M164" s="116" t="str">
        <f t="shared" ref="M164:P164" si="26">M144</f>
        <v>Retired</v>
      </c>
      <c r="N164" s="117">
        <f t="shared" si="26"/>
        <v>61</v>
      </c>
      <c r="O164" s="117">
        <f t="shared" si="26"/>
        <v>61</v>
      </c>
      <c r="P164" s="121">
        <f t="shared" si="26"/>
        <v>22800</v>
      </c>
      <c r="Q164" s="119">
        <f t="shared" ref="Q164:Q165" si="27">1/(1+$E$73)^(O164-N164)</f>
        <v>1</v>
      </c>
      <c r="R164" s="117">
        <f>F90</f>
        <v>14.3</v>
      </c>
      <c r="S164" s="121">
        <f t="shared" si="25"/>
        <v>326040</v>
      </c>
      <c r="T164" s="116"/>
    </row>
    <row r="165" spans="2:38" x14ac:dyDescent="0.25">
      <c r="D165" s="83"/>
      <c r="E165" s="84"/>
      <c r="F165" s="84"/>
      <c r="G165" s="85"/>
      <c r="H165" s="79"/>
      <c r="L165" s="116" t="s">
        <v>191</v>
      </c>
      <c r="M165" s="116" t="str">
        <f t="shared" ref="M165:P165" si="28">M145</f>
        <v>Retired</v>
      </c>
      <c r="N165" s="117">
        <f t="shared" si="28"/>
        <v>76</v>
      </c>
      <c r="O165" s="117">
        <f t="shared" si="28"/>
        <v>76</v>
      </c>
      <c r="P165" s="121">
        <f t="shared" si="28"/>
        <v>48000</v>
      </c>
      <c r="Q165" s="119">
        <f t="shared" si="27"/>
        <v>1</v>
      </c>
      <c r="R165" s="117">
        <f>H90</f>
        <v>9.5</v>
      </c>
      <c r="S165" s="122">
        <f t="shared" si="25"/>
        <v>456000</v>
      </c>
    </row>
    <row r="166" spans="2:38" x14ac:dyDescent="0.25">
      <c r="D166" s="83"/>
      <c r="E166" s="84"/>
      <c r="F166" s="84"/>
      <c r="G166" s="85"/>
      <c r="H166" s="79"/>
      <c r="S166" s="125">
        <f>SUM(S163:S165)</f>
        <v>1293687.2999999998</v>
      </c>
    </row>
    <row r="168" spans="2:38" x14ac:dyDescent="0.25">
      <c r="D168" s="2" t="s">
        <v>107</v>
      </c>
      <c r="H168" s="46">
        <f>SUM(H150:H166)</f>
        <v>-11538.594113190193</v>
      </c>
      <c r="L168" s="88" t="s">
        <v>134</v>
      </c>
      <c r="M168" s="88" t="s">
        <v>135</v>
      </c>
      <c r="N168" s="88" t="s">
        <v>136</v>
      </c>
      <c r="O168" s="88" t="s">
        <v>192</v>
      </c>
    </row>
    <row r="169" spans="2:38" x14ac:dyDescent="0.25">
      <c r="L169" s="116" t="s">
        <v>128</v>
      </c>
      <c r="M169" s="98">
        <f>SUM(F39:G39)*(1+$E$21)</f>
        <v>154350</v>
      </c>
      <c r="N169" s="96">
        <f>Y152</f>
        <v>152265.58387826514</v>
      </c>
      <c r="O169" s="98">
        <f>+N169-M169</f>
        <v>-2084.4161217348592</v>
      </c>
      <c r="P169" s="68" t="s">
        <v>137</v>
      </c>
    </row>
    <row r="170" spans="2:38" x14ac:dyDescent="0.25">
      <c r="B170" s="2" t="s">
        <v>108</v>
      </c>
      <c r="C170" s="2" t="s">
        <v>109</v>
      </c>
      <c r="D170" s="2" t="s">
        <v>110</v>
      </c>
      <c r="L170" s="116" t="s">
        <v>130</v>
      </c>
      <c r="M170" s="98">
        <f>SUM(F40:G40)*(1+$E$21)</f>
        <v>465150</v>
      </c>
      <c r="N170" s="96">
        <f>Y159</f>
        <v>493839.38293143816</v>
      </c>
      <c r="O170" s="98">
        <f>+N170-M170</f>
        <v>28689.382931438158</v>
      </c>
      <c r="P170" s="68" t="s">
        <v>137</v>
      </c>
      <c r="AF170" s="68"/>
      <c r="AG170" s="68"/>
      <c r="AH170" s="68"/>
      <c r="AI170" s="68"/>
      <c r="AJ170" s="68"/>
      <c r="AK170" s="68"/>
      <c r="AL170" s="68"/>
    </row>
    <row r="171" spans="2:38" x14ac:dyDescent="0.25">
      <c r="L171" s="116" t="s">
        <v>188</v>
      </c>
      <c r="M171" s="98">
        <f>SUM(F41:G41)*(1+$E$21)</f>
        <v>541800</v>
      </c>
      <c r="N171" s="96">
        <f>S163</f>
        <v>511647.29999999987</v>
      </c>
      <c r="O171" s="98">
        <f>+N171-M171</f>
        <v>-30152.700000000128</v>
      </c>
      <c r="P171" s="68" t="s">
        <v>138</v>
      </c>
      <c r="AF171" s="68"/>
      <c r="AG171" s="68"/>
      <c r="AH171" s="68"/>
      <c r="AI171" s="68"/>
      <c r="AJ171" s="68"/>
      <c r="AK171" s="68"/>
      <c r="AL171" s="68"/>
    </row>
    <row r="172" spans="2:38" x14ac:dyDescent="0.25">
      <c r="D172" s="147" t="s">
        <v>74</v>
      </c>
      <c r="E172" s="148"/>
      <c r="F172" s="148"/>
      <c r="G172" s="148"/>
      <c r="H172" s="148"/>
      <c r="I172" s="149"/>
      <c r="L172" s="116" t="s">
        <v>189</v>
      </c>
      <c r="M172" s="98">
        <f>SUM(F42:G42)*(1+$E$21)</f>
        <v>79800</v>
      </c>
      <c r="N172" s="96">
        <f>S161</f>
        <v>80002.763754490195</v>
      </c>
      <c r="O172" s="98">
        <f>+N172-M172</f>
        <v>202.76375449019542</v>
      </c>
      <c r="P172" s="68" t="s">
        <v>150</v>
      </c>
      <c r="AJ172" s="68"/>
      <c r="AK172" s="68"/>
      <c r="AL172" s="68"/>
    </row>
    <row r="173" spans="2:38" x14ac:dyDescent="0.25">
      <c r="D173" s="150"/>
      <c r="E173" s="151"/>
      <c r="F173" s="151"/>
      <c r="G173" s="151"/>
      <c r="H173" s="151"/>
      <c r="I173" s="152"/>
      <c r="L173" s="116" t="s">
        <v>190</v>
      </c>
      <c r="M173" s="98">
        <f>SUM(F43:G43)*(1+$E$21)</f>
        <v>325500</v>
      </c>
      <c r="N173" s="96">
        <f>S164</f>
        <v>326040</v>
      </c>
      <c r="O173" s="98">
        <f t="shared" ref="O173" si="29">+N173-M173</f>
        <v>540</v>
      </c>
      <c r="P173" s="68" t="s">
        <v>138</v>
      </c>
      <c r="AJ173" s="99" t="s">
        <v>137</v>
      </c>
      <c r="AK173" s="72"/>
      <c r="AL173" s="68"/>
    </row>
    <row r="174" spans="2:38" x14ac:dyDescent="0.25">
      <c r="L174" s="126" t="s">
        <v>191</v>
      </c>
      <c r="M174" s="100">
        <f>SUM(F44:G44)*(1+$E$21)-F59*12*(1+$E$21/2)</f>
        <v>444300</v>
      </c>
      <c r="N174" s="101">
        <f>S165</f>
        <v>456000</v>
      </c>
      <c r="O174" s="100">
        <f>+N174-M174</f>
        <v>11700</v>
      </c>
      <c r="P174" s="68" t="s">
        <v>139</v>
      </c>
      <c r="AJ174" s="99" t="s">
        <v>137</v>
      </c>
      <c r="AK174" s="72"/>
      <c r="AL174" s="68"/>
    </row>
    <row r="175" spans="2:38" x14ac:dyDescent="0.25">
      <c r="D175" s="2" t="s">
        <v>111</v>
      </c>
      <c r="F175" s="46">
        <f>D80-E34</f>
        <v>2500000</v>
      </c>
      <c r="L175" s="99" t="s">
        <v>97</v>
      </c>
      <c r="M175" s="96">
        <f>SUM(M169:M174)</f>
        <v>2010900</v>
      </c>
      <c r="N175" s="96">
        <f>SUM(N169:N174)</f>
        <v>2019795.0305641934</v>
      </c>
      <c r="O175" s="98">
        <f>+SUM(O168:O174)</f>
        <v>8895.0305641933664</v>
      </c>
      <c r="AJ175" s="99" t="s">
        <v>138</v>
      </c>
      <c r="AK175" s="72"/>
      <c r="AL175" s="68"/>
    </row>
    <row r="176" spans="2:38" x14ac:dyDescent="0.25">
      <c r="L176" s="68"/>
      <c r="M176" s="68"/>
      <c r="N176" s="68"/>
      <c r="O176" s="68"/>
      <c r="AJ176" s="99" t="s">
        <v>150</v>
      </c>
      <c r="AK176" s="72"/>
      <c r="AL176" s="68"/>
    </row>
    <row r="177" spans="2:38" x14ac:dyDescent="0.25">
      <c r="D177" s="2" t="s">
        <v>112</v>
      </c>
      <c r="L177" s="127"/>
      <c r="M177" s="128" t="s">
        <v>141</v>
      </c>
      <c r="N177" s="128" t="s">
        <v>142</v>
      </c>
      <c r="O177" s="139" t="s">
        <v>143</v>
      </c>
      <c r="AJ177" s="99" t="s">
        <v>138</v>
      </c>
      <c r="AK177" s="72"/>
      <c r="AL177" s="68"/>
    </row>
    <row r="178" spans="2:38" x14ac:dyDescent="0.25">
      <c r="D178" s="2" t="s">
        <v>93</v>
      </c>
      <c r="F178" s="79">
        <f>O212+T212</f>
        <v>873463.50000000012</v>
      </c>
      <c r="L178" s="102">
        <v>44562</v>
      </c>
      <c r="M178" s="129">
        <f>SUM(F39:F44)</f>
        <v>1898000</v>
      </c>
      <c r="N178" s="129">
        <f>D47</f>
        <v>2700000</v>
      </c>
      <c r="O178" s="140">
        <f>N178-M178</f>
        <v>802000</v>
      </c>
      <c r="AJ178" s="99" t="s">
        <v>139</v>
      </c>
      <c r="AK178" s="72"/>
      <c r="AL178" s="68"/>
    </row>
    <row r="179" spans="2:38" x14ac:dyDescent="0.25">
      <c r="D179" s="2" t="s">
        <v>94</v>
      </c>
      <c r="F179" s="79">
        <f>P215</f>
        <v>159600</v>
      </c>
      <c r="L179" s="103" t="s">
        <v>140</v>
      </c>
      <c r="M179" s="129">
        <f>SUM(G39:G44)*(1+E21)</f>
        <v>67200</v>
      </c>
      <c r="N179" s="130">
        <f>G120</f>
        <v>73920</v>
      </c>
      <c r="O179" s="140">
        <f>N179-M179</f>
        <v>6720</v>
      </c>
      <c r="AJ179" s="99"/>
      <c r="AK179" s="99"/>
      <c r="AL179" s="68"/>
    </row>
    <row r="180" spans="2:38" x14ac:dyDescent="0.25">
      <c r="D180" s="2" t="s">
        <v>95</v>
      </c>
      <c r="F180" s="79">
        <f>P220</f>
        <v>1759890.2999999998</v>
      </c>
      <c r="L180" s="103" t="s">
        <v>144</v>
      </c>
      <c r="M180" s="129">
        <f>-F59*12</f>
        <v>-48000</v>
      </c>
      <c r="N180" s="129">
        <f>M180</f>
        <v>-48000</v>
      </c>
      <c r="O180" s="140">
        <f t="shared" ref="O180:O188" si="30">N180-M180</f>
        <v>0</v>
      </c>
      <c r="AJ180" s="68"/>
      <c r="AK180" s="68"/>
      <c r="AL180" s="68"/>
    </row>
    <row r="181" spans="2:38" x14ac:dyDescent="0.25">
      <c r="D181" s="2" t="s">
        <v>113</v>
      </c>
      <c r="F181" s="46">
        <f>SUM(F178:F180)</f>
        <v>2792953.8</v>
      </c>
      <c r="L181" s="103" t="s">
        <v>145</v>
      </c>
      <c r="M181" s="131">
        <f>(M178+0.5*M180)*$E$21</f>
        <v>93700</v>
      </c>
      <c r="N181" s="131">
        <f>(N178+0.5*N180)*$E$21</f>
        <v>133800</v>
      </c>
      <c r="O181" s="140">
        <f t="shared" si="30"/>
        <v>40100</v>
      </c>
      <c r="AJ181" s="68"/>
      <c r="AK181" s="68"/>
      <c r="AL181" s="68"/>
    </row>
    <row r="182" spans="2:38" x14ac:dyDescent="0.25">
      <c r="L182" s="103" t="s">
        <v>132</v>
      </c>
      <c r="M182" s="129">
        <f>O169+O170</f>
        <v>26604.966809703299</v>
      </c>
      <c r="N182" s="132"/>
      <c r="O182" s="140">
        <f t="shared" si="30"/>
        <v>-26604.966809703299</v>
      </c>
      <c r="AJ182" s="92"/>
      <c r="AK182" s="68"/>
      <c r="AL182" s="68"/>
    </row>
    <row r="183" spans="2:38" x14ac:dyDescent="0.25">
      <c r="D183" s="2" t="s">
        <v>114</v>
      </c>
      <c r="F183" s="46">
        <f>F175-F181</f>
        <v>-292953.79999999981</v>
      </c>
      <c r="J183" s="80"/>
      <c r="L183" s="103" t="s">
        <v>146</v>
      </c>
      <c r="M183" s="129">
        <f>O174</f>
        <v>11700</v>
      </c>
      <c r="N183" s="132"/>
      <c r="O183" s="140">
        <f t="shared" si="30"/>
        <v>-11700</v>
      </c>
      <c r="AJ183" s="92"/>
      <c r="AK183" s="68"/>
      <c r="AL183" s="68"/>
    </row>
    <row r="184" spans="2:38" x14ac:dyDescent="0.25">
      <c r="L184" s="103" t="s">
        <v>129</v>
      </c>
      <c r="M184" s="129">
        <f>O171+O173</f>
        <v>-29612.700000000128</v>
      </c>
      <c r="N184" s="132"/>
      <c r="O184" s="140">
        <f t="shared" si="30"/>
        <v>29612.700000000128</v>
      </c>
      <c r="AJ184" s="92"/>
      <c r="AK184" s="68"/>
      <c r="AL184" s="68"/>
    </row>
    <row r="185" spans="2:38" x14ac:dyDescent="0.25">
      <c r="C185" s="2" t="s">
        <v>115</v>
      </c>
      <c r="L185" s="97" t="s">
        <v>147</v>
      </c>
      <c r="M185" s="129">
        <f>F137-N175</f>
        <v>591743.56354899681</v>
      </c>
      <c r="N185" s="132"/>
      <c r="O185" s="140">
        <f t="shared" si="30"/>
        <v>-591743.56354899681</v>
      </c>
      <c r="AJ185" s="92"/>
      <c r="AK185" s="68"/>
      <c r="AL185" s="68"/>
    </row>
    <row r="186" spans="2:38" x14ac:dyDescent="0.25">
      <c r="L186" s="97" t="s">
        <v>148</v>
      </c>
      <c r="M186" s="129"/>
      <c r="N186" s="129">
        <f>N188-SUM(N178:N185)</f>
        <v>-259720</v>
      </c>
      <c r="O186" s="140">
        <f t="shared" si="30"/>
        <v>-259720</v>
      </c>
      <c r="AJ186" s="68"/>
      <c r="AK186" s="68"/>
      <c r="AL186" s="68"/>
    </row>
    <row r="187" spans="2:38" x14ac:dyDescent="0.25">
      <c r="C187" s="2" t="s">
        <v>116</v>
      </c>
      <c r="E187" s="46">
        <v>2900000</v>
      </c>
      <c r="L187" s="133" t="s">
        <v>149</v>
      </c>
      <c r="M187" s="134">
        <f>M188-SUM(M178:M185)</f>
        <v>202.76375449029729</v>
      </c>
      <c r="N187" s="134"/>
      <c r="O187" s="141">
        <f t="shared" si="30"/>
        <v>-202.76375449029729</v>
      </c>
      <c r="AJ187" s="68"/>
      <c r="AK187" s="68"/>
      <c r="AL187" s="68"/>
    </row>
    <row r="188" spans="2:38" x14ac:dyDescent="0.25">
      <c r="L188" s="102">
        <v>44927</v>
      </c>
      <c r="M188" s="129">
        <f>F137</f>
        <v>2611538.5941131902</v>
      </c>
      <c r="N188" s="129">
        <f>D80</f>
        <v>2600000</v>
      </c>
      <c r="O188" s="140">
        <f t="shared" si="30"/>
        <v>-11538.594113190193</v>
      </c>
      <c r="AJ188" s="69"/>
      <c r="AK188" s="68"/>
      <c r="AL188" s="68"/>
    </row>
    <row r="189" spans="2:38" x14ac:dyDescent="0.25">
      <c r="B189" s="2" t="s">
        <v>117</v>
      </c>
      <c r="C189" s="2" t="s">
        <v>71</v>
      </c>
      <c r="D189" s="2" t="s">
        <v>118</v>
      </c>
      <c r="AJ189" s="72"/>
      <c r="AK189" s="68"/>
      <c r="AL189" s="68"/>
    </row>
    <row r="190" spans="2:38" x14ac:dyDescent="0.25">
      <c r="K190" s="113" t="s">
        <v>108</v>
      </c>
      <c r="L190" s="116" t="s">
        <v>128</v>
      </c>
      <c r="M190" s="112"/>
      <c r="Q190" s="116" t="s">
        <v>130</v>
      </c>
      <c r="R190" s="112"/>
      <c r="AJ190" s="68"/>
      <c r="AK190" s="93"/>
      <c r="AL190" s="68"/>
    </row>
    <row r="191" spans="2:38" x14ac:dyDescent="0.25">
      <c r="D191" s="147" t="s">
        <v>74</v>
      </c>
      <c r="E191" s="148"/>
      <c r="F191" s="148"/>
      <c r="G191" s="148"/>
      <c r="H191" s="148"/>
      <c r="I191" s="149"/>
      <c r="L191" s="68" t="s">
        <v>193</v>
      </c>
      <c r="M191" s="98">
        <f>1.8%*AVERAGE(E63:G63)*G54</f>
        <v>16896</v>
      </c>
      <c r="Q191" s="68" t="s">
        <v>193</v>
      </c>
      <c r="R191" s="98">
        <f>1.8%*AVERAGE(E64:G64)*G55</f>
        <v>47880.000000000007</v>
      </c>
      <c r="AJ191" s="72"/>
      <c r="AK191" s="68"/>
      <c r="AL191" s="68"/>
    </row>
    <row r="192" spans="2:38" x14ac:dyDescent="0.25">
      <c r="D192" s="150"/>
      <c r="E192" s="151"/>
      <c r="F192" s="151"/>
      <c r="G192" s="151"/>
      <c r="H192" s="151"/>
      <c r="I192" s="152"/>
      <c r="L192" s="68" t="s">
        <v>194</v>
      </c>
      <c r="M192" s="68">
        <f>+SUM(E54:G54)</f>
        <v>51</v>
      </c>
      <c r="Q192" s="68" t="s">
        <v>194</v>
      </c>
      <c r="R192" s="68">
        <f>+SUM(E55:G55)</f>
        <v>63</v>
      </c>
      <c r="AJ192" s="72"/>
      <c r="AK192" s="68"/>
      <c r="AL192" s="68"/>
    </row>
    <row r="193" spans="2:38" x14ac:dyDescent="0.25">
      <c r="L193" s="68" t="s">
        <v>157</v>
      </c>
      <c r="M193" s="68" t="b">
        <f>M192&gt;=55</f>
        <v>0</v>
      </c>
      <c r="Q193" s="68" t="s">
        <v>157</v>
      </c>
      <c r="R193" s="68" t="b">
        <f>R192&gt;=55</f>
        <v>1</v>
      </c>
      <c r="AJ193" s="72"/>
      <c r="AK193" s="68"/>
      <c r="AL193" s="68"/>
    </row>
    <row r="194" spans="2:38" x14ac:dyDescent="0.25">
      <c r="D194" s="2" t="s">
        <v>119</v>
      </c>
      <c r="H194" s="79">
        <f>M227</f>
        <v>41908.096755968087</v>
      </c>
      <c r="L194" s="68" t="s">
        <v>158</v>
      </c>
      <c r="M194" s="68" t="b">
        <f>+G54&gt;=10</f>
        <v>1</v>
      </c>
      <c r="O194" s="94"/>
      <c r="Q194" s="68" t="s">
        <v>158</v>
      </c>
      <c r="R194" s="68" t="b">
        <f>+G55&gt;=10</f>
        <v>1</v>
      </c>
      <c r="T194" s="94"/>
      <c r="AJ194" s="72"/>
      <c r="AK194" s="68"/>
      <c r="AL194" s="68"/>
    </row>
    <row r="195" spans="2:38" x14ac:dyDescent="0.25">
      <c r="L195" s="68" t="s">
        <v>159</v>
      </c>
      <c r="M195" s="68">
        <f>IF(AND(M193:M194), 60, 65)</f>
        <v>65</v>
      </c>
      <c r="O195" s="94"/>
      <c r="P195" s="68"/>
      <c r="Q195" s="68" t="s">
        <v>159</v>
      </c>
      <c r="R195" s="68">
        <f>IF(AND(R193:R194), 60, 65)</f>
        <v>60</v>
      </c>
      <c r="T195" s="94"/>
      <c r="AJ195" s="72"/>
      <c r="AK195" s="68"/>
      <c r="AL195" s="68"/>
    </row>
    <row r="196" spans="2:38" x14ac:dyDescent="0.25">
      <c r="B196" s="2" t="s">
        <v>120</v>
      </c>
      <c r="C196" s="2" t="s">
        <v>121</v>
      </c>
      <c r="D196" s="2" t="s">
        <v>122</v>
      </c>
      <c r="O196" s="94"/>
      <c r="P196" s="94"/>
      <c r="T196" s="94"/>
      <c r="AJ196" s="72"/>
      <c r="AK196" s="68"/>
      <c r="AL196" s="68"/>
    </row>
    <row r="197" spans="2:38" x14ac:dyDescent="0.25">
      <c r="L197" s="135" t="s">
        <v>31</v>
      </c>
      <c r="M197" s="135" t="s">
        <v>195</v>
      </c>
      <c r="N197" s="135" t="s">
        <v>131</v>
      </c>
      <c r="O197" s="135" t="s">
        <v>196</v>
      </c>
      <c r="P197" s="95"/>
      <c r="Q197" s="135" t="s">
        <v>31</v>
      </c>
      <c r="R197" s="135" t="s">
        <v>195</v>
      </c>
      <c r="S197" s="135" t="s">
        <v>131</v>
      </c>
      <c r="T197" s="135" t="s">
        <v>196</v>
      </c>
      <c r="AJ197" s="68"/>
      <c r="AK197" s="68"/>
      <c r="AL197" s="68"/>
    </row>
    <row r="198" spans="2:38" x14ac:dyDescent="0.25">
      <c r="D198" s="147" t="s">
        <v>74</v>
      </c>
      <c r="E198" s="148"/>
      <c r="F198" s="148"/>
      <c r="G198" s="148"/>
      <c r="H198" s="148"/>
      <c r="I198" s="149"/>
      <c r="L198" s="95">
        <v>55</v>
      </c>
      <c r="M198" s="91">
        <f t="shared" ref="M198:M208" si="31">MIN((1-IF($M$195=65, 0.06,0.03)*($M$195-$L198)),1)</f>
        <v>0.4</v>
      </c>
      <c r="N198" s="91">
        <f t="shared" ref="N198:N208" si="32">+E94</f>
        <v>16.399999999999999</v>
      </c>
      <c r="O198" s="93">
        <f t="shared" ref="O198:O208" si="33">$M$191*M198*N198</f>
        <v>110837.75999999999</v>
      </c>
      <c r="Q198" s="95">
        <v>55</v>
      </c>
      <c r="R198" s="91">
        <f>MIN((1-IF($R$195=65, 0.06,0.03)*($R$195-$Q198)),1)</f>
        <v>0.85</v>
      </c>
      <c r="S198" s="91">
        <f>+G94</f>
        <v>17.5</v>
      </c>
      <c r="T198" s="93">
        <f>$R$191*R198*S198</f>
        <v>712215.00000000012</v>
      </c>
      <c r="AJ198" s="69"/>
      <c r="AK198" s="68"/>
      <c r="AL198" s="68"/>
    </row>
    <row r="199" spans="2:38" x14ac:dyDescent="0.25">
      <c r="D199" s="150"/>
      <c r="E199" s="151"/>
      <c r="F199" s="151"/>
      <c r="G199" s="151"/>
      <c r="H199" s="151"/>
      <c r="I199" s="152"/>
      <c r="L199" s="95">
        <f>+L198+1</f>
        <v>56</v>
      </c>
      <c r="M199" s="91">
        <f t="shared" si="31"/>
        <v>0.45999999999999996</v>
      </c>
      <c r="N199" s="91">
        <f t="shared" si="32"/>
        <v>15.8</v>
      </c>
      <c r="O199" s="93">
        <f t="shared" si="33"/>
        <v>122800.128</v>
      </c>
      <c r="Q199" s="95">
        <f>+Q198+1</f>
        <v>56</v>
      </c>
      <c r="R199" s="91">
        <f t="shared" ref="R199:R208" si="34">MIN((1-IF($R$195=65, 0.06,0.03)*($R$195-$Q199)),1)</f>
        <v>0.88</v>
      </c>
      <c r="S199" s="91">
        <f t="shared" ref="S199:S208" si="35">+G95</f>
        <v>16.8</v>
      </c>
      <c r="T199" s="93">
        <f t="shared" ref="T199:T208" si="36">$R$191*R199*S199</f>
        <v>707857.92000000016</v>
      </c>
      <c r="AF199" s="89"/>
      <c r="AG199" s="70"/>
      <c r="AH199" s="70"/>
      <c r="AI199" s="68"/>
      <c r="AJ199" s="68"/>
      <c r="AK199" s="68"/>
      <c r="AL199" s="68"/>
    </row>
    <row r="200" spans="2:38" x14ac:dyDescent="0.25">
      <c r="L200" s="95">
        <f t="shared" ref="L200:L208" si="37">+L199+1</f>
        <v>57</v>
      </c>
      <c r="M200" s="91">
        <f t="shared" si="31"/>
        <v>0.52</v>
      </c>
      <c r="N200" s="91">
        <f t="shared" si="32"/>
        <v>15.1</v>
      </c>
      <c r="O200" s="93">
        <f t="shared" si="33"/>
        <v>132667.39199999999</v>
      </c>
      <c r="P200" s="68"/>
      <c r="Q200" s="95">
        <f t="shared" ref="Q200:Q208" si="38">+Q199+1</f>
        <v>57</v>
      </c>
      <c r="R200" s="91">
        <f t="shared" si="34"/>
        <v>0.91</v>
      </c>
      <c r="S200" s="91">
        <f t="shared" si="35"/>
        <v>16.100000000000001</v>
      </c>
      <c r="T200" s="93">
        <f t="shared" si="36"/>
        <v>701489.88000000024</v>
      </c>
    </row>
    <row r="201" spans="2:38" x14ac:dyDescent="0.25">
      <c r="D201" s="2" t="s">
        <v>123</v>
      </c>
      <c r="H201" s="79">
        <f>M237</f>
        <v>63702.369624716805</v>
      </c>
      <c r="L201" s="95">
        <f t="shared" si="37"/>
        <v>58</v>
      </c>
      <c r="M201" s="91">
        <f t="shared" si="31"/>
        <v>0.58000000000000007</v>
      </c>
      <c r="N201" s="91">
        <f t="shared" si="32"/>
        <v>14.5</v>
      </c>
      <c r="O201" s="93">
        <f t="shared" si="33"/>
        <v>142095.36000000002</v>
      </c>
      <c r="P201" s="68"/>
      <c r="Q201" s="95">
        <f t="shared" si="38"/>
        <v>58</v>
      </c>
      <c r="R201" s="91">
        <f t="shared" si="34"/>
        <v>0.94</v>
      </c>
      <c r="S201" s="91">
        <f t="shared" si="35"/>
        <v>15.5</v>
      </c>
      <c r="T201" s="93">
        <f t="shared" si="36"/>
        <v>697611.60000000009</v>
      </c>
    </row>
    <row r="202" spans="2:38" x14ac:dyDescent="0.25">
      <c r="D202" s="2" t="s">
        <v>124</v>
      </c>
      <c r="H202" s="79">
        <f>M238</f>
        <v>356656.16962471663</v>
      </c>
      <c r="L202" s="95">
        <f t="shared" si="37"/>
        <v>59</v>
      </c>
      <c r="M202" s="91">
        <f t="shared" si="31"/>
        <v>0.64</v>
      </c>
      <c r="N202" s="91">
        <f t="shared" si="32"/>
        <v>13.9</v>
      </c>
      <c r="O202" s="93">
        <f t="shared" si="33"/>
        <v>150306.81600000002</v>
      </c>
      <c r="P202" s="68"/>
      <c r="Q202" s="95">
        <f t="shared" si="38"/>
        <v>59</v>
      </c>
      <c r="R202" s="91">
        <f t="shared" si="34"/>
        <v>0.97</v>
      </c>
      <c r="S202" s="91">
        <f t="shared" si="35"/>
        <v>14.8</v>
      </c>
      <c r="T202" s="93">
        <f t="shared" si="36"/>
        <v>687365.28000000014</v>
      </c>
    </row>
    <row r="203" spans="2:38" x14ac:dyDescent="0.25">
      <c r="L203" s="95">
        <f t="shared" si="37"/>
        <v>60</v>
      </c>
      <c r="M203" s="91">
        <f t="shared" si="31"/>
        <v>0.7</v>
      </c>
      <c r="N203" s="91">
        <f t="shared" si="32"/>
        <v>13.3</v>
      </c>
      <c r="O203" s="93">
        <f t="shared" si="33"/>
        <v>157301.75999999998</v>
      </c>
      <c r="P203" s="68"/>
      <c r="Q203" s="95">
        <f t="shared" si="38"/>
        <v>60</v>
      </c>
      <c r="R203" s="91">
        <f t="shared" si="34"/>
        <v>1</v>
      </c>
      <c r="S203" s="91">
        <f t="shared" si="35"/>
        <v>14.2</v>
      </c>
      <c r="T203" s="93">
        <f t="shared" si="36"/>
        <v>679896.00000000012</v>
      </c>
    </row>
    <row r="204" spans="2:38" x14ac:dyDescent="0.25">
      <c r="L204" s="95">
        <f t="shared" si="37"/>
        <v>61</v>
      </c>
      <c r="M204" s="91">
        <f t="shared" si="31"/>
        <v>0.76</v>
      </c>
      <c r="N204" s="91">
        <f t="shared" si="32"/>
        <v>12.7</v>
      </c>
      <c r="O204" s="93">
        <f t="shared" si="33"/>
        <v>163080.19200000001</v>
      </c>
      <c r="P204" s="68"/>
      <c r="Q204" s="95">
        <f t="shared" si="38"/>
        <v>61</v>
      </c>
      <c r="R204" s="91">
        <f t="shared" si="34"/>
        <v>1</v>
      </c>
      <c r="S204" s="91">
        <f t="shared" si="35"/>
        <v>13.5</v>
      </c>
      <c r="T204" s="93">
        <f t="shared" si="36"/>
        <v>646380.00000000012</v>
      </c>
    </row>
    <row r="205" spans="2:38" x14ac:dyDescent="0.25">
      <c r="L205" s="95">
        <f t="shared" si="37"/>
        <v>62</v>
      </c>
      <c r="M205" s="91">
        <f t="shared" si="31"/>
        <v>0.82000000000000006</v>
      </c>
      <c r="N205" s="91">
        <f t="shared" si="32"/>
        <v>12.1</v>
      </c>
      <c r="O205" s="93">
        <f t="shared" si="33"/>
        <v>167642.11200000002</v>
      </c>
      <c r="P205" s="68"/>
      <c r="Q205" s="95">
        <f t="shared" si="38"/>
        <v>62</v>
      </c>
      <c r="R205" s="91">
        <f t="shared" si="34"/>
        <v>1</v>
      </c>
      <c r="S205" s="91">
        <f t="shared" si="35"/>
        <v>12.9</v>
      </c>
      <c r="T205" s="93">
        <f t="shared" si="36"/>
        <v>617652.00000000012</v>
      </c>
    </row>
    <row r="206" spans="2:38" x14ac:dyDescent="0.25">
      <c r="L206" s="95">
        <f t="shared" si="37"/>
        <v>63</v>
      </c>
      <c r="M206" s="91">
        <f t="shared" si="31"/>
        <v>0.88</v>
      </c>
      <c r="N206" s="91">
        <f t="shared" si="32"/>
        <v>11.6</v>
      </c>
      <c r="O206" s="93">
        <f t="shared" si="33"/>
        <v>172474.36799999999</v>
      </c>
      <c r="P206" s="68"/>
      <c r="Q206" s="95">
        <f t="shared" si="38"/>
        <v>63</v>
      </c>
      <c r="R206" s="91">
        <f t="shared" si="34"/>
        <v>1</v>
      </c>
      <c r="S206" s="91">
        <f t="shared" si="35"/>
        <v>12.3</v>
      </c>
      <c r="T206" s="93">
        <f t="shared" si="36"/>
        <v>588924.00000000012</v>
      </c>
    </row>
    <row r="207" spans="2:38" x14ac:dyDescent="0.25">
      <c r="L207" s="95">
        <f t="shared" si="37"/>
        <v>64</v>
      </c>
      <c r="M207" s="91">
        <f t="shared" si="31"/>
        <v>0.94</v>
      </c>
      <c r="N207" s="91">
        <f t="shared" si="32"/>
        <v>11</v>
      </c>
      <c r="O207" s="93">
        <f t="shared" si="33"/>
        <v>174704.63999999998</v>
      </c>
      <c r="P207" s="68"/>
      <c r="Q207" s="95">
        <f t="shared" si="38"/>
        <v>64</v>
      </c>
      <c r="R207" s="91">
        <f t="shared" si="34"/>
        <v>1</v>
      </c>
      <c r="S207" s="91">
        <f t="shared" si="35"/>
        <v>11.8</v>
      </c>
      <c r="T207" s="93">
        <f t="shared" si="36"/>
        <v>564984.00000000012</v>
      </c>
    </row>
    <row r="208" spans="2:38" x14ac:dyDescent="0.25">
      <c r="L208" s="95">
        <f t="shared" si="37"/>
        <v>65</v>
      </c>
      <c r="M208" s="91">
        <f t="shared" si="31"/>
        <v>1</v>
      </c>
      <c r="N208" s="91">
        <f t="shared" si="32"/>
        <v>10.5</v>
      </c>
      <c r="O208" s="93">
        <f t="shared" si="33"/>
        <v>177408</v>
      </c>
      <c r="P208" s="68"/>
      <c r="Q208" s="95">
        <f t="shared" si="38"/>
        <v>65</v>
      </c>
      <c r="R208" s="91">
        <f t="shared" si="34"/>
        <v>1</v>
      </c>
      <c r="S208" s="91">
        <f t="shared" si="35"/>
        <v>11.2</v>
      </c>
      <c r="T208" s="93">
        <f t="shared" si="36"/>
        <v>536256</v>
      </c>
    </row>
    <row r="209" spans="11:20" x14ac:dyDescent="0.25">
      <c r="P209" s="68"/>
    </row>
    <row r="210" spans="11:20" x14ac:dyDescent="0.25">
      <c r="N210" s="68" t="s">
        <v>197</v>
      </c>
      <c r="O210" s="87">
        <f>MAX(O198:O208)</f>
        <v>177408</v>
      </c>
      <c r="P210" s="68"/>
      <c r="S210" s="68" t="s">
        <v>197</v>
      </c>
      <c r="T210" s="87">
        <f>MAX(T198:T208)</f>
        <v>712215.00000000012</v>
      </c>
    </row>
    <row r="211" spans="11:20" x14ac:dyDescent="0.25">
      <c r="N211" s="68" t="s">
        <v>198</v>
      </c>
      <c r="O211" s="115">
        <f>VLOOKUP(M195,$L$198:$O$208,4,FALSE)</f>
        <v>177408</v>
      </c>
      <c r="P211" s="68"/>
      <c r="S211" s="68" t="s">
        <v>198</v>
      </c>
      <c r="T211" s="115">
        <f>VLOOKUP(R195,$Q$198:$T$208,4,FALSE)</f>
        <v>679896.00000000012</v>
      </c>
    </row>
    <row r="212" spans="11:20" x14ac:dyDescent="0.25">
      <c r="N212" s="68" t="s">
        <v>199</v>
      </c>
      <c r="O212" s="143">
        <f>AVERAGE(O210:O211)</f>
        <v>177408</v>
      </c>
      <c r="P212" s="68"/>
      <c r="S212" s="68" t="s">
        <v>199</v>
      </c>
      <c r="T212" s="143">
        <f>AVERAGE(T210:T211)</f>
        <v>696055.50000000012</v>
      </c>
    </row>
    <row r="214" spans="11:20" x14ac:dyDescent="0.25">
      <c r="M214" s="126" t="s">
        <v>38</v>
      </c>
      <c r="N214" s="118" t="s">
        <v>186</v>
      </c>
      <c r="O214" s="118" t="s">
        <v>187</v>
      </c>
      <c r="P214" s="118" t="s">
        <v>179</v>
      </c>
    </row>
    <row r="215" spans="11:20" x14ac:dyDescent="0.25">
      <c r="L215" s="116" t="s">
        <v>189</v>
      </c>
      <c r="M215" s="116" t="str">
        <f>M161</f>
        <v>Deferred</v>
      </c>
      <c r="N215" s="121">
        <f>P161</f>
        <v>12000</v>
      </c>
      <c r="O215" s="117">
        <f>D107</f>
        <v>13.3</v>
      </c>
      <c r="P215" s="144">
        <f>N215*O215</f>
        <v>159600</v>
      </c>
    </row>
    <row r="217" spans="11:20" x14ac:dyDescent="0.25">
      <c r="L217" s="116" t="s">
        <v>188</v>
      </c>
      <c r="M217" s="116" t="str">
        <f>M163</f>
        <v>Retired</v>
      </c>
      <c r="N217" s="121">
        <f>P163</f>
        <v>32588.999999999993</v>
      </c>
      <c r="O217" s="117">
        <f>D109</f>
        <v>22.7</v>
      </c>
      <c r="P217" s="145">
        <f>N217*O217</f>
        <v>739770.29999999981</v>
      </c>
    </row>
    <row r="218" spans="11:20" x14ac:dyDescent="0.25">
      <c r="L218" s="116" t="s">
        <v>190</v>
      </c>
      <c r="M218" s="116" t="str">
        <f>M164</f>
        <v>Retired</v>
      </c>
      <c r="N218" s="121">
        <f>P164</f>
        <v>22800</v>
      </c>
      <c r="O218" s="117">
        <f>D111</f>
        <v>19.899999999999999</v>
      </c>
      <c r="P218" s="145">
        <f>N218*O218</f>
        <v>453719.99999999994</v>
      </c>
    </row>
    <row r="219" spans="11:20" x14ac:dyDescent="0.25">
      <c r="L219" s="116" t="s">
        <v>191</v>
      </c>
      <c r="M219" s="116" t="str">
        <f>M165</f>
        <v>Retired</v>
      </c>
      <c r="N219" s="121">
        <f>P165</f>
        <v>48000</v>
      </c>
      <c r="O219" s="117">
        <f>D113</f>
        <v>11.8</v>
      </c>
      <c r="P219" s="146">
        <f>N219*O219</f>
        <v>566400</v>
      </c>
    </row>
    <row r="220" spans="11:20" x14ac:dyDescent="0.25">
      <c r="P220" s="144">
        <f>SUM(P217:P219)</f>
        <v>1759890.2999999998</v>
      </c>
    </row>
    <row r="222" spans="11:20" x14ac:dyDescent="0.25">
      <c r="K222" s="114" t="s">
        <v>117</v>
      </c>
      <c r="L222" s="68" t="s">
        <v>160</v>
      </c>
      <c r="M222" s="104">
        <f>E75</f>
        <v>2.3E-2</v>
      </c>
      <c r="N222" s="68"/>
      <c r="O222" s="68"/>
      <c r="P222" s="68"/>
    </row>
    <row r="223" spans="11:20" x14ac:dyDescent="0.25">
      <c r="K223" s="68"/>
      <c r="L223" s="68"/>
      <c r="M223" s="68">
        <v>2023</v>
      </c>
      <c r="N223" s="68">
        <v>2024</v>
      </c>
      <c r="O223" s="68"/>
      <c r="P223" s="68"/>
    </row>
    <row r="224" spans="11:20" x14ac:dyDescent="0.25">
      <c r="K224" s="68"/>
      <c r="L224" s="68" t="s">
        <v>161</v>
      </c>
      <c r="M224" s="69">
        <f>F181</f>
        <v>2792953.8</v>
      </c>
      <c r="N224" s="105">
        <f>E187</f>
        <v>2900000</v>
      </c>
      <c r="O224" s="68"/>
      <c r="P224" s="68"/>
    </row>
    <row r="225" spans="11:16" x14ac:dyDescent="0.25">
      <c r="K225" s="68"/>
      <c r="L225" s="68" t="s">
        <v>162</v>
      </c>
      <c r="M225" s="69">
        <f>+M224</f>
        <v>2792953.8</v>
      </c>
      <c r="N225" s="69">
        <f>+N224/(1+M222)</f>
        <v>2834799.6089931577</v>
      </c>
      <c r="O225" s="72"/>
      <c r="P225" s="68"/>
    </row>
    <row r="226" spans="11:16" x14ac:dyDescent="0.25">
      <c r="K226" s="68"/>
      <c r="L226" s="68" t="s">
        <v>163</v>
      </c>
      <c r="M226" s="69">
        <f>+SUM(Q192,O191,R192)/(1+E75)^0.5</f>
        <v>62.287762810157417</v>
      </c>
      <c r="N226" s="72"/>
      <c r="O226" s="68"/>
      <c r="P226" s="68"/>
    </row>
    <row r="227" spans="11:16" x14ac:dyDescent="0.25">
      <c r="K227" s="68"/>
      <c r="L227" s="68" t="s">
        <v>164</v>
      </c>
      <c r="M227" s="137">
        <f>+N225-M225+M226</f>
        <v>41908.096755968087</v>
      </c>
      <c r="N227" s="72"/>
      <c r="O227" s="68"/>
      <c r="P227" s="108"/>
    </row>
    <row r="228" spans="11:16" x14ac:dyDescent="0.25">
      <c r="K228" s="68"/>
      <c r="P228" s="68"/>
    </row>
    <row r="229" spans="11:16" x14ac:dyDescent="0.25">
      <c r="K229" s="70"/>
      <c r="L229" s="70"/>
      <c r="M229" s="90"/>
      <c r="N229" s="68"/>
      <c r="O229" s="68"/>
      <c r="P229" s="70"/>
    </row>
    <row r="230" spans="11:16" x14ac:dyDescent="0.25">
      <c r="K230" s="106" t="s">
        <v>120</v>
      </c>
      <c r="L230" s="68" t="s">
        <v>169</v>
      </c>
      <c r="M230" s="69">
        <f>G142</f>
        <v>-194346.29570111353</v>
      </c>
      <c r="N230" s="72"/>
      <c r="O230" s="68" t="s">
        <v>170</v>
      </c>
      <c r="P230" s="69">
        <f>F183</f>
        <v>-292953.79999999981</v>
      </c>
    </row>
    <row r="231" spans="11:16" x14ac:dyDescent="0.25">
      <c r="K231" s="68"/>
      <c r="L231" s="68" t="s">
        <v>168</v>
      </c>
      <c r="M231" s="73">
        <f>F130/F139</f>
        <v>0.93045017505521765</v>
      </c>
      <c r="N231" s="68"/>
      <c r="O231" s="68" t="s">
        <v>125</v>
      </c>
      <c r="P231" s="73">
        <f>F130/F181</f>
        <v>0.93091407383824254</v>
      </c>
    </row>
    <row r="233" spans="11:16" x14ac:dyDescent="0.25">
      <c r="M233" s="68">
        <v>2023</v>
      </c>
    </row>
    <row r="234" spans="11:16" x14ac:dyDescent="0.25">
      <c r="L234" s="68" t="s">
        <v>165</v>
      </c>
      <c r="M234" s="69">
        <f>G143</f>
        <v>63702.369624716805</v>
      </c>
      <c r="N234" s="68"/>
    </row>
    <row r="235" spans="11:16" x14ac:dyDescent="0.25">
      <c r="L235" s="68" t="s">
        <v>166</v>
      </c>
      <c r="M235" s="69">
        <v>0</v>
      </c>
      <c r="N235" s="68" t="s">
        <v>167</v>
      </c>
    </row>
    <row r="236" spans="11:16" x14ac:dyDescent="0.25">
      <c r="L236" s="70"/>
      <c r="M236" s="70"/>
      <c r="N236" s="70"/>
    </row>
    <row r="237" spans="11:16" x14ac:dyDescent="0.25">
      <c r="L237" s="68" t="s">
        <v>84</v>
      </c>
      <c r="M237" s="138">
        <f>SUM(M234:M235)</f>
        <v>63702.369624716805</v>
      </c>
      <c r="N237" s="72"/>
    </row>
    <row r="238" spans="11:16" x14ac:dyDescent="0.25">
      <c r="L238" s="68" t="s">
        <v>88</v>
      </c>
      <c r="M238" s="138">
        <f>M234+MAX(MAX(0,-G142),MAX(0,-F183))</f>
        <v>356656.16962471663</v>
      </c>
      <c r="N238" s="72"/>
    </row>
  </sheetData>
  <mergeCells count="22">
    <mergeCell ref="C27:D29"/>
    <mergeCell ref="C12:D12"/>
    <mergeCell ref="C13:D15"/>
    <mergeCell ref="C21:D21"/>
    <mergeCell ref="C25:D25"/>
    <mergeCell ref="C26:D26"/>
    <mergeCell ref="E27:F27"/>
    <mergeCell ref="G27:H27"/>
    <mergeCell ref="E28:F28"/>
    <mergeCell ref="G28:H28"/>
    <mergeCell ref="E29:F29"/>
    <mergeCell ref="G29:H29"/>
    <mergeCell ref="D147:I148"/>
    <mergeCell ref="D172:I173"/>
    <mergeCell ref="D191:I192"/>
    <mergeCell ref="D198:I199"/>
    <mergeCell ref="C32:D32"/>
    <mergeCell ref="C73:D73"/>
    <mergeCell ref="D78:E78"/>
    <mergeCell ref="F78:G78"/>
    <mergeCell ref="D117:I118"/>
    <mergeCell ref="D127:I128"/>
  </mergeCells>
  <pageMargins left="0.7" right="0.7" top="0.75" bottom="0.75" header="0.3" footer="0.3"/>
  <pageSetup orientation="portrait" r:id="rId1"/>
  <ignoredErrors>
    <ignoredError sqref="P120" evalError="1"/>
    <ignoredError sqref="P143 M169:M174 M191 R191" formulaRange="1"/>
    <ignoredError sqref="Q149:Q151 X15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69ED90DA4355488D0D69DAB3C66A95" ma:contentTypeVersion="15" ma:contentTypeDescription="Create a new document." ma:contentTypeScope="" ma:versionID="2b0703df7a945697159920c3c89c142f">
  <xsd:schema xmlns:xsd="http://www.w3.org/2001/XMLSchema" xmlns:xs="http://www.w3.org/2001/XMLSchema" xmlns:p="http://schemas.microsoft.com/office/2006/metadata/properties" xmlns:ns3="891cd624-cc4b-492b-be1a-dec0093bbb68" xmlns:ns4="98b3d35a-387f-4215-9461-2bb9e18af19d" targetNamespace="http://schemas.microsoft.com/office/2006/metadata/properties" ma:root="true" ma:fieldsID="2366889d0b080bc6587bf57d0287f7f5" ns3:_="" ns4:_="">
    <xsd:import namespace="891cd624-cc4b-492b-be1a-dec0093bbb68"/>
    <xsd:import namespace="98b3d35a-387f-4215-9461-2bb9e18af1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cd624-cc4b-492b-be1a-dec0093bb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d35a-387f-4215-9461-2bb9e18af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1cd624-cc4b-492b-be1a-dec0093bbb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E0C24-AFC5-44E9-84E3-4B65E23D2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1cd624-cc4b-492b-be1a-dec0093bbb68"/>
    <ds:schemaRef ds:uri="98b3d35a-387f-4215-9461-2bb9e18af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6B9C0-BEA1-45B7-9751-DBFC3E62746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8b3d35a-387f-4215-9461-2bb9e18af19d"/>
    <ds:schemaRef ds:uri="http://purl.org/dc/terms/"/>
    <ds:schemaRef ds:uri="891cd624-cc4b-492b-be1a-dec0093bbb68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C9C720F-26B4-4768-8EEC-1AEAD8275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 3</vt:lpstr>
      <vt:lpstr>'Question 3'!_Hlk6488088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dcterms:created xsi:type="dcterms:W3CDTF">2023-06-09T18:44:21Z</dcterms:created>
  <dcterms:modified xsi:type="dcterms:W3CDTF">2023-07-31T15:49:05Z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PR_PEERREVIEW">
    <vt:lpwstr>Peer Review Identifier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2023-06-09T18:44:22Z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011b89b9-2288-42a2-958f-37a755a71cae</vt:lpwstr>
  </property>
  <property fmtid="{D5CDD505-2E9C-101B-9397-08002B2CF9AE}" pid="9" name="MSIP_Label_38f1469a-2c2a-4aee-b92b-090d4c5468ff_ContentBits">
    <vt:lpwstr>0</vt:lpwstr>
  </property>
  <property fmtid="{D5CDD505-2E9C-101B-9397-08002B2CF9AE}" pid="10" name="ContentTypeId">
    <vt:lpwstr>0x0101009569ED90DA4355488D0D69DAB3C66A95</vt:lpwstr>
  </property>
</Properties>
</file>