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leshia\Fall 2023 Solutions\"/>
    </mc:Choice>
  </mc:AlternateContent>
  <xr:revisionPtr revIDLastSave="0" documentId="8_{5C19D469-249D-4F8B-9215-6CB924AAABB5}" xr6:coauthVersionLast="47" xr6:coauthVersionMax="47" xr10:uidLastSave="{00000000-0000-0000-0000-000000000000}"/>
  <bookViews>
    <workbookView xWindow="29580" yWindow="780" windowWidth="15375" windowHeight="7815" firstSheet="1" activeTab="1" xr2:uid="{00000000-000D-0000-FFFF-FFFF00000000}"/>
  </bookViews>
  <sheets>
    <sheet name="Candidate #" sheetId="3" r:id="rId1"/>
    <sheet name="Q6" sheetId="16" r:id="rId2"/>
    <sheet name="Q8 " sheetId="20" r:id="rId3"/>
  </sheets>
  <externalReferences>
    <externalReference r:id="rId4"/>
    <externalReference r:id="rId5"/>
  </externalReferences>
  <definedNames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2</definedName>
    <definedName name="_AtRisk_SimSetting_MultipleCPUManualCount" hidden="1">2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Hlk125887912" localSheetId="1">'Q6'!$A$36</definedName>
    <definedName name="ActualVol">#REF!</definedName>
    <definedName name="d1_">'Q8 '!#REF!</definedName>
    <definedName name="d2_">'Q8 '!$B$9</definedName>
    <definedName name="Dividend">'Q8 '!$B$6</definedName>
    <definedName name="ImpliedVol">'Q8 '!$B$8</definedName>
    <definedName name="ImpliedVol1">'Q8 '!$B$8</definedName>
    <definedName name="ImpliedVol2" localSheetId="2">'Q8 '!#REF!</definedName>
    <definedName name="ImpliedVol2">#REF!</definedName>
    <definedName name="Interest_Rate" localSheetId="2">'Q8 '!$B$5</definedName>
    <definedName name="Interest_Rate">#REF!</definedName>
    <definedName name="matrix1">'[1] part d(4 points)'!#REF!</definedName>
    <definedName name="matrix2">'[1] part d(4 points)'!#REF!</definedName>
    <definedName name="Maturity_T" localSheetId="2">'Q8 '!$B$7</definedName>
    <definedName name="Maturity_T">#REF!</definedName>
    <definedName name="Maturity_T1" localSheetId="2">#REF!</definedName>
    <definedName name="Maturity_T1">'[2]CBT Q1d'!$B$6</definedName>
    <definedName name="Maturity_T2" localSheetId="2">#REF!</definedName>
    <definedName name="Maturity_T2">'[2]CBT Q1d'!$B$7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FALSE</definedName>
    <definedName name="Stock_S" localSheetId="2">'Q8 '!$B$2</definedName>
    <definedName name="Stock_S">#REF!</definedName>
    <definedName name="Strike_K" localSheetId="2">'Q8 '!$B$3</definedName>
    <definedName name="Strike_K">#REF!</definedName>
    <definedName name="Strike_K1">'Q8 '!$B$3</definedName>
    <definedName name="Strike_K2">'Q8 '!$B$4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0" l="1"/>
  <c r="D15" i="20"/>
  <c r="D16" i="20"/>
  <c r="D17" i="20"/>
  <c r="D18" i="20"/>
  <c r="D19" i="20"/>
  <c r="D20" i="20"/>
  <c r="F21" i="20"/>
  <c r="D21" i="20" s="1"/>
  <c r="C21" i="20" s="1"/>
  <c r="G21" i="20"/>
  <c r="E21" i="20" s="1"/>
  <c r="F22" i="20"/>
  <c r="D22" i="20" s="1"/>
  <c r="G22" i="20"/>
  <c r="E22" i="20" s="1"/>
  <c r="F23" i="20"/>
  <c r="D23" i="20" s="1"/>
  <c r="G23" i="20"/>
  <c r="E23" i="20" s="1"/>
  <c r="F24" i="20"/>
  <c r="D24" i="20" s="1"/>
  <c r="G24" i="20"/>
  <c r="E24" i="20" s="1"/>
  <c r="F25" i="20"/>
  <c r="D25" i="20" s="1"/>
  <c r="G25" i="20"/>
  <c r="E25" i="20" s="1"/>
  <c r="F26" i="20"/>
  <c r="D26" i="20" s="1"/>
  <c r="G26" i="20"/>
  <c r="H48" i="20" s="1"/>
  <c r="I48" i="20" s="1"/>
  <c r="E48" i="20" s="1"/>
  <c r="D27" i="20"/>
  <c r="C27" i="20" s="1"/>
  <c r="F27" i="20"/>
  <c r="G27" i="20"/>
  <c r="E27" i="20" s="1"/>
  <c r="F28" i="20"/>
  <c r="D28" i="20" s="1"/>
  <c r="C28" i="20" s="1"/>
  <c r="G28" i="20"/>
  <c r="E28" i="20" s="1"/>
  <c r="F29" i="20"/>
  <c r="D29" i="20" s="1"/>
  <c r="G29" i="20"/>
  <c r="E29" i="20" s="1"/>
  <c r="D30" i="20"/>
  <c r="C30" i="20" s="1"/>
  <c r="E30" i="20"/>
  <c r="F30" i="20"/>
  <c r="G30" i="20"/>
  <c r="D31" i="20"/>
  <c r="C31" i="20" s="1"/>
  <c r="F31" i="20"/>
  <c r="G31" i="20"/>
  <c r="E31" i="20" s="1"/>
  <c r="F32" i="20"/>
  <c r="D32" i="20" s="1"/>
  <c r="G32" i="20"/>
  <c r="E32" i="20" s="1"/>
  <c r="E33" i="20"/>
  <c r="F33" i="20"/>
  <c r="D33" i="20" s="1"/>
  <c r="C33" i="20" s="1"/>
  <c r="G33" i="20"/>
  <c r="F34" i="20"/>
  <c r="D34" i="20" s="1"/>
  <c r="G34" i="20"/>
  <c r="E34" i="20" s="1"/>
  <c r="F35" i="20"/>
  <c r="F57" i="20" s="1"/>
  <c r="G57" i="20" s="1"/>
  <c r="D57" i="20" s="1"/>
  <c r="G35" i="20"/>
  <c r="E35" i="20" s="1"/>
  <c r="F36" i="20"/>
  <c r="D36" i="20" s="1"/>
  <c r="C36" i="20" s="1"/>
  <c r="G36" i="20"/>
  <c r="E36" i="20" s="1"/>
  <c r="F37" i="20"/>
  <c r="D37" i="20" s="1"/>
  <c r="C37" i="20" s="1"/>
  <c r="G37" i="20"/>
  <c r="E37" i="20" s="1"/>
  <c r="F38" i="20"/>
  <c r="F60" i="20" s="1"/>
  <c r="G60" i="20" s="1"/>
  <c r="D60" i="20" s="1"/>
  <c r="G38" i="20"/>
  <c r="E38" i="20" s="1"/>
  <c r="F39" i="20"/>
  <c r="D39" i="20" s="1"/>
  <c r="G39" i="20"/>
  <c r="E39" i="20" s="1"/>
  <c r="B43" i="20"/>
  <c r="H43" i="20"/>
  <c r="I43" i="20"/>
  <c r="E43" i="20" s="1"/>
  <c r="B44" i="20"/>
  <c r="F44" i="20"/>
  <c r="G44" i="20" s="1"/>
  <c r="D44" i="20" s="1"/>
  <c r="H44" i="20"/>
  <c r="I44" i="20" s="1"/>
  <c r="E44" i="20" s="1"/>
  <c r="B45" i="20"/>
  <c r="B71" i="20" s="1"/>
  <c r="F45" i="20"/>
  <c r="G45" i="20"/>
  <c r="D45" i="20" s="1"/>
  <c r="B46" i="20"/>
  <c r="F46" i="20"/>
  <c r="G46" i="20" s="1"/>
  <c r="D46" i="20" s="1"/>
  <c r="C46" i="20" s="1"/>
  <c r="H46" i="20"/>
  <c r="I46" i="20"/>
  <c r="E46" i="20" s="1"/>
  <c r="B47" i="20"/>
  <c r="B73" i="20" s="1"/>
  <c r="F47" i="20"/>
  <c r="G47" i="20"/>
  <c r="H47" i="20"/>
  <c r="I47" i="20" s="1"/>
  <c r="B48" i="20"/>
  <c r="F48" i="20"/>
  <c r="G48" i="20"/>
  <c r="D48" i="20" s="1"/>
  <c r="B49" i="20"/>
  <c r="B75" i="20" s="1"/>
  <c r="F49" i="20"/>
  <c r="G49" i="20"/>
  <c r="H49" i="20"/>
  <c r="I49" i="20"/>
  <c r="E49" i="20" s="1"/>
  <c r="B50" i="20"/>
  <c r="B76" i="20" s="1"/>
  <c r="B51" i="20"/>
  <c r="F51" i="20"/>
  <c r="G51" i="20"/>
  <c r="H51" i="20"/>
  <c r="I51" i="20" s="1"/>
  <c r="E51" i="20" s="1"/>
  <c r="B52" i="20"/>
  <c r="F52" i="20"/>
  <c r="G52" i="20"/>
  <c r="H52" i="20"/>
  <c r="I52" i="20" s="1"/>
  <c r="E52" i="20" s="1"/>
  <c r="B53" i="20"/>
  <c r="F53" i="20"/>
  <c r="G53" i="20" s="1"/>
  <c r="D53" i="20" s="1"/>
  <c r="H53" i="20"/>
  <c r="I53" i="20" s="1"/>
  <c r="E53" i="20" s="1"/>
  <c r="B54" i="20"/>
  <c r="B80" i="20" s="1"/>
  <c r="F54" i="20"/>
  <c r="G54" i="20"/>
  <c r="H54" i="20"/>
  <c r="I54" i="20" s="1"/>
  <c r="E54" i="20" s="1"/>
  <c r="B55" i="20"/>
  <c r="F55" i="20"/>
  <c r="G55" i="20" s="1"/>
  <c r="D55" i="20" s="1"/>
  <c r="H55" i="20"/>
  <c r="I55" i="20"/>
  <c r="E55" i="20" s="1"/>
  <c r="B56" i="20"/>
  <c r="B82" i="20" s="1"/>
  <c r="F56" i="20"/>
  <c r="G56" i="20"/>
  <c r="H56" i="20"/>
  <c r="I56" i="20"/>
  <c r="B57" i="20"/>
  <c r="H57" i="20"/>
  <c r="I57" i="20" s="1"/>
  <c r="E57" i="20" s="1"/>
  <c r="B58" i="20"/>
  <c r="H58" i="20"/>
  <c r="I58" i="20" s="1"/>
  <c r="E58" i="20" s="1"/>
  <c r="B59" i="20"/>
  <c r="F59" i="20"/>
  <c r="G59" i="20" s="1"/>
  <c r="D59" i="20" s="1"/>
  <c r="H59" i="20"/>
  <c r="I59" i="20" s="1"/>
  <c r="E59" i="20" s="1"/>
  <c r="B60" i="20"/>
  <c r="H60" i="20"/>
  <c r="I60" i="20"/>
  <c r="E60" i="20" s="1"/>
  <c r="B61" i="20"/>
  <c r="F61" i="20"/>
  <c r="G61" i="20" s="1"/>
  <c r="D61" i="20" s="1"/>
  <c r="H61" i="20"/>
  <c r="I61" i="20" s="1"/>
  <c r="E61" i="20" s="1"/>
  <c r="F66" i="20"/>
  <c r="G66" i="20" s="1"/>
  <c r="D66" i="20" s="1"/>
  <c r="H66" i="20"/>
  <c r="I66" i="20" s="1"/>
  <c r="E66" i="20" s="1"/>
  <c r="F67" i="20"/>
  <c r="G67" i="20" s="1"/>
  <c r="D67" i="20" s="1"/>
  <c r="H67" i="20"/>
  <c r="I67" i="20" s="1"/>
  <c r="E67" i="20" s="1"/>
  <c r="F68" i="20"/>
  <c r="G68" i="20" s="1"/>
  <c r="D68" i="20" s="1"/>
  <c r="H68" i="20"/>
  <c r="I68" i="20"/>
  <c r="E68" i="20" s="1"/>
  <c r="F69" i="20"/>
  <c r="G69" i="20" s="1"/>
  <c r="D69" i="20" s="1"/>
  <c r="C69" i="20" s="1"/>
  <c r="H69" i="20"/>
  <c r="I69" i="20"/>
  <c r="E69" i="20" s="1"/>
  <c r="B70" i="20"/>
  <c r="H70" i="20" s="1"/>
  <c r="I70" i="20" s="1"/>
  <c r="B72" i="20"/>
  <c r="H72" i="20" s="1"/>
  <c r="I72" i="20" s="1"/>
  <c r="E72" i="20" s="1"/>
  <c r="B74" i="20"/>
  <c r="H74" i="20" s="1"/>
  <c r="I74" i="20" s="1"/>
  <c r="B77" i="20"/>
  <c r="H77" i="20" s="1"/>
  <c r="I77" i="20" s="1"/>
  <c r="E77" i="20" s="1"/>
  <c r="B78" i="20"/>
  <c r="H78" i="20" s="1"/>
  <c r="I78" i="20" s="1"/>
  <c r="B79" i="20"/>
  <c r="H79" i="20" s="1"/>
  <c r="D79" i="20"/>
  <c r="F79" i="20"/>
  <c r="G79" i="20" s="1"/>
  <c r="I79" i="20"/>
  <c r="E79" i="20" s="1"/>
  <c r="B81" i="20"/>
  <c r="B83" i="20"/>
  <c r="B84" i="20"/>
  <c r="B85" i="20"/>
  <c r="B86" i="20"/>
  <c r="F86" i="20" s="1"/>
  <c r="G86" i="20" s="1"/>
  <c r="D86" i="20" s="1"/>
  <c r="H86" i="20"/>
  <c r="I86" i="20" s="1"/>
  <c r="E86" i="20" s="1"/>
  <c r="B87" i="20"/>
  <c r="H87" i="20" s="1"/>
  <c r="I87" i="20" s="1"/>
  <c r="E87" i="20" s="1"/>
  <c r="F87" i="20"/>
  <c r="G87" i="20" s="1"/>
  <c r="D87" i="20" s="1"/>
  <c r="C87" i="20" s="1"/>
  <c r="F88" i="20"/>
  <c r="G88" i="20" s="1"/>
  <c r="D88" i="20" s="1"/>
  <c r="H88" i="20"/>
  <c r="I88" i="20" s="1"/>
  <c r="E88" i="20" s="1"/>
  <c r="F89" i="20"/>
  <c r="G89" i="20" s="1"/>
  <c r="D89" i="20" s="1"/>
  <c r="H89" i="20"/>
  <c r="I89" i="20" s="1"/>
  <c r="E89" i="20" s="1"/>
  <c r="C55" i="20" l="1"/>
  <c r="F82" i="20"/>
  <c r="G82" i="20" s="1"/>
  <c r="D82" i="20" s="1"/>
  <c r="C82" i="20" s="1"/>
  <c r="H82" i="20"/>
  <c r="I82" i="20" s="1"/>
  <c r="E82" i="20" s="1"/>
  <c r="C88" i="20"/>
  <c r="C59" i="20"/>
  <c r="C22" i="20"/>
  <c r="C39" i="20"/>
  <c r="C68" i="20"/>
  <c r="D51" i="20"/>
  <c r="C51" i="20" s="1"/>
  <c r="F43" i="20"/>
  <c r="G43" i="20" s="1"/>
  <c r="D43" i="20" s="1"/>
  <c r="D35" i="20"/>
  <c r="C35" i="20" s="1"/>
  <c r="C32" i="20"/>
  <c r="C26" i="20"/>
  <c r="C66" i="20"/>
  <c r="D38" i="20"/>
  <c r="C38" i="20" s="1"/>
  <c r="C29" i="20"/>
  <c r="E26" i="20"/>
  <c r="F72" i="20"/>
  <c r="G72" i="20" s="1"/>
  <c r="D72" i="20" s="1"/>
  <c r="C72" i="20" s="1"/>
  <c r="C79" i="20"/>
  <c r="E56" i="20"/>
  <c r="D52" i="20"/>
  <c r="C52" i="20" s="1"/>
  <c r="C25" i="20"/>
  <c r="D81" i="20"/>
  <c r="D56" i="20"/>
  <c r="C24" i="20"/>
  <c r="H81" i="20"/>
  <c r="I81" i="20" s="1"/>
  <c r="E81" i="20" s="1"/>
  <c r="C81" i="20" s="1"/>
  <c r="F81" i="20"/>
  <c r="G81" i="20" s="1"/>
  <c r="C89" i="20"/>
  <c r="F80" i="20"/>
  <c r="G80" i="20" s="1"/>
  <c r="D80" i="20" s="1"/>
  <c r="C80" i="20" s="1"/>
  <c r="H80" i="20"/>
  <c r="I80" i="20" s="1"/>
  <c r="E80" i="20" s="1"/>
  <c r="C44" i="20"/>
  <c r="H71" i="20"/>
  <c r="I71" i="20" s="1"/>
  <c r="E71" i="20" s="1"/>
  <c r="F71" i="20"/>
  <c r="G71" i="20" s="1"/>
  <c r="D71" i="20"/>
  <c r="H73" i="20"/>
  <c r="I73" i="20" s="1"/>
  <c r="E73" i="20" s="1"/>
  <c r="F73" i="20"/>
  <c r="G73" i="20" s="1"/>
  <c r="D73" i="20" s="1"/>
  <c r="C86" i="20"/>
  <c r="H76" i="20"/>
  <c r="I76" i="20" s="1"/>
  <c r="E76" i="20" s="1"/>
  <c r="F76" i="20"/>
  <c r="G76" i="20" s="1"/>
  <c r="D76" i="20" s="1"/>
  <c r="H75" i="20"/>
  <c r="I75" i="20" s="1"/>
  <c r="E75" i="20" s="1"/>
  <c r="F75" i="20"/>
  <c r="G75" i="20" s="1"/>
  <c r="D75" i="20" s="1"/>
  <c r="C67" i="20"/>
  <c r="C48" i="20"/>
  <c r="H83" i="20"/>
  <c r="I83" i="20" s="1"/>
  <c r="E83" i="20" s="1"/>
  <c r="F77" i="20"/>
  <c r="G77" i="20" s="1"/>
  <c r="D77" i="20" s="1"/>
  <c r="C77" i="20" s="1"/>
  <c r="C45" i="20"/>
  <c r="C56" i="20"/>
  <c r="C43" i="20"/>
  <c r="C23" i="20"/>
  <c r="H84" i="20"/>
  <c r="I84" i="20" s="1"/>
  <c r="E84" i="20" s="1"/>
  <c r="F83" i="20"/>
  <c r="G83" i="20" s="1"/>
  <c r="D83" i="20" s="1"/>
  <c r="C83" i="20" s="1"/>
  <c r="C61" i="20"/>
  <c r="C57" i="20"/>
  <c r="C53" i="20"/>
  <c r="D49" i="20"/>
  <c r="C49" i="20" s="1"/>
  <c r="E47" i="20"/>
  <c r="C60" i="20"/>
  <c r="H85" i="20"/>
  <c r="I85" i="20" s="1"/>
  <c r="E85" i="20" s="1"/>
  <c r="F84" i="20"/>
  <c r="G84" i="20" s="1"/>
  <c r="D84" i="20" s="1"/>
  <c r="F78" i="20"/>
  <c r="G78" i="20" s="1"/>
  <c r="F74" i="20"/>
  <c r="G74" i="20" s="1"/>
  <c r="D74" i="20" s="1"/>
  <c r="F70" i="20"/>
  <c r="G70" i="20" s="1"/>
  <c r="D70" i="20" s="1"/>
  <c r="C70" i="20" s="1"/>
  <c r="H50" i="20"/>
  <c r="I50" i="20" s="1"/>
  <c r="E50" i="20" s="1"/>
  <c r="E74" i="20"/>
  <c r="D54" i="20"/>
  <c r="C54" i="20" s="1"/>
  <c r="D47" i="20"/>
  <c r="F85" i="20"/>
  <c r="G85" i="20" s="1"/>
  <c r="D85" i="20" s="1"/>
  <c r="E78" i="20"/>
  <c r="E70" i="20"/>
  <c r="D78" i="20"/>
  <c r="F58" i="20"/>
  <c r="G58" i="20" s="1"/>
  <c r="D58" i="20" s="1"/>
  <c r="C58" i="20" s="1"/>
  <c r="F50" i="20"/>
  <c r="G50" i="20" s="1"/>
  <c r="D50" i="20" s="1"/>
  <c r="H45" i="20"/>
  <c r="I45" i="20" s="1"/>
  <c r="E45" i="20" s="1"/>
  <c r="C34" i="20"/>
  <c r="F94" i="16"/>
  <c r="F93" i="16"/>
  <c r="E94" i="16"/>
  <c r="M94" i="16" s="1"/>
  <c r="E93" i="16"/>
  <c r="L94" i="16"/>
  <c r="L93" i="16"/>
  <c r="I94" i="16"/>
  <c r="I93" i="16"/>
  <c r="K94" i="16"/>
  <c r="K93" i="16"/>
  <c r="H94" i="16"/>
  <c r="H93" i="16"/>
  <c r="J94" i="16"/>
  <c r="J93" i="16"/>
  <c r="G94" i="16"/>
  <c r="G93" i="16"/>
  <c r="D94" i="16"/>
  <c r="E63" i="16"/>
  <c r="E62" i="16"/>
  <c r="L76" i="16"/>
  <c r="I76" i="16"/>
  <c r="I75" i="16"/>
  <c r="L72" i="16"/>
  <c r="K72" i="16" s="1"/>
  <c r="M72" i="16" s="1"/>
  <c r="L71" i="16"/>
  <c r="K71" i="16"/>
  <c r="M71" i="16" s="1"/>
  <c r="L70" i="16"/>
  <c r="K70" i="16"/>
  <c r="M70" i="16" s="1"/>
  <c r="L69" i="16"/>
  <c r="K69" i="16"/>
  <c r="M69" i="16" s="1"/>
  <c r="L68" i="16"/>
  <c r="K68" i="16" s="1"/>
  <c r="M68" i="16" s="1"/>
  <c r="L45" i="16"/>
  <c r="K45" i="16" s="1"/>
  <c r="M45" i="16" s="1"/>
  <c r="L44" i="16"/>
  <c r="K44" i="16" s="1"/>
  <c r="M44" i="16" s="1"/>
  <c r="L43" i="16"/>
  <c r="K43" i="16" s="1"/>
  <c r="M43" i="16" s="1"/>
  <c r="L42" i="16"/>
  <c r="K42" i="16" s="1"/>
  <c r="M42" i="16" s="1"/>
  <c r="L41" i="16"/>
  <c r="K41" i="16" s="1"/>
  <c r="M41" i="16" s="1"/>
  <c r="C74" i="20" l="1"/>
  <c r="C73" i="20"/>
  <c r="C47" i="20"/>
  <c r="C50" i="20"/>
  <c r="C76" i="20"/>
  <c r="C78" i="20"/>
  <c r="C85" i="20"/>
  <c r="C84" i="20"/>
  <c r="C75" i="20"/>
  <c r="C71" i="20"/>
  <c r="N93" i="16"/>
  <c r="N94" i="16" s="1"/>
  <c r="E86" i="16" s="1"/>
  <c r="M93" i="16"/>
  <c r="I72" i="16" l="1"/>
  <c r="I71" i="16"/>
  <c r="I70" i="16"/>
  <c r="I69" i="16"/>
  <c r="I68" i="16"/>
  <c r="N45" i="16"/>
  <c r="N44" i="16"/>
  <c r="N43" i="16"/>
  <c r="N42" i="16"/>
  <c r="N41" i="16"/>
  <c r="N47" i="16" l="1"/>
</calcChain>
</file>

<file path=xl/sharedStrings.xml><?xml version="1.0" encoding="utf-8"?>
<sst xmlns="http://schemas.openxmlformats.org/spreadsheetml/2006/main" count="89" uniqueCount="67">
  <si>
    <t>Candidate No.</t>
  </si>
  <si>
    <t>Fill in your final answers here:</t>
  </si>
  <si>
    <t>Show your work here:</t>
  </si>
  <si>
    <t>6.</t>
  </si>
  <si>
    <t>Stock (S)</t>
  </si>
  <si>
    <t>Interest Rate (r )</t>
  </si>
  <si>
    <t>Dividend (d)</t>
  </si>
  <si>
    <t>Maturity (T)</t>
  </si>
  <si>
    <t>Implied Vol</t>
  </si>
  <si>
    <t>Stock</t>
  </si>
  <si>
    <t xml:space="preserve">the best parametrization </t>
  </si>
  <si>
    <t xml:space="preserve"> </t>
  </si>
  <si>
    <t>Zero-coupon bond (4 year)</t>
  </si>
  <si>
    <t>Cash</t>
  </si>
  <si>
    <t>P_0.5</t>
  </si>
  <si>
    <t>σ</t>
  </si>
  <si>
    <t>ϒ</t>
  </si>
  <si>
    <t>r</t>
  </si>
  <si>
    <t>r0</t>
  </si>
  <si>
    <t>Choose from 3 choices</t>
  </si>
  <si>
    <t>Observed Bond Price</t>
  </si>
  <si>
    <t>Time (year)</t>
  </si>
  <si>
    <t>A(t,T)</t>
  </si>
  <si>
    <t>B(t,T)</t>
  </si>
  <si>
    <t>Z</t>
  </si>
  <si>
    <t>Difference</t>
  </si>
  <si>
    <t>Sum of Square of Differences</t>
  </si>
  <si>
    <t>Strike (K1)</t>
  </si>
  <si>
    <t>Strike (K2)</t>
  </si>
  <si>
    <t xml:space="preserve"> B(0,t)*Z(0,t)</t>
  </si>
  <si>
    <t>t=2</t>
  </si>
  <si>
    <t>t=4</t>
  </si>
  <si>
    <t>delta</t>
  </si>
  <si>
    <t>choice1</t>
  </si>
  <si>
    <t>choice2</t>
  </si>
  <si>
    <t>choice3</t>
  </si>
  <si>
    <t>choice 3 gives the lowest sum of square difference, thus the best choice</t>
  </si>
  <si>
    <t>Z(2)</t>
  </si>
  <si>
    <t>Z(4)</t>
  </si>
  <si>
    <t>r(t)</t>
  </si>
  <si>
    <t>Time t</t>
  </si>
  <si>
    <t>T-t</t>
  </si>
  <si>
    <t>B</t>
  </si>
  <si>
    <t>A</t>
  </si>
  <si>
    <t>Δ</t>
  </si>
  <si>
    <t>For Z(2)</t>
  </si>
  <si>
    <t>For Z(4)</t>
  </si>
  <si>
    <t>N'(d1) K=90</t>
  </si>
  <si>
    <t>d1 (K=90)</t>
  </si>
  <si>
    <t>N'(d1) (K=110)</t>
  </si>
  <si>
    <t>d1 (K=110)</t>
  </si>
  <si>
    <t>Vega (OTM put)</t>
  </si>
  <si>
    <t>Vega (OTM call)</t>
  </si>
  <si>
    <t>Vega</t>
  </si>
  <si>
    <t>N'(d1) K=120</t>
  </si>
  <si>
    <t>d1 (K=120)</t>
  </si>
  <si>
    <t>N'(d1) (K=100)</t>
  </si>
  <si>
    <t>d1 (K=100)</t>
  </si>
  <si>
    <t>Gamma (OTM call)</t>
  </si>
  <si>
    <t>Gamma (ATM call)</t>
  </si>
  <si>
    <t>Gamma</t>
  </si>
  <si>
    <t>d1 (K2=120)</t>
  </si>
  <si>
    <t>d1 (K1=100)</t>
  </si>
  <si>
    <t>N(d1) when K2=120</t>
  </si>
  <si>
    <t>N(d1) where K1=100</t>
  </si>
  <si>
    <t>Call Spread Delta</t>
  </si>
  <si>
    <t>Populate the highlighted range: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</si>
</sst>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0"/>
    <numFmt numFmtId="165" formatCode="0.0"/>
    <numFmt numFmtId="166" formatCode="0.0%"/>
    <numFmt numFmtId="167" formatCode="_(* #,##0_);_(* \(#,##0\);_(* &quot;-&quot;??_);_(@_)"/>
    <numFmt numFmtId="168" formatCode="_(* #,##0.0_);_(* \(#,##0.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SwissReSans"/>
      <family val="2"/>
    </font>
    <font>
      <sz val="10"/>
      <color theme="1"/>
      <name val="Arial"/>
      <family val="2"/>
    </font>
    <font>
      <b/>
      <sz val="18"/>
      <color rgb="FF000000"/>
      <name val="Times New Roman"/>
      <family val="1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1" applyFont="1"/>
    <xf numFmtId="0" fontId="1" fillId="0" borderId="0" xfId="1"/>
    <xf numFmtId="0" fontId="1" fillId="2" borderId="0" xfId="1" applyFill="1"/>
    <xf numFmtId="0" fontId="0" fillId="2" borderId="0" xfId="0" applyFill="1"/>
    <xf numFmtId="0" fontId="2" fillId="3" borderId="1" xfId="0" applyFont="1" applyFill="1" applyBorder="1" applyAlignment="1">
      <alignment horizontal="left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4"/>
    </xf>
    <xf numFmtId="0" fontId="2" fillId="3" borderId="1" xfId="0" applyFont="1" applyFill="1" applyBorder="1" applyAlignment="1">
      <alignment horizontal="left"/>
    </xf>
    <xf numFmtId="0" fontId="4" fillId="0" borderId="0" xfId="0" applyFont="1" applyAlignment="1">
      <alignment horizontal="left" vertical="center" indent="9"/>
    </xf>
    <xf numFmtId="0" fontId="5" fillId="0" borderId="0" xfId="0" applyFont="1" applyAlignment="1">
      <alignment vertical="center" wrapText="1"/>
    </xf>
    <xf numFmtId="0" fontId="8" fillId="0" borderId="0" xfId="0" quotePrefix="1" applyFont="1" applyAlignment="1">
      <alignment vertical="center"/>
    </xf>
    <xf numFmtId="164" fontId="0" fillId="2" borderId="0" xfId="0" applyNumberForma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164" fontId="0" fillId="0" borderId="0" xfId="0" applyNumberFormat="1"/>
    <xf numFmtId="165" fontId="0" fillId="0" borderId="0" xfId="0" applyNumberFormat="1"/>
    <xf numFmtId="0" fontId="9" fillId="0" borderId="0" xfId="0" applyFont="1"/>
    <xf numFmtId="9" fontId="0" fillId="0" borderId="0" xfId="0" applyNumberFormat="1"/>
    <xf numFmtId="166" fontId="0" fillId="0" borderId="0" xfId="0" applyNumberFormat="1"/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0" fillId="0" borderId="4" xfId="0" applyBorder="1"/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0" fillId="0" borderId="9" xfId="0" applyBorder="1"/>
    <xf numFmtId="0" fontId="2" fillId="0" borderId="9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167" fontId="0" fillId="0" borderId="0" xfId="7" applyNumberFormat="1" applyFont="1" applyBorder="1"/>
    <xf numFmtId="167" fontId="0" fillId="0" borderId="9" xfId="7" applyNumberFormat="1" applyFont="1" applyBorder="1"/>
    <xf numFmtId="9" fontId="0" fillId="2" borderId="0" xfId="8" applyFont="1" applyFill="1"/>
    <xf numFmtId="166" fontId="9" fillId="0" borderId="0" xfId="0" applyNumberFormat="1" applyFont="1"/>
    <xf numFmtId="2" fontId="0" fillId="2" borderId="0" xfId="0" applyNumberFormat="1" applyFill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167" fontId="0" fillId="0" borderId="14" xfId="7" applyNumberFormat="1" applyFont="1" applyBorder="1"/>
    <xf numFmtId="168" fontId="0" fillId="0" borderId="16" xfId="7" applyNumberFormat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2" fontId="0" fillId="0" borderId="0" xfId="0" applyNumberFormat="1"/>
    <xf numFmtId="2" fontId="0" fillId="0" borderId="15" xfId="0" applyNumberFormat="1" applyBorder="1"/>
    <xf numFmtId="2" fontId="0" fillId="0" borderId="17" xfId="0" applyNumberFormat="1" applyBorder="1"/>
    <xf numFmtId="2" fontId="0" fillId="0" borderId="18" xfId="0" applyNumberFormat="1" applyBorder="1"/>
    <xf numFmtId="0" fontId="0" fillId="0" borderId="19" xfId="0" applyBorder="1"/>
    <xf numFmtId="0" fontId="0" fillId="0" borderId="9" xfId="0" applyBorder="1" applyAlignment="1">
      <alignment wrapText="1"/>
    </xf>
    <xf numFmtId="0" fontId="0" fillId="0" borderId="20" xfId="0" applyBorder="1"/>
    <xf numFmtId="166" fontId="9" fillId="0" borderId="19" xfId="0" applyNumberFormat="1" applyFont="1" applyBorder="1"/>
    <xf numFmtId="166" fontId="9" fillId="0" borderId="20" xfId="0" applyNumberFormat="1" applyFont="1" applyBorder="1"/>
    <xf numFmtId="0" fontId="0" fillId="0" borderId="0" xfId="0" quotePrefix="1"/>
    <xf numFmtId="164" fontId="0" fillId="4" borderId="0" xfId="0" applyNumberFormat="1" applyFill="1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10" fillId="0" borderId="0" xfId="0" applyFont="1"/>
    <xf numFmtId="9" fontId="0" fillId="0" borderId="0" xfId="8" applyFont="1"/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9">
    <cellStyle name="Comma" xfId="7" builtinId="3"/>
    <cellStyle name="Comma 2" xfId="3" xr:uid="{013E871E-8E27-40B9-B345-2F1399ECFCFE}"/>
    <cellStyle name="Comma 3" xfId="6" xr:uid="{7A1C9856-73F6-4FE1-880B-79010E047FF7}"/>
    <cellStyle name="Normal" xfId="0" builtinId="0"/>
    <cellStyle name="Normal 2" xfId="1" xr:uid="{CAA1C0BC-8FAE-4B90-8D84-B1A9C7A8A47E}"/>
    <cellStyle name="Normal 3" xfId="2" xr:uid="{F3A2BCC9-D339-4F74-B60D-EB79F4C41B1D}"/>
    <cellStyle name="Normal 4" xfId="4" xr:uid="{2950DA6C-6E22-4856-A573-2E98B0398A03}"/>
    <cellStyle name="Percent" xfId="8" builtinId="5"/>
    <cellStyle name="Percent 2" xfId="5" xr:uid="{CDB116F1-8CC1-4AB4-AD38-B5C5DB24048F}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Call Spread Delta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'Q8 '!$C$13</c:f>
              <c:strCache>
                <c:ptCount val="1"/>
                <c:pt idx="0">
                  <c:v>Call Spread Delta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'Q8 '!$B$14:$B$39</c:f>
              <c:numCache>
                <c:formatCode>General</c:formatCode>
                <c:ptCount val="19"/>
                <c:pt idx="0">
                  <c:v>70</c:v>
                </c:pt>
                <c:pt idx="1">
                  <c:v>75</c:v>
                </c:pt>
                <c:pt idx="2">
                  <c:v>80</c:v>
                </c:pt>
                <c:pt idx="3">
                  <c:v>85</c:v>
                </c:pt>
                <c:pt idx="4">
                  <c:v>90</c:v>
                </c:pt>
                <c:pt idx="5">
                  <c:v>95</c:v>
                </c:pt>
                <c:pt idx="6">
                  <c:v>100</c:v>
                </c:pt>
                <c:pt idx="7">
                  <c:v>105</c:v>
                </c:pt>
                <c:pt idx="8">
                  <c:v>110</c:v>
                </c:pt>
                <c:pt idx="9">
                  <c:v>115</c:v>
                </c:pt>
                <c:pt idx="10">
                  <c:v>120</c:v>
                </c:pt>
                <c:pt idx="11">
                  <c:v>125</c:v>
                </c:pt>
                <c:pt idx="12">
                  <c:v>130</c:v>
                </c:pt>
                <c:pt idx="13">
                  <c:v>135</c:v>
                </c:pt>
                <c:pt idx="14">
                  <c:v>140</c:v>
                </c:pt>
                <c:pt idx="15">
                  <c:v>145</c:v>
                </c:pt>
                <c:pt idx="16">
                  <c:v>150</c:v>
                </c:pt>
                <c:pt idx="17">
                  <c:v>155</c:v>
                </c:pt>
                <c:pt idx="18">
                  <c:v>160</c:v>
                </c:pt>
              </c:numCache>
            </c:numRef>
          </c:xVal>
          <c:yVal>
            <c:numRef>
              <c:f>'Q8 '!$C$14:$C$39</c:f>
              <c:numCache>
                <c:formatCode>0.0000</c:formatCode>
                <c:ptCount val="19"/>
                <c:pt idx="0">
                  <c:v>1.0426969309960772E-2</c:v>
                </c:pt>
                <c:pt idx="1">
                  <c:v>3.1560461844813113E-2</c:v>
                </c:pt>
                <c:pt idx="2">
                  <c:v>7.459004756270711E-2</c:v>
                </c:pt>
                <c:pt idx="3">
                  <c:v>0.1435405974750992</c:v>
                </c:pt>
                <c:pt idx="4">
                  <c:v>0.23252417621485783</c:v>
                </c:pt>
                <c:pt idx="5">
                  <c:v>0.32563914354647316</c:v>
                </c:pt>
                <c:pt idx="6">
                  <c:v>0.40284883872108357</c:v>
                </c:pt>
                <c:pt idx="7">
                  <c:v>0.44804408253648986</c:v>
                </c:pt>
                <c:pt idx="8">
                  <c:v>0.45451952742421253</c:v>
                </c:pt>
                <c:pt idx="9">
                  <c:v>0.42564243073800223</c:v>
                </c:pt>
                <c:pt idx="10">
                  <c:v>0.3716648175521966</c:v>
                </c:pt>
                <c:pt idx="11">
                  <c:v>0.30517001357842199</c:v>
                </c:pt>
                <c:pt idx="12">
                  <c:v>0.23731996999454696</c:v>
                </c:pt>
                <c:pt idx="13">
                  <c:v>0.17587284676968717</c:v>
                </c:pt>
                <c:pt idx="14">
                  <c:v>0.12486435639985127</c:v>
                </c:pt>
                <c:pt idx="15">
                  <c:v>8.5320505696507287E-2</c:v>
                </c:pt>
                <c:pt idx="16">
                  <c:v>5.6336684780158408E-2</c:v>
                </c:pt>
                <c:pt idx="17">
                  <c:v>3.6073457348615334E-2</c:v>
                </c:pt>
                <c:pt idx="18">
                  <c:v>2.2469790812835733E-2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38-475C-AAB7-E2AAFA342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69424"/>
        <c:axId val="86365680"/>
      </c:scatterChart>
      <c:valAx>
        <c:axId val="86369424"/>
        <c:scaling>
          <c:orientation val="minMax"/>
          <c:max val="170"/>
          <c:min val="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Stock Price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65680"/>
        <c:crosses val="autoZero"/>
        <c:crossBetween val="midCat"/>
        <c:majorUnit val="10"/>
        <c:minorUnit val="5"/>
      </c:valAx>
      <c:valAx>
        <c:axId val="8636568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Call Spread Delta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69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Call Spread Gamma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'Q8 '!$C$42</c:f>
              <c:strCache>
                <c:ptCount val="1"/>
                <c:pt idx="0">
                  <c:v>Gamma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'Q8 '!$B$43:$B$61</c:f>
              <c:numCache>
                <c:formatCode>General</c:formatCode>
                <c:ptCount val="19"/>
                <c:pt idx="0">
                  <c:v>70</c:v>
                </c:pt>
                <c:pt idx="1">
                  <c:v>75</c:v>
                </c:pt>
                <c:pt idx="2">
                  <c:v>80</c:v>
                </c:pt>
                <c:pt idx="3">
                  <c:v>85</c:v>
                </c:pt>
                <c:pt idx="4">
                  <c:v>90</c:v>
                </c:pt>
                <c:pt idx="5">
                  <c:v>95</c:v>
                </c:pt>
                <c:pt idx="6">
                  <c:v>100</c:v>
                </c:pt>
                <c:pt idx="7">
                  <c:v>105</c:v>
                </c:pt>
                <c:pt idx="8">
                  <c:v>110</c:v>
                </c:pt>
                <c:pt idx="9">
                  <c:v>115</c:v>
                </c:pt>
                <c:pt idx="10">
                  <c:v>120</c:v>
                </c:pt>
                <c:pt idx="11">
                  <c:v>125</c:v>
                </c:pt>
                <c:pt idx="12">
                  <c:v>130</c:v>
                </c:pt>
                <c:pt idx="13">
                  <c:v>135</c:v>
                </c:pt>
                <c:pt idx="14">
                  <c:v>140</c:v>
                </c:pt>
                <c:pt idx="15">
                  <c:v>145</c:v>
                </c:pt>
                <c:pt idx="16">
                  <c:v>150</c:v>
                </c:pt>
                <c:pt idx="17">
                  <c:v>155</c:v>
                </c:pt>
                <c:pt idx="18">
                  <c:v>160</c:v>
                </c:pt>
              </c:numCache>
            </c:numRef>
          </c:xVal>
          <c:yVal>
            <c:numRef>
              <c:f>'Q8 '!$C$43:$C$61</c:f>
              <c:numCache>
                <c:formatCode>0.0000</c:formatCode>
                <c:ptCount val="19"/>
                <c:pt idx="0">
                  <c:v>2.6023407017336667E-3</c:v>
                </c:pt>
                <c:pt idx="1">
                  <c:v>6.1604203711028956E-3</c:v>
                </c:pt>
                <c:pt idx="2">
                  <c:v>1.1205988445783327E-2</c:v>
                </c:pt>
                <c:pt idx="3">
                  <c:v>1.6178716459256386E-2</c:v>
                </c:pt>
                <c:pt idx="4">
                  <c:v>1.8862886624750278E-2</c:v>
                </c:pt>
                <c:pt idx="5">
                  <c:v>1.7685740451863906E-2</c:v>
                </c:pt>
                <c:pt idx="6">
                  <c:v>1.2641821254510202E-2</c:v>
                </c:pt>
                <c:pt idx="7">
                  <c:v>5.2111540166871091E-3</c:v>
                </c:pt>
                <c:pt idx="8">
                  <c:v>-2.4967557313574362E-3</c:v>
                </c:pt>
                <c:pt idx="9">
                  <c:v>-8.6960722108396626E-3</c:v>
                </c:pt>
                <c:pt idx="10">
                  <c:v>-1.2462578015701506E-2</c:v>
                </c:pt>
                <c:pt idx="11">
                  <c:v>-1.3756772343431485E-2</c:v>
                </c:pt>
                <c:pt idx="12">
                  <c:v>-1.312392018700342E-2</c:v>
                </c:pt>
                <c:pt idx="13">
                  <c:v>-1.1323116611191444E-2</c:v>
                </c:pt>
                <c:pt idx="14">
                  <c:v>-9.0498913769928475E-3</c:v>
                </c:pt>
                <c:pt idx="15">
                  <c:v>-6.8012097329757876E-3</c:v>
                </c:pt>
                <c:pt idx="16">
                  <c:v>-4.8560126949093547E-3</c:v>
                </c:pt>
                <c:pt idx="17">
                  <c:v>-3.3193085875796537E-3</c:v>
                </c:pt>
                <c:pt idx="18">
                  <c:v>-2.1851152194006132E-3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AF-40DE-9BB0-6A3A86F25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69424"/>
        <c:axId val="86365680"/>
      </c:scatterChart>
      <c:valAx>
        <c:axId val="86369424"/>
        <c:scaling>
          <c:orientation val="minMax"/>
          <c:max val="170"/>
          <c:min val="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Stock Price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65680"/>
        <c:crosses val="autoZero"/>
        <c:crossBetween val="midCat"/>
        <c:majorUnit val="10"/>
        <c:minorUnit val="5"/>
      </c:valAx>
      <c:valAx>
        <c:axId val="86365680"/>
        <c:scaling>
          <c:orientation val="minMax"/>
          <c:max val="2.0000000000000004E-2"/>
          <c:min val="-2.0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Call Spread Gamma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69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Risk Reversal Vega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'Q8 '!$C$65</c:f>
              <c:strCache>
                <c:ptCount val="1"/>
                <c:pt idx="0">
                  <c:v>Vega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'Q8 '!$B$66:$B$89</c:f>
              <c:numCache>
                <c:formatCode>General</c:formatCode>
                <c:ptCount val="24"/>
                <c:pt idx="0">
                  <c:v>55</c:v>
                </c:pt>
                <c:pt idx="1">
                  <c:v>60</c:v>
                </c:pt>
                <c:pt idx="2">
                  <c:v>65</c:v>
                </c:pt>
                <c:pt idx="3">
                  <c:v>70</c:v>
                </c:pt>
                <c:pt idx="4">
                  <c:v>75</c:v>
                </c:pt>
                <c:pt idx="5">
                  <c:v>80</c:v>
                </c:pt>
                <c:pt idx="6">
                  <c:v>85</c:v>
                </c:pt>
                <c:pt idx="7">
                  <c:v>90</c:v>
                </c:pt>
                <c:pt idx="8">
                  <c:v>95</c:v>
                </c:pt>
                <c:pt idx="9">
                  <c:v>100</c:v>
                </c:pt>
                <c:pt idx="10">
                  <c:v>105</c:v>
                </c:pt>
                <c:pt idx="11">
                  <c:v>110</c:v>
                </c:pt>
                <c:pt idx="12">
                  <c:v>115</c:v>
                </c:pt>
                <c:pt idx="13">
                  <c:v>120</c:v>
                </c:pt>
                <c:pt idx="14">
                  <c:v>125</c:v>
                </c:pt>
                <c:pt idx="15">
                  <c:v>130</c:v>
                </c:pt>
                <c:pt idx="16">
                  <c:v>135</c:v>
                </c:pt>
                <c:pt idx="17">
                  <c:v>140</c:v>
                </c:pt>
                <c:pt idx="18">
                  <c:v>145</c:v>
                </c:pt>
                <c:pt idx="19">
                  <c:v>150</c:v>
                </c:pt>
                <c:pt idx="20">
                  <c:v>155</c:v>
                </c:pt>
                <c:pt idx="21">
                  <c:v>160</c:v>
                </c:pt>
                <c:pt idx="22">
                  <c:v>165</c:v>
                </c:pt>
                <c:pt idx="23">
                  <c:v>170</c:v>
                </c:pt>
              </c:numCache>
            </c:numRef>
          </c:xVal>
          <c:yVal>
            <c:numRef>
              <c:f>'Q8 '!$C$66:$C$89</c:f>
              <c:numCache>
                <c:formatCode>0.0000</c:formatCode>
                <c:ptCount val="24"/>
                <c:pt idx="0">
                  <c:v>-2.4182875741260686E-3</c:v>
                </c:pt>
                <c:pt idx="1">
                  <c:v>-2.3970860188612601E-2</c:v>
                </c:pt>
                <c:pt idx="2">
                  <c:v>-0.1442732726901568</c:v>
                </c:pt>
                <c:pt idx="3">
                  <c:v>-0.57707329029530996</c:v>
                </c:pt>
                <c:pt idx="4">
                  <c:v>-1.6398269062883919</c:v>
                </c:pt>
                <c:pt idx="5">
                  <c:v>-3.4747547363997819</c:v>
                </c:pt>
                <c:pt idx="6">
                  <c:v>-5.6709819441013654</c:v>
                </c:pt>
                <c:pt idx="7">
                  <c:v>-7.2314743763625629</c:v>
                </c:pt>
                <c:pt idx="8">
                  <c:v>-7.0920584594250258</c:v>
                </c:pt>
                <c:pt idx="9">
                  <c:v>-4.8210919351684822</c:v>
                </c:pt>
                <c:pt idx="10">
                  <c:v>-0.92191062276250335</c:v>
                </c:pt>
                <c:pt idx="11">
                  <c:v>3.460944325754042</c:v>
                </c:pt>
                <c:pt idx="12">
                  <c:v>7.1432487172940426</c:v>
                </c:pt>
                <c:pt idx="13">
                  <c:v>9.3853171076185333</c:v>
                </c:pt>
                <c:pt idx="14">
                  <c:v>10.039889310985533</c:v>
                </c:pt>
                <c:pt idx="15">
                  <c:v>9.4118933358881911</c:v>
                </c:pt>
                <c:pt idx="16">
                  <c:v>8.0048150373924098</c:v>
                </c:pt>
                <c:pt idx="17">
                  <c:v>6.3039441906308333</c:v>
                </c:pt>
                <c:pt idx="18">
                  <c:v>4.6601455430690866</c:v>
                </c:pt>
                <c:pt idx="19">
                  <c:v>3.2661538795451968</c:v>
                </c:pt>
                <c:pt idx="20">
                  <c:v>2.1870021868573448</c:v>
                </c:pt>
                <c:pt idx="21">
                  <c:v>1.4076445899279606</c:v>
                </c:pt>
                <c:pt idx="22">
                  <c:v>0.87527982672209115</c:v>
                </c:pt>
                <c:pt idx="23">
                  <c:v>0.52800035267505596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9E-487C-A4E5-24140D28F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69424"/>
        <c:axId val="86365680"/>
      </c:scatterChart>
      <c:valAx>
        <c:axId val="86369424"/>
        <c:scaling>
          <c:orientation val="minMax"/>
          <c:max val="170"/>
          <c:min val="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Stock Price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65680"/>
        <c:crosses val="autoZero"/>
        <c:crossBetween val="midCat"/>
        <c:majorUnit val="10"/>
        <c:minorUnit val="5"/>
      </c:valAx>
      <c:valAx>
        <c:axId val="8636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Risk Reversal Vega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69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6.png"/><Relationship Id="rId1" Type="http://schemas.openxmlformats.org/officeDocument/2006/relationships/chart" Target="../charts/chart1.xml"/><Relationship Id="rId6" Type="http://schemas.openxmlformats.org/officeDocument/2006/relationships/image" Target="../media/image8.png"/><Relationship Id="rId5" Type="http://schemas.openxmlformats.org/officeDocument/2006/relationships/chart" Target="../charts/chart3.xml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640079</xdr:colOff>
      <xdr:row>2</xdr:row>
      <xdr:rowOff>0</xdr:rowOff>
    </xdr:from>
    <xdr:to>
      <xdr:col>8</xdr:col>
      <xdr:colOff>267127</xdr:colOff>
      <xdr:row>32</xdr:row>
      <xdr:rowOff>181112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DD7607-914F-91EE-F87D-064F1D06F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079" y="472440"/>
          <a:ext cx="4938188" cy="5976122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35</xdr:row>
      <xdr:rowOff>19050</xdr:rowOff>
    </xdr:from>
    <xdr:to>
      <xdr:col>3</xdr:col>
      <xdr:colOff>590581</xdr:colOff>
      <xdr:row>36</xdr:row>
      <xdr:rowOff>243881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D4362FF-7189-EF47-3B47-3308601AE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8840" y="5703570"/>
          <a:ext cx="361981" cy="47629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8</xdr:col>
      <xdr:colOff>335714</xdr:colOff>
      <xdr:row>58</xdr:row>
      <xdr:rowOff>192142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C95489E-17E4-AAF7-0560-38EC89E4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0080" y="10267950"/>
          <a:ext cx="5006774" cy="135800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8</xdr:col>
      <xdr:colOff>253411</xdr:colOff>
      <xdr:row>81</xdr:row>
      <xdr:rowOff>171515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F7D584-F077-E4CB-11FE-43B64142A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0080" y="15514320"/>
          <a:ext cx="4924471" cy="7544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</xdr:row>
      <xdr:rowOff>0</xdr:rowOff>
    </xdr:from>
    <xdr:to>
      <xdr:col>8</xdr:col>
      <xdr:colOff>335714</xdr:colOff>
      <xdr:row>110</xdr:row>
      <xdr:rowOff>110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3347D06-136F-72C0-C711-F5249830E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0080" y="20212050"/>
          <a:ext cx="5006774" cy="12802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828675</xdr:colOff>
      <xdr:row>8</xdr:row>
      <xdr:rowOff>0</xdr:rowOff>
    </xdr:from>
    <xdr:to>
      <xdr:col>15</xdr:col>
      <xdr:colOff>200025</xdr:colOff>
      <xdr:row>29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F917D2-7122-43C6-9790-39C907198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0</xdr:colOff>
      <xdr:row>35</xdr:row>
      <xdr:rowOff>0</xdr:rowOff>
    </xdr:from>
    <xdr:ext cx="1358970" cy="309896"/>
    <xdr:pic>
      <xdr:nvPicPr>
        <xdr:cNvPr id="3" name="Picture 2">
          <a:extLst>
            <a:ext uri="{FF2B5EF4-FFF2-40B4-BE49-F238E27FC236}">
              <a16:creationId xmlns:a16="http://schemas.microsoft.com/office/drawing/2014/main" id="{854CEFB3-DE65-481C-8E93-9B7F07A45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6800" y="6400800"/>
          <a:ext cx="1358970" cy="309896"/>
        </a:xfrm>
        <a:prstGeom prst="rect">
          <a:avLst/>
        </a:prstGeom>
      </xdr:spPr>
    </xdr:pic>
    <xdr:clientData/>
  </xdr:oneCellAnchor>
  <xdr:twoCellAnchor>
    <xdr:from>
      <xdr:col>10</xdr:col>
      <xdr:colOff>0</xdr:colOff>
      <xdr:row>42</xdr:row>
      <xdr:rowOff>0</xdr:rowOff>
    </xdr:from>
    <xdr:to>
      <xdr:col>17</xdr:col>
      <xdr:colOff>304800</xdr:colOff>
      <xdr:row>56</xdr:row>
      <xdr:rowOff>88900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7555CC2-6D8E-433F-8528-5744BEBF7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10</xdr:col>
      <xdr:colOff>0</xdr:colOff>
      <xdr:row>60</xdr:row>
      <xdr:rowOff>0</xdr:rowOff>
    </xdr:from>
    <xdr:ext cx="2857647" cy="612172"/>
    <xdr:pic>
      <xdr:nvPicPr>
        <xdr:cNvPr id="5" name="Picture 4">
          <a:extLst>
            <a:ext uri="{FF2B5EF4-FFF2-40B4-BE49-F238E27FC236}">
              <a16:creationId xmlns:a16="http://schemas.microsoft.com/office/drawing/2014/main" id="{A89C5ABC-6FB4-49FB-8785-500C552BE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10972800"/>
          <a:ext cx="2857647" cy="612172"/>
        </a:xfrm>
        <a:prstGeom prst="rect">
          <a:avLst/>
        </a:prstGeom>
      </xdr:spPr>
    </xdr:pic>
    <xdr:clientData/>
  </xdr:oneCellAnchor>
  <xdr:twoCellAnchor>
    <xdr:from>
      <xdr:col>10</xdr:col>
      <xdr:colOff>0</xdr:colOff>
      <xdr:row>65</xdr:row>
      <xdr:rowOff>0</xdr:rowOff>
    </xdr:from>
    <xdr:to>
      <xdr:col>17</xdr:col>
      <xdr:colOff>304800</xdr:colOff>
      <xdr:row>79</xdr:row>
      <xdr:rowOff>88900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5ADDA2C-2BF4-44A8-9EFF-DB88D03A0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3</xdr:col>
      <xdr:colOff>609600</xdr:colOff>
      <xdr:row>0</xdr:row>
      <xdr:rowOff>133350</xdr:rowOff>
    </xdr:from>
    <xdr:ext cx="2890520" cy="1954530"/>
    <xdr:pic>
      <xdr:nvPicPr>
        <xdr:cNvPr id="7" name="Picture 6">
          <a:extLst>
            <a:ext uri="{FF2B5EF4-FFF2-40B4-BE49-F238E27FC236}">
              <a16:creationId xmlns:a16="http://schemas.microsoft.com/office/drawing/2014/main" id="{4983B64E-3462-485F-B0B2-90E0984B8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38400" y="133350"/>
          <a:ext cx="2890520" cy="1954530"/>
        </a:xfrm>
        <a:prstGeom prst="rect">
          <a:avLst/>
        </a:prstGeom>
      </xdr:spPr>
    </xdr:pic>
    <xdr:clientData/>
  </xdr:oneCellAnchor>
  <xdr:oneCellAnchor>
    <xdr:from>
      <xdr:col>4</xdr:col>
      <xdr:colOff>311150</xdr:colOff>
      <xdr:row>2</xdr:row>
      <xdr:rowOff>107950</xdr:rowOff>
    </xdr:from>
    <xdr:ext cx="630622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DECE9EE-5113-4429-B62A-18771AE779D3}"/>
            </a:ext>
          </a:extLst>
        </xdr:cNvPr>
        <xdr:cNvSpPr txBox="1"/>
      </xdr:nvSpPr>
      <xdr:spPr>
        <a:xfrm>
          <a:off x="2749550" y="473710"/>
          <a:ext cx="63062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Curve</a:t>
          </a:r>
          <a:r>
            <a:rPr lang="en-US" sz="1100" baseline="0"/>
            <a:t> </a:t>
          </a:r>
          <a:r>
            <a:rPr lang="en-US" sz="1100"/>
            <a:t>A</a:t>
          </a:r>
        </a:p>
      </xdr:txBody>
    </xdr:sp>
    <xdr:clientData/>
  </xdr:oneCellAnchor>
  <xdr:oneCellAnchor>
    <xdr:from>
      <xdr:col>4</xdr:col>
      <xdr:colOff>57150</xdr:colOff>
      <xdr:row>8</xdr:row>
      <xdr:rowOff>44450</xdr:rowOff>
    </xdr:from>
    <xdr:ext cx="625749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C937063-70A3-47E6-884C-77DABEDBCA8F}"/>
            </a:ext>
          </a:extLst>
        </xdr:cNvPr>
        <xdr:cNvSpPr txBox="1"/>
      </xdr:nvSpPr>
      <xdr:spPr>
        <a:xfrm>
          <a:off x="2495550" y="1507490"/>
          <a:ext cx="62574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Curve B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ecae2ab329deaad/2023%20QWS/New%20Orleans%20-%20Central%20Review/2022%20Spring/QFIQF%202022%20Kim%20T2Q1.CB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ecae2ab329deaad/2023%20QWS/Pre-review%20Austin/QFI%20QF%202023%20Spring%20Q08%20Larry%20Zhao%20Q1%20(Topic%2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didate #"/>
      <sheetName val=" part d(4 points)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"/>
      <sheetName val="CBT Q1b"/>
      <sheetName val="CBT Q1a Sol"/>
      <sheetName val="CBT Q1d"/>
      <sheetName val="CBT Q1d Sol"/>
      <sheetName val="CBT Q1f"/>
      <sheetName val="CBT Q1f Sol"/>
      <sheetName val="Q1"/>
    </sheetNames>
    <sheetDataSet>
      <sheetData sheetId="0" refreshError="1"/>
      <sheetData sheetId="1"/>
      <sheetData sheetId="2" refreshError="1"/>
      <sheetData sheetId="3">
        <row r="6">
          <cell r="B6">
            <v>0.25</v>
          </cell>
        </row>
        <row r="7">
          <cell r="B7">
            <v>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E5135-ACE3-47CF-A171-8715E9EED526}">
  <dimension ref="A1:C1"/>
  <sheetViews>
    <sheetView workbookViewId="0">
      <selection activeCell="C1" sqref="C1"/>
    </sheetView>
  </sheetViews>
  <sheetFormatPr defaultColWidth="8.85546875" defaultRowHeight="15"/>
  <cols>
    <col min="1" max="1" width="14.42578125" style="2" bestFit="1" customWidth="1"/>
    <col min="2" max="2" width="8.85546875" style="2"/>
    <col min="3" max="3" width="16.42578125" style="2" customWidth="1"/>
    <col min="4" max="16384" width="8.85546875" style="2"/>
  </cols>
  <sheetData>
    <row r="1" spans="1:3" ht="15.75">
      <c r="A1" s="1" t="s">
        <v>0</v>
      </c>
      <c r="C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E10BD-DAA1-4ABB-AED3-3E2C6D37F56E}">
  <dimension ref="A2:P94"/>
  <sheetViews>
    <sheetView tabSelected="1" workbookViewId="0">
      <selection activeCell="N99" sqref="N99"/>
    </sheetView>
  </sheetViews>
  <sheetFormatPr defaultRowHeight="15"/>
  <cols>
    <col min="5" max="5" width="9.5703125" bestFit="1" customWidth="1"/>
    <col min="6" max="6" width="11.5703125" bestFit="1" customWidth="1"/>
  </cols>
  <sheetData>
    <row r="2" spans="1:2" ht="22.5">
      <c r="A2" s="11" t="s">
        <v>3</v>
      </c>
    </row>
    <row r="3" spans="1:2" ht="15.75">
      <c r="A3" s="6"/>
    </row>
    <row r="5" spans="1:2" ht="15.75">
      <c r="A5" s="6"/>
    </row>
    <row r="7" spans="1:2" ht="15.75">
      <c r="A7" s="9"/>
    </row>
    <row r="8" spans="1:2" ht="15.75">
      <c r="A8" s="6"/>
    </row>
    <row r="9" spans="1:2" ht="15.75">
      <c r="A9" s="6"/>
    </row>
    <row r="10" spans="1:2" ht="15.75">
      <c r="A10" s="6"/>
    </row>
    <row r="11" spans="1:2" ht="15.75">
      <c r="A11" s="6"/>
    </row>
    <row r="12" spans="1:2" ht="15.75">
      <c r="A12" s="6"/>
    </row>
    <row r="13" spans="1:2" ht="15.75">
      <c r="A13" s="7"/>
    </row>
    <row r="15" spans="1:2" ht="15.75">
      <c r="A15" s="6"/>
    </row>
    <row r="16" spans="1:2" ht="15.75">
      <c r="A16" s="7"/>
      <c r="B16" s="7"/>
    </row>
    <row r="17" spans="1:2" ht="15.75">
      <c r="A17" s="7"/>
    </row>
    <row r="18" spans="1:2" ht="15.75">
      <c r="A18" s="7"/>
      <c r="B18" s="7"/>
    </row>
    <row r="19" spans="1:2" ht="15.75">
      <c r="A19" s="6"/>
    </row>
    <row r="20" spans="1:2" ht="15.75">
      <c r="A20" s="6"/>
    </row>
    <row r="21" spans="1:2" ht="15.75">
      <c r="A21" s="6"/>
    </row>
    <row r="22" spans="1:2" ht="15.75">
      <c r="A22" s="6"/>
    </row>
    <row r="23" spans="1:2" ht="15.75">
      <c r="A23" s="6"/>
    </row>
    <row r="24" spans="1:2" ht="15.75">
      <c r="A24" s="6"/>
    </row>
    <row r="25" spans="1:2" ht="15.75">
      <c r="A25" s="6"/>
    </row>
    <row r="26" spans="1:2" ht="15.75">
      <c r="A26" s="6"/>
    </row>
    <row r="27" spans="1:2" ht="15.75">
      <c r="A27" s="6"/>
    </row>
    <row r="28" spans="1:2" ht="15.75">
      <c r="A28" s="6"/>
    </row>
    <row r="29" spans="1:2" ht="15.75">
      <c r="A29" s="6"/>
    </row>
    <row r="30" spans="1:2" ht="15.75">
      <c r="A30" s="6"/>
    </row>
    <row r="31" spans="1:2" ht="15.75">
      <c r="A31" s="6"/>
    </row>
    <row r="32" spans="1:2" ht="15.75">
      <c r="A32" s="6"/>
    </row>
    <row r="33" spans="1:14" ht="15.75">
      <c r="A33" s="6"/>
    </row>
    <row r="34" spans="1:14" ht="15.75">
      <c r="A34" s="6"/>
    </row>
    <row r="35" spans="1:14" ht="15.75">
      <c r="A35" s="9"/>
      <c r="B35" s="8" t="s">
        <v>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ht="20.100000000000001" customHeight="1">
      <c r="A36" s="10"/>
      <c r="B36" t="s">
        <v>10</v>
      </c>
      <c r="E36" s="4">
        <v>0.45</v>
      </c>
    </row>
    <row r="37" spans="1:14" ht="20.100000000000001" customHeight="1">
      <c r="A37" s="6"/>
      <c r="B37" t="s">
        <v>10</v>
      </c>
      <c r="E37" s="34">
        <v>0.06</v>
      </c>
    </row>
    <row r="38" spans="1:14" ht="15.75">
      <c r="A38" s="6"/>
      <c r="B38" s="8" t="s">
        <v>2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ht="15.75">
      <c r="A39" s="6"/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1:14" ht="15.75">
      <c r="A40" s="6"/>
      <c r="E40" s="14"/>
      <c r="G40" s="21" t="s">
        <v>21</v>
      </c>
      <c r="H40" s="22"/>
      <c r="I40" s="23" t="s">
        <v>20</v>
      </c>
      <c r="J40" s="24"/>
      <c r="K40" s="24" t="s">
        <v>22</v>
      </c>
      <c r="L40" s="24" t="s">
        <v>23</v>
      </c>
      <c r="M40" s="24" t="s">
        <v>24</v>
      </c>
      <c r="N40" s="25" t="s">
        <v>25</v>
      </c>
    </row>
    <row r="41" spans="1:14" ht="15.75">
      <c r="A41" s="6"/>
      <c r="B41" s="17" t="s">
        <v>15</v>
      </c>
      <c r="C41" s="18">
        <v>0.02</v>
      </c>
      <c r="D41" s="14"/>
      <c r="E41" s="14"/>
      <c r="G41" s="26">
        <v>1</v>
      </c>
      <c r="I41">
        <v>0.97</v>
      </c>
      <c r="J41" s="14"/>
      <c r="K41" s="14">
        <f>(L41-G41)*($C$43-$C$41^2/2/$C$42^2)-$C$41^2*L41^2/4/$C$42</f>
        <v>-1.1635530837090775E-2</v>
      </c>
      <c r="L41" s="14">
        <f>(1-EXP(-$C$42*G41))/$C$42</f>
        <v>0.80527077417383697</v>
      </c>
      <c r="M41" s="14">
        <f>EXP(K41-L41*$C$44)</f>
        <v>0.96483936362697076</v>
      </c>
      <c r="N41" s="27">
        <f>+M41-I41</f>
        <v>-5.1606363730292149E-3</v>
      </c>
    </row>
    <row r="42" spans="1:14" ht="15.75">
      <c r="A42" s="6"/>
      <c r="B42" s="17" t="s">
        <v>16</v>
      </c>
      <c r="C42">
        <v>0.45</v>
      </c>
      <c r="D42" s="13" t="s">
        <v>19</v>
      </c>
      <c r="E42" s="14"/>
      <c r="G42" s="26">
        <v>2</v>
      </c>
      <c r="I42">
        <v>0.94</v>
      </c>
      <c r="J42" s="14"/>
      <c r="K42" s="14">
        <f t="shared" ref="K42:K45" si="0">(L42-G42)*($C$43-$C$41^2/2/$C$42^2)-$C$41^2*L42^2/4/$C$42</f>
        <v>-4.0589557100402726E-2</v>
      </c>
      <c r="L42" s="14">
        <f t="shared" ref="L42:L45" si="1">(1-EXP(-$C$42*G42))/$C$42</f>
        <v>1.3187340894653352</v>
      </c>
      <c r="M42" s="14">
        <f t="shared" ref="M42:M45" si="2">EXP(K42-L42*$C$44)</f>
        <v>0.92297643121433248</v>
      </c>
      <c r="N42" s="27">
        <f t="shared" ref="N42:N45" si="3">+M42-I42</f>
        <v>-1.7023568785667464E-2</v>
      </c>
    </row>
    <row r="43" spans="1:14" ht="15.75">
      <c r="A43" s="6"/>
      <c r="B43" t="s">
        <v>17</v>
      </c>
      <c r="C43" s="19">
        <v>0.06</v>
      </c>
      <c r="D43" s="13" t="s">
        <v>19</v>
      </c>
      <c r="E43" s="14"/>
      <c r="G43" s="26">
        <v>3</v>
      </c>
      <c r="I43">
        <v>0.87</v>
      </c>
      <c r="J43" s="14"/>
      <c r="K43" s="14">
        <f t="shared" si="0"/>
        <v>-8.0497049260501496E-2</v>
      </c>
      <c r="L43" s="14">
        <f t="shared" si="1"/>
        <v>1.6461327541202411</v>
      </c>
      <c r="M43" s="14">
        <f t="shared" si="2"/>
        <v>0.87819990249382063</v>
      </c>
      <c r="N43" s="27">
        <f t="shared" si="3"/>
        <v>8.1999024938206322E-3</v>
      </c>
    </row>
    <row r="44" spans="1:14" ht="15.75">
      <c r="A44" s="6"/>
      <c r="B44" t="s">
        <v>18</v>
      </c>
      <c r="C44" s="18">
        <v>0.03</v>
      </c>
      <c r="D44" s="14"/>
      <c r="E44" s="14"/>
      <c r="G44" s="26">
        <v>4</v>
      </c>
      <c r="I44">
        <v>0.83</v>
      </c>
      <c r="J44" s="14"/>
      <c r="K44" s="14">
        <f t="shared" si="0"/>
        <v>-0.12735247526856922</v>
      </c>
      <c r="L44" s="14">
        <f t="shared" si="1"/>
        <v>1.8548913595075853</v>
      </c>
      <c r="M44" s="14">
        <f t="shared" si="2"/>
        <v>0.83276880858278068</v>
      </c>
      <c r="N44" s="27">
        <f t="shared" si="3"/>
        <v>2.7688085827807241E-3</v>
      </c>
    </row>
    <row r="45" spans="1:14" ht="15.75">
      <c r="A45" s="6"/>
      <c r="B45" s="13"/>
      <c r="C45" s="14"/>
      <c r="D45" s="14"/>
      <c r="E45" s="14"/>
      <c r="G45" s="28">
        <v>5</v>
      </c>
      <c r="H45" s="29"/>
      <c r="I45" s="29">
        <v>0.79</v>
      </c>
      <c r="J45" s="30"/>
      <c r="K45" s="30">
        <f t="shared" si="0"/>
        <v>-0.17862333924011778</v>
      </c>
      <c r="L45" s="30">
        <f t="shared" si="1"/>
        <v>1.9880017231958569</v>
      </c>
      <c r="M45" s="30">
        <f t="shared" si="2"/>
        <v>0.78799511298750657</v>
      </c>
      <c r="N45" s="31">
        <f t="shared" si="3"/>
        <v>-2.0048870124934615E-3</v>
      </c>
    </row>
    <row r="46" spans="1:14" ht="16.5" thickBot="1">
      <c r="A46" s="6"/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3" t="s">
        <v>26</v>
      </c>
    </row>
    <row r="47" spans="1:14" ht="16.5" thickBot="1">
      <c r="A47" s="6"/>
      <c r="B47" s="13"/>
      <c r="C47" s="14"/>
      <c r="D47" s="14"/>
      <c r="E47" s="14" t="s">
        <v>33</v>
      </c>
      <c r="F47" s="14" t="s">
        <v>34</v>
      </c>
      <c r="G47" s="14" t="s">
        <v>35</v>
      </c>
      <c r="H47" s="14"/>
      <c r="I47" s="14"/>
      <c r="J47" s="14"/>
      <c r="K47" s="14"/>
      <c r="L47" s="14"/>
      <c r="M47" s="14"/>
      <c r="N47" s="20">
        <f>SUMPRODUCT(N41:N45,N41:N45)</f>
        <v>3.9535833578409476E-4</v>
      </c>
    </row>
    <row r="48" spans="1:14" ht="15.75">
      <c r="A48" s="6"/>
      <c r="B48" s="13" t="s">
        <v>26</v>
      </c>
      <c r="C48" s="14"/>
      <c r="D48" s="14"/>
      <c r="E48" s="14">
        <v>5.4211658003235096E-4</v>
      </c>
      <c r="F48" s="14">
        <v>1.4540954330107179E-3</v>
      </c>
      <c r="G48" s="14">
        <v>3.9535833578409476E-4</v>
      </c>
      <c r="H48" s="14"/>
      <c r="I48" s="14"/>
      <c r="J48" s="14"/>
      <c r="K48" s="14"/>
      <c r="L48" s="14"/>
      <c r="M48" s="14"/>
      <c r="N48" s="14"/>
    </row>
    <row r="49" spans="1:14" ht="15.75">
      <c r="A49" s="6"/>
      <c r="B49" s="13"/>
      <c r="C49" s="14"/>
      <c r="D49" s="14"/>
      <c r="E49" s="13" t="s">
        <v>36</v>
      </c>
      <c r="F49" s="14"/>
      <c r="G49" s="14"/>
      <c r="H49" s="14"/>
      <c r="I49" s="14"/>
      <c r="J49" s="14"/>
      <c r="K49" s="14"/>
      <c r="L49" s="14"/>
      <c r="M49" s="14"/>
      <c r="N49" s="14"/>
    </row>
    <row r="50" spans="1:14" ht="15.75">
      <c r="A50" s="6"/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4" ht="15.75">
      <c r="A51" s="6"/>
    </row>
    <row r="52" spans="1:14" ht="15.75">
      <c r="A52" s="6"/>
    </row>
    <row r="53" spans="1:14" ht="15.75">
      <c r="A53" s="6"/>
    </row>
    <row r="54" spans="1:14" ht="15.75">
      <c r="A54" s="6"/>
    </row>
    <row r="55" spans="1:14" ht="15.75">
      <c r="A55" s="6"/>
      <c r="F55" t="s">
        <v>11</v>
      </c>
    </row>
    <row r="56" spans="1:14" ht="15.75">
      <c r="A56" s="6"/>
    </row>
    <row r="57" spans="1:14" ht="15.75">
      <c r="A57" s="6"/>
    </row>
    <row r="58" spans="1:14" ht="15.75">
      <c r="A58" s="6"/>
    </row>
    <row r="59" spans="1:14" ht="15.75">
      <c r="A59" s="6"/>
    </row>
    <row r="60" spans="1:14" ht="15.75">
      <c r="A60" s="6"/>
    </row>
    <row r="61" spans="1:14" ht="15.75">
      <c r="A61" s="10"/>
      <c r="B61" s="8" t="s">
        <v>1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4" ht="15.75">
      <c r="A62" s="9"/>
      <c r="B62" t="s">
        <v>12</v>
      </c>
      <c r="E62" s="4">
        <f>L76*M71*10000</f>
        <v>6761.1864120876471</v>
      </c>
    </row>
    <row r="63" spans="1:14" ht="15.75">
      <c r="A63" s="9"/>
      <c r="B63" t="s">
        <v>13</v>
      </c>
      <c r="E63" s="4">
        <f>M69*10000-E62</f>
        <v>2487.3014789347544</v>
      </c>
    </row>
    <row r="64" spans="1:14" ht="15.75">
      <c r="A64" s="9"/>
    </row>
    <row r="65" spans="1:14" ht="15.75">
      <c r="A65" s="9"/>
      <c r="B65" s="8" t="s">
        <v>2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4" ht="15.75">
      <c r="A66" s="9"/>
    </row>
    <row r="67" spans="1:14" ht="15.75">
      <c r="A67" s="9"/>
      <c r="G67" s="21" t="s">
        <v>21</v>
      </c>
      <c r="H67" s="22"/>
      <c r="I67" s="23" t="s">
        <v>20</v>
      </c>
      <c r="J67" s="24"/>
      <c r="K67" s="24" t="s">
        <v>22</v>
      </c>
      <c r="L67" s="24" t="s">
        <v>23</v>
      </c>
      <c r="M67" s="24" t="s">
        <v>24</v>
      </c>
      <c r="N67" s="25"/>
    </row>
    <row r="68" spans="1:14" ht="15.75">
      <c r="A68" s="9"/>
      <c r="B68" s="17" t="s">
        <v>15</v>
      </c>
      <c r="C68" s="18">
        <v>0.02</v>
      </c>
      <c r="G68" s="26">
        <v>1</v>
      </c>
      <c r="I68" s="32">
        <f>+I41*10000</f>
        <v>9700</v>
      </c>
      <c r="J68" s="14"/>
      <c r="K68" s="14">
        <f>(L68-G68)*($C$70-$C$68^2/2/$C$69^2)-$C$68^2*L68^2/4/$C$69</f>
        <v>-1.1671778010246403E-2</v>
      </c>
      <c r="L68" s="14">
        <f>(1-EXP(-$C$69*G68))/$C$69</f>
        <v>0.78693868057473315</v>
      </c>
      <c r="M68" s="14">
        <f>EXP(K68-L68*$C$71)</f>
        <v>0.96533514402732168</v>
      </c>
      <c r="N68" s="27"/>
    </row>
    <row r="69" spans="1:14" ht="15.75">
      <c r="A69" s="9"/>
      <c r="B69" s="17" t="s">
        <v>16</v>
      </c>
      <c r="C69">
        <v>0.5</v>
      </c>
      <c r="G69" s="26">
        <v>2</v>
      </c>
      <c r="I69" s="32">
        <f t="shared" ref="I69:I72" si="4">+I42*10000</f>
        <v>9400</v>
      </c>
      <c r="J69" s="14"/>
      <c r="K69" s="14">
        <f t="shared" ref="K69:K72" si="5">(L69-G69)*($C$70-$C$68^2/2/$C$69^2)-$C$68^2*L69^2/4/$C$69</f>
        <v>-4.0197792543699332E-2</v>
      </c>
      <c r="L69" s="14">
        <f t="shared" ref="L69:L72" si="6">(1-EXP(-$C$69*G69))/$C$69</f>
        <v>1.2642411176571153</v>
      </c>
      <c r="M69" s="14">
        <f t="shared" ref="M69:M72" si="7">EXP(K69-L69*$C$71)</f>
        <v>0.92484878910224022</v>
      </c>
      <c r="N69" s="27"/>
    </row>
    <row r="70" spans="1:14" ht="15.75">
      <c r="A70" s="9"/>
      <c r="B70" t="s">
        <v>17</v>
      </c>
      <c r="C70" s="19">
        <v>5.5E-2</v>
      </c>
      <c r="G70" s="26">
        <v>3</v>
      </c>
      <c r="I70" s="32">
        <f t="shared" si="4"/>
        <v>8700</v>
      </c>
      <c r="J70" s="14"/>
      <c r="K70" s="14">
        <f t="shared" si="5"/>
        <v>-7.8870130758546597E-2</v>
      </c>
      <c r="L70" s="14">
        <f t="shared" si="6"/>
        <v>1.5537396797031404</v>
      </c>
      <c r="M70" s="14">
        <f t="shared" si="7"/>
        <v>0.8820713582967411</v>
      </c>
      <c r="N70" s="27"/>
    </row>
    <row r="71" spans="1:14" ht="15.75">
      <c r="A71" s="9"/>
      <c r="B71" t="s">
        <v>18</v>
      </c>
      <c r="C71" s="18">
        <v>0.03</v>
      </c>
      <c r="G71" s="26">
        <v>4</v>
      </c>
      <c r="I71" s="32">
        <f t="shared" si="4"/>
        <v>8300</v>
      </c>
      <c r="J71" s="14"/>
      <c r="K71" s="14">
        <f t="shared" si="5"/>
        <v>-0.12366846076078122</v>
      </c>
      <c r="L71" s="14">
        <f t="shared" si="6"/>
        <v>1.7293294335267746</v>
      </c>
      <c r="M71" s="14">
        <f t="shared" si="7"/>
        <v>0.83899683592582885</v>
      </c>
      <c r="N71" s="27"/>
    </row>
    <row r="72" spans="1:14" ht="15.75">
      <c r="A72" s="9"/>
      <c r="G72" s="28">
        <v>5</v>
      </c>
      <c r="H72" s="29"/>
      <c r="I72" s="33">
        <f t="shared" si="4"/>
        <v>7900</v>
      </c>
      <c r="J72" s="30"/>
      <c r="K72" s="30">
        <f t="shared" si="5"/>
        <v>-0.17217206821063163</v>
      </c>
      <c r="L72" s="30">
        <f t="shared" si="6"/>
        <v>1.8358300027522023</v>
      </c>
      <c r="M72" s="30">
        <f t="shared" si="7"/>
        <v>0.79672399242615233</v>
      </c>
      <c r="N72" s="31"/>
    </row>
    <row r="73" spans="1:14" ht="15.75">
      <c r="A73" s="9"/>
    </row>
    <row r="74" spans="1:14" ht="15.75">
      <c r="A74" s="9"/>
      <c r="I74" t="s">
        <v>29</v>
      </c>
    </row>
    <row r="75" spans="1:14" ht="15.75">
      <c r="A75" s="9"/>
      <c r="H75" t="s">
        <v>30</v>
      </c>
      <c r="I75">
        <f>L69*M69</f>
        <v>1.1692318667984458</v>
      </c>
    </row>
    <row r="76" spans="1:14" ht="15.75">
      <c r="A76" s="9"/>
      <c r="H76" t="s">
        <v>31</v>
      </c>
      <c r="I76">
        <f>L71*M71</f>
        <v>1.4509019230023699</v>
      </c>
      <c r="K76" t="s">
        <v>32</v>
      </c>
      <c r="L76">
        <f>I75/I76</f>
        <v>0.80586554353649165</v>
      </c>
    </row>
    <row r="77" spans="1:14" ht="15.75">
      <c r="A77" s="9"/>
    </row>
    <row r="78" spans="1:14" ht="15.75">
      <c r="A78" s="9"/>
    </row>
    <row r="79" spans="1:14" ht="15.75">
      <c r="A79" s="9"/>
    </row>
    <row r="80" spans="1:14" ht="15.75">
      <c r="A80" s="9"/>
    </row>
    <row r="81" spans="1:16" ht="15.75">
      <c r="A81" s="9"/>
    </row>
    <row r="82" spans="1:16" ht="15.75">
      <c r="A82" s="9"/>
    </row>
    <row r="83" spans="1:16" ht="15.75">
      <c r="A83" s="9"/>
    </row>
    <row r="84" spans="1:16" ht="15.75">
      <c r="A84" s="9"/>
    </row>
    <row r="85" spans="1:16" ht="15.75">
      <c r="A85" s="9"/>
      <c r="B85" s="8" t="s">
        <v>1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1:16" ht="15.75">
      <c r="A86" s="7"/>
      <c r="B86" t="s">
        <v>14</v>
      </c>
      <c r="E86" s="36">
        <f>M94*F94+N94</f>
        <v>9479.6355741296575</v>
      </c>
    </row>
    <row r="87" spans="1:16" ht="15.75">
      <c r="A87" s="9"/>
    </row>
    <row r="88" spans="1:16" ht="15.75">
      <c r="A88" s="9"/>
      <c r="B88" s="8" t="s">
        <v>2</v>
      </c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1:16" ht="15.75">
      <c r="A89" s="6"/>
    </row>
    <row r="90" spans="1:16" ht="15.75" thickBot="1"/>
    <row r="91" spans="1:16">
      <c r="C91" s="44"/>
      <c r="D91" s="45"/>
      <c r="E91" s="45"/>
      <c r="F91" s="46"/>
      <c r="G91" s="62" t="s">
        <v>45</v>
      </c>
      <c r="H91" s="63"/>
      <c r="I91" s="64"/>
      <c r="J91" s="62" t="s">
        <v>46</v>
      </c>
      <c r="K91" s="63"/>
      <c r="L91" s="64"/>
      <c r="M91" s="44"/>
      <c r="N91" s="46"/>
    </row>
    <row r="92" spans="1:16">
      <c r="C92" s="51" t="s">
        <v>39</v>
      </c>
      <c r="D92" s="29" t="s">
        <v>40</v>
      </c>
      <c r="E92" s="52" t="s">
        <v>37</v>
      </c>
      <c r="F92" s="53" t="s">
        <v>38</v>
      </c>
      <c r="G92" s="51" t="s">
        <v>41</v>
      </c>
      <c r="H92" s="29" t="s">
        <v>42</v>
      </c>
      <c r="I92" s="53" t="s">
        <v>43</v>
      </c>
      <c r="J92" s="51" t="s">
        <v>41</v>
      </c>
      <c r="K92" s="29" t="s">
        <v>42</v>
      </c>
      <c r="L92" s="53" t="s">
        <v>43</v>
      </c>
      <c r="M92" s="54" t="s">
        <v>44</v>
      </c>
      <c r="N92" s="55" t="s">
        <v>13</v>
      </c>
      <c r="O92" s="35"/>
      <c r="P92" s="35"/>
    </row>
    <row r="93" spans="1:16">
      <c r="C93" s="37">
        <v>0.03</v>
      </c>
      <c r="D93">
        <v>0</v>
      </c>
      <c r="E93" s="47">
        <f>EXP(I93-H93*$C93)*10000</f>
        <v>9248.4878910224015</v>
      </c>
      <c r="F93" s="48">
        <f>EXP(L93-K93*$C93)*10000</f>
        <v>8389.9683592582878</v>
      </c>
      <c r="G93" s="37">
        <f>2-D93</f>
        <v>2</v>
      </c>
      <c r="H93">
        <f>(1-EXP(-$C$69*G93))/$C$69</f>
        <v>1.2642411176571153</v>
      </c>
      <c r="I93" s="38">
        <f>(H93-G93)*($C$70-$C$68^2/(2*$C$69^2))-$C$68^2*H93^2/(4*$C$69)</f>
        <v>-4.0197792543699332E-2</v>
      </c>
      <c r="J93" s="42">
        <f>4-D93</f>
        <v>4</v>
      </c>
      <c r="K93">
        <f>(1-EXP(-$C$69*J93))/$C$69</f>
        <v>1.7293294335267746</v>
      </c>
      <c r="L93" s="38">
        <f>(K93-J93)*($C$70-$C$68^2/(2*$C$69^2))-$C$68^2*K93^2/(4*$C$69)</f>
        <v>-0.12366846076078122</v>
      </c>
      <c r="M93" s="37">
        <f>H93*E93/(K93*F93)</f>
        <v>0.80586554353649176</v>
      </c>
      <c r="N93" s="48">
        <f>E93-M93*F93</f>
        <v>2487.3014789347535</v>
      </c>
    </row>
    <row r="94" spans="1:16" ht="15.75" thickBot="1">
      <c r="C94" s="39">
        <v>2.8199999999999999E-2</v>
      </c>
      <c r="D94" s="40">
        <f>0.5</f>
        <v>0.5</v>
      </c>
      <c r="E94" s="49">
        <f>EXP(I94-H94*$C94)*10000</f>
        <v>9473.5084079007665</v>
      </c>
      <c r="F94" s="50">
        <f>EXP(L94-K94*$C94)*10000</f>
        <v>8630.5024812069551</v>
      </c>
      <c r="G94" s="39">
        <f>2-D94</f>
        <v>1.5</v>
      </c>
      <c r="H94" s="40">
        <f>(1-EXP(-$C$69*G94))/$C$69</f>
        <v>1.0552668945179706</v>
      </c>
      <c r="I94" s="41">
        <f>(H94-G94)*($C$70-$C$68^2/(2*$C$69^2))-$C$68^2*H94^2/(4*$C$69)</f>
        <v>-2.4327251960859112E-2</v>
      </c>
      <c r="J94" s="43">
        <f>4-D94</f>
        <v>3.5</v>
      </c>
      <c r="K94" s="40">
        <f>(1-EXP(-$C$69*J94))/$C$69</f>
        <v>1.6524521130991097</v>
      </c>
      <c r="L94" s="41">
        <f>(K94-J94)*($C$70-$C$68^2/(2*$C$69^2))-$C$68^2*K94^2/(4*$C$69)</f>
        <v>-0.1006832150672454</v>
      </c>
      <c r="M94" s="39">
        <f>H94*E94/(K94*F94)</f>
        <v>0.70098414346899018</v>
      </c>
      <c r="N94" s="41">
        <f>N93*(1+C93*D94)-(M94-M93)*F94</f>
        <v>3429.7901846338063</v>
      </c>
    </row>
  </sheetData>
  <mergeCells count="2">
    <mergeCell ref="G91:I91"/>
    <mergeCell ref="J91:L91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D60BA-8F11-4A28-81FE-179A5A72BF56}">
  <dimension ref="A2:I89"/>
  <sheetViews>
    <sheetView workbookViewId="0">
      <selection activeCell="B5" sqref="B5"/>
    </sheetView>
  </sheetViews>
  <sheetFormatPr defaultRowHeight="15"/>
  <cols>
    <col min="1" max="1" width="14.42578125" bestFit="1" customWidth="1"/>
    <col min="4" max="4" width="17.85546875" bestFit="1" customWidth="1"/>
    <col min="5" max="5" width="17.140625" bestFit="1" customWidth="1"/>
    <col min="6" max="6" width="14.5703125" bestFit="1" customWidth="1"/>
    <col min="7" max="7" width="13.28515625" customWidth="1"/>
    <col min="8" max="8" width="13.28515625" bestFit="1" customWidth="1"/>
  </cols>
  <sheetData>
    <row r="2" spans="1:8">
      <c r="A2" t="s">
        <v>4</v>
      </c>
      <c r="B2">
        <v>100</v>
      </c>
    </row>
    <row r="3" spans="1:8">
      <c r="A3" t="s">
        <v>27</v>
      </c>
      <c r="B3">
        <v>100</v>
      </c>
    </row>
    <row r="4" spans="1:8">
      <c r="A4" t="s">
        <v>28</v>
      </c>
      <c r="B4">
        <v>120</v>
      </c>
    </row>
    <row r="5" spans="1:8">
      <c r="A5" s="56" t="s">
        <v>5</v>
      </c>
      <c r="B5" s="61">
        <v>0</v>
      </c>
      <c r="C5" s="61"/>
    </row>
    <row r="6" spans="1:8">
      <c r="A6" s="56" t="s">
        <v>6</v>
      </c>
      <c r="B6" s="61">
        <v>0</v>
      </c>
      <c r="C6" s="61"/>
    </row>
    <row r="7" spans="1:8">
      <c r="A7" s="56" t="s">
        <v>7</v>
      </c>
      <c r="B7" s="16">
        <v>1</v>
      </c>
      <c r="C7" s="16"/>
    </row>
    <row r="8" spans="1:8">
      <c r="A8" t="s">
        <v>8</v>
      </c>
      <c r="B8">
        <v>0.15</v>
      </c>
    </row>
    <row r="9" spans="1:8">
      <c r="B9" s="15"/>
      <c r="C9" s="15"/>
    </row>
    <row r="10" spans="1:8">
      <c r="B10" s="15"/>
      <c r="C10" s="15"/>
    </row>
    <row r="12" spans="1:8">
      <c r="A12" s="60" t="s">
        <v>66</v>
      </c>
    </row>
    <row r="13" spans="1:8">
      <c r="B13" t="s">
        <v>9</v>
      </c>
      <c r="C13" s="56" t="s">
        <v>65</v>
      </c>
      <c r="D13" t="s">
        <v>64</v>
      </c>
      <c r="E13" t="s">
        <v>63</v>
      </c>
      <c r="F13" s="59" t="s">
        <v>62</v>
      </c>
      <c r="G13" s="58" t="s">
        <v>61</v>
      </c>
      <c r="H13" s="56"/>
    </row>
    <row r="14" spans="1:8" hidden="1">
      <c r="B14">
        <v>88</v>
      </c>
      <c r="C14" s="15"/>
      <c r="D14" s="15" t="e">
        <f t="shared" ref="D14:D20" si="0">$F14/($B14*Implied_Vol*SQRT(Maturity_T))</f>
        <v>#NAME?</v>
      </c>
      <c r="E14" s="15"/>
      <c r="F14" s="15"/>
      <c r="G14" s="15"/>
      <c r="H14" s="15"/>
    </row>
    <row r="15" spans="1:8" hidden="1">
      <c r="B15">
        <v>89</v>
      </c>
      <c r="C15" s="15"/>
      <c r="D15" s="15" t="e">
        <f t="shared" si="0"/>
        <v>#NAME?</v>
      </c>
      <c r="E15" s="15"/>
      <c r="F15" s="15"/>
      <c r="G15" s="15"/>
      <c r="H15" s="15"/>
    </row>
    <row r="16" spans="1:8" hidden="1">
      <c r="B16">
        <v>90</v>
      </c>
      <c r="C16" s="15"/>
      <c r="D16" s="15" t="e">
        <f t="shared" si="0"/>
        <v>#NAME?</v>
      </c>
      <c r="E16" s="15"/>
      <c r="F16" s="15"/>
      <c r="G16" s="15"/>
      <c r="H16" s="15"/>
    </row>
    <row r="17" spans="2:8" hidden="1">
      <c r="B17">
        <v>91</v>
      </c>
      <c r="C17" s="15"/>
      <c r="D17" s="15" t="e">
        <f t="shared" si="0"/>
        <v>#NAME?</v>
      </c>
      <c r="E17" s="15"/>
      <c r="F17" s="15"/>
      <c r="G17" s="15"/>
      <c r="H17" s="15"/>
    </row>
    <row r="18" spans="2:8" hidden="1">
      <c r="B18">
        <v>92</v>
      </c>
      <c r="C18" s="15"/>
      <c r="D18" s="15" t="e">
        <f t="shared" si="0"/>
        <v>#NAME?</v>
      </c>
      <c r="E18" s="15"/>
      <c r="F18" s="15"/>
      <c r="G18" s="15"/>
      <c r="H18" s="15"/>
    </row>
    <row r="19" spans="2:8" hidden="1">
      <c r="B19">
        <v>93</v>
      </c>
      <c r="C19" s="15"/>
      <c r="D19" s="15" t="e">
        <f t="shared" si="0"/>
        <v>#NAME?</v>
      </c>
      <c r="E19" s="15"/>
      <c r="F19" s="15"/>
      <c r="G19" s="15"/>
      <c r="H19" s="15"/>
    </row>
    <row r="20" spans="2:8" hidden="1">
      <c r="B20">
        <v>94</v>
      </c>
      <c r="C20" s="15"/>
      <c r="D20" s="15" t="e">
        <f t="shared" si="0"/>
        <v>#NAME?</v>
      </c>
      <c r="E20" s="15"/>
      <c r="F20" s="15"/>
      <c r="G20" s="15"/>
      <c r="H20" s="15"/>
    </row>
    <row r="21" spans="2:8">
      <c r="B21">
        <v>70</v>
      </c>
      <c r="C21" s="12">
        <f t="shared" ref="C21:C39" si="1">D21-E21</f>
        <v>1.0426969309960772E-2</v>
      </c>
      <c r="D21" s="57">
        <f t="shared" ref="D21:D39" si="2">_xlfn.NORM.S.DIST(F21, TRUE)</f>
        <v>1.064412165295868E-2</v>
      </c>
      <c r="E21" s="57">
        <f t="shared" ref="E21:E39" si="3">_xlfn.NORM.S.DIST(G21, TRUE)</f>
        <v>2.1715234299790864E-4</v>
      </c>
      <c r="F21" s="57">
        <f t="shared" ref="F21:F39" si="4">(LN($B21/$B$3)+(Interest_Rate+ImpliedVol*ImpliedVol*0.5)*(Maturity_T))/(ImpliedVol*SQRT(Maturity_T))</f>
        <v>-2.3028329595915498</v>
      </c>
      <c r="G21" s="57">
        <f t="shared" ref="G21:G39" si="5">(LN($B21/$B$4)+(Interest_Rate+ImpliedVol*ImpliedVol*0.5)*(Maturity_T))/(ImpliedVol*SQRT(Maturity_T))</f>
        <v>-3.5183100048845795</v>
      </c>
      <c r="H21" s="15"/>
    </row>
    <row r="22" spans="2:8">
      <c r="B22">
        <v>75</v>
      </c>
      <c r="C22" s="12">
        <f t="shared" si="1"/>
        <v>3.1560461844813113E-2</v>
      </c>
      <c r="D22" s="57">
        <f t="shared" si="2"/>
        <v>3.2673231229296502E-2</v>
      </c>
      <c r="E22" s="57">
        <f t="shared" si="3"/>
        <v>1.1127693844833898E-3</v>
      </c>
      <c r="F22" s="57">
        <f t="shared" si="4"/>
        <v>-1.8428804830118728</v>
      </c>
      <c r="G22" s="57">
        <f t="shared" si="5"/>
        <v>-3.0583575283049043</v>
      </c>
      <c r="H22" s="15"/>
    </row>
    <row r="23" spans="2:8">
      <c r="B23">
        <v>80</v>
      </c>
      <c r="C23" s="12">
        <f t="shared" si="1"/>
        <v>7.459004756270711E-2</v>
      </c>
      <c r="D23" s="57">
        <f t="shared" si="2"/>
        <v>7.8883201986595278E-2</v>
      </c>
      <c r="E23" s="57">
        <f t="shared" si="3"/>
        <v>4.2931544238881654E-3</v>
      </c>
      <c r="F23" s="57">
        <f t="shared" si="4"/>
        <v>-1.4126236754280648</v>
      </c>
      <c r="G23" s="57">
        <f t="shared" si="5"/>
        <v>-2.6281007207210965</v>
      </c>
      <c r="H23" s="15"/>
    </row>
    <row r="24" spans="2:8">
      <c r="B24">
        <v>85</v>
      </c>
      <c r="C24" s="12">
        <f t="shared" si="1"/>
        <v>0.1435405974750992</v>
      </c>
      <c r="D24" s="57">
        <f t="shared" si="2"/>
        <v>0.15661695338258805</v>
      </c>
      <c r="E24" s="57">
        <f t="shared" si="3"/>
        <v>1.3076355907488848E-2</v>
      </c>
      <c r="F24" s="57">
        <f t="shared" si="4"/>
        <v>-1.0084595299851662</v>
      </c>
      <c r="G24" s="57">
        <f t="shared" si="5"/>
        <v>-2.2239365752781968</v>
      </c>
      <c r="H24" s="15"/>
    </row>
    <row r="25" spans="2:8">
      <c r="B25">
        <v>90</v>
      </c>
      <c r="C25" s="12">
        <f t="shared" si="1"/>
        <v>0.23252417621485783</v>
      </c>
      <c r="D25" s="57">
        <f t="shared" si="2"/>
        <v>0.26519740744415432</v>
      </c>
      <c r="E25" s="57">
        <f t="shared" si="3"/>
        <v>3.2673231229296502E-2</v>
      </c>
      <c r="F25" s="57">
        <f t="shared" si="4"/>
        <v>-0.62740343771884188</v>
      </c>
      <c r="G25" s="57">
        <f t="shared" si="5"/>
        <v>-1.8428804830118728</v>
      </c>
      <c r="H25" s="15"/>
    </row>
    <row r="26" spans="2:8">
      <c r="B26">
        <v>95</v>
      </c>
      <c r="C26" s="12">
        <f t="shared" si="1"/>
        <v>0.32563914354647316</v>
      </c>
      <c r="D26" s="57">
        <f t="shared" si="2"/>
        <v>0.39475179049636328</v>
      </c>
      <c r="E26" s="57">
        <f t="shared" si="3"/>
        <v>6.9112646949890111E-2</v>
      </c>
      <c r="F26" s="57">
        <f t="shared" si="4"/>
        <v>-0.2669552959170039</v>
      </c>
      <c r="G26" s="57">
        <f t="shared" si="5"/>
        <v>-1.4824323412100346</v>
      </c>
      <c r="H26" s="15"/>
    </row>
    <row r="27" spans="2:8">
      <c r="B27">
        <v>100</v>
      </c>
      <c r="C27" s="12">
        <f t="shared" si="1"/>
        <v>0.40284883872108357</v>
      </c>
      <c r="D27" s="57">
        <f t="shared" si="2"/>
        <v>0.52989264405289482</v>
      </c>
      <c r="E27" s="57">
        <f t="shared" si="3"/>
        <v>0.12704380533181128</v>
      </c>
      <c r="F27" s="57">
        <f t="shared" si="4"/>
        <v>7.4999999999999997E-2</v>
      </c>
      <c r="G27" s="57">
        <f t="shared" si="5"/>
        <v>-1.1404770452930306</v>
      </c>
      <c r="H27" s="15"/>
    </row>
    <row r="28" spans="2:8">
      <c r="B28">
        <v>105</v>
      </c>
      <c r="C28" s="12">
        <f t="shared" si="1"/>
        <v>0.44804408253648986</v>
      </c>
      <c r="D28" s="57">
        <f t="shared" si="2"/>
        <v>0.65552034475737975</v>
      </c>
      <c r="E28" s="57">
        <f t="shared" si="3"/>
        <v>0.20747626222088986</v>
      </c>
      <c r="F28" s="57">
        <f t="shared" si="4"/>
        <v>0.40026776112954698</v>
      </c>
      <c r="G28" s="57">
        <f t="shared" si="5"/>
        <v>-0.81520928416348426</v>
      </c>
      <c r="H28" s="15"/>
    </row>
    <row r="29" spans="2:8">
      <c r="B29">
        <v>110</v>
      </c>
      <c r="C29" s="12">
        <f t="shared" si="1"/>
        <v>0.45451952742421253</v>
      </c>
      <c r="D29" s="57">
        <f t="shared" si="2"/>
        <v>0.76127230997302431</v>
      </c>
      <c r="E29" s="57">
        <f t="shared" si="3"/>
        <v>0.30675278254881178</v>
      </c>
      <c r="F29" s="57">
        <f t="shared" si="4"/>
        <v>0.71040119869549956</v>
      </c>
      <c r="G29" s="57">
        <f t="shared" si="5"/>
        <v>-0.50507584659753213</v>
      </c>
      <c r="H29" s="15"/>
    </row>
    <row r="30" spans="2:8">
      <c r="B30">
        <v>115</v>
      </c>
      <c r="C30" s="12">
        <f t="shared" si="1"/>
        <v>0.42564243073800223</v>
      </c>
      <c r="D30" s="57">
        <f t="shared" si="2"/>
        <v>0.84297164264940572</v>
      </c>
      <c r="E30" s="57">
        <f t="shared" si="3"/>
        <v>0.41732921191140349</v>
      </c>
      <c r="F30" s="57">
        <f t="shared" si="4"/>
        <v>1.0067462825010576</v>
      </c>
      <c r="G30" s="57">
        <f t="shared" si="5"/>
        <v>-0.20873076279197258</v>
      </c>
      <c r="H30" s="15"/>
    </row>
    <row r="31" spans="2:8">
      <c r="B31">
        <v>120</v>
      </c>
      <c r="C31" s="12">
        <f t="shared" si="1"/>
        <v>0.3716648175521966</v>
      </c>
      <c r="D31" s="57">
        <f t="shared" si="2"/>
        <v>0.90155746160509143</v>
      </c>
      <c r="E31" s="57">
        <f t="shared" si="3"/>
        <v>0.52989264405289482</v>
      </c>
      <c r="F31" s="57">
        <f t="shared" si="4"/>
        <v>1.2904770452930308</v>
      </c>
      <c r="G31" s="57">
        <f t="shared" si="5"/>
        <v>7.4999999999999997E-2</v>
      </c>
      <c r="H31" s="15"/>
    </row>
    <row r="32" spans="2:8">
      <c r="B32">
        <v>125</v>
      </c>
      <c r="C32" s="12">
        <f t="shared" si="1"/>
        <v>0.30517001357842199</v>
      </c>
      <c r="D32" s="57">
        <f t="shared" si="2"/>
        <v>0.94092943188918754</v>
      </c>
      <c r="E32" s="57">
        <f t="shared" si="3"/>
        <v>0.63575941831076555</v>
      </c>
      <c r="F32" s="57">
        <f t="shared" si="4"/>
        <v>1.5626236754280651</v>
      </c>
      <c r="G32" s="57">
        <f t="shared" si="5"/>
        <v>0.34714663013503466</v>
      </c>
      <c r="H32" s="15"/>
    </row>
    <row r="33" spans="2:9">
      <c r="B33">
        <v>130</v>
      </c>
      <c r="C33" s="12">
        <f t="shared" si="1"/>
        <v>0.23731996999454696</v>
      </c>
      <c r="D33" s="57">
        <f t="shared" si="2"/>
        <v>0.96593115163184617</v>
      </c>
      <c r="E33" s="57">
        <f t="shared" si="3"/>
        <v>0.72861118163729921</v>
      </c>
      <c r="F33" s="57">
        <f t="shared" si="4"/>
        <v>1.8240950964499403</v>
      </c>
      <c r="G33" s="57">
        <f t="shared" si="5"/>
        <v>0.60861805115690903</v>
      </c>
      <c r="H33" s="15"/>
    </row>
    <row r="34" spans="2:9">
      <c r="B34">
        <v>135</v>
      </c>
      <c r="C34" s="12">
        <f t="shared" si="1"/>
        <v>0.17587284676968717</v>
      </c>
      <c r="D34" s="57">
        <f t="shared" si="2"/>
        <v>0.98103902130055476</v>
      </c>
      <c r="E34" s="57">
        <f t="shared" si="3"/>
        <v>0.80516617453086758</v>
      </c>
      <c r="F34" s="57">
        <f t="shared" si="4"/>
        <v>2.0756972830022544</v>
      </c>
      <c r="G34" s="57">
        <f t="shared" si="5"/>
        <v>0.86022023770922318</v>
      </c>
      <c r="H34" s="15"/>
    </row>
    <row r="35" spans="2:9">
      <c r="B35">
        <v>140</v>
      </c>
      <c r="C35" s="12">
        <f t="shared" si="1"/>
        <v>0.12486435639985127</v>
      </c>
      <c r="D35" s="57">
        <f t="shared" si="2"/>
        <v>0.98977936714136883</v>
      </c>
      <c r="E35" s="57">
        <f t="shared" si="3"/>
        <v>0.86491501074151755</v>
      </c>
      <c r="F35" s="57">
        <f t="shared" si="4"/>
        <v>2.3181482441414194</v>
      </c>
      <c r="G35" s="57">
        <f t="shared" si="5"/>
        <v>1.1026711988483893</v>
      </c>
      <c r="H35" s="15"/>
    </row>
    <row r="36" spans="2:9">
      <c r="B36">
        <v>145</v>
      </c>
      <c r="C36" s="12">
        <f t="shared" si="1"/>
        <v>8.5320505696507287E-2</v>
      </c>
      <c r="D36" s="57">
        <f t="shared" si="2"/>
        <v>0.99464606304959857</v>
      </c>
      <c r="E36" s="57">
        <f t="shared" si="3"/>
        <v>0.90932555735309128</v>
      </c>
      <c r="F36" s="57">
        <f t="shared" si="4"/>
        <v>2.5520903762165532</v>
      </c>
      <c r="G36" s="57">
        <f t="shared" si="5"/>
        <v>1.3366133309235224</v>
      </c>
      <c r="H36" s="15"/>
    </row>
    <row r="37" spans="2:9">
      <c r="B37">
        <v>150</v>
      </c>
      <c r="C37" s="12">
        <f t="shared" si="1"/>
        <v>5.6336684780158408E-2</v>
      </c>
      <c r="D37" s="57">
        <f t="shared" si="2"/>
        <v>0.99726611666934595</v>
      </c>
      <c r="E37" s="57">
        <f t="shared" si="3"/>
        <v>0.94092943188918754</v>
      </c>
      <c r="F37" s="57">
        <f t="shared" si="4"/>
        <v>2.7781007207210959</v>
      </c>
      <c r="G37" s="57">
        <f t="shared" si="5"/>
        <v>1.5626236754280651</v>
      </c>
      <c r="H37" s="15"/>
    </row>
    <row r="38" spans="2:9">
      <c r="B38">
        <v>155</v>
      </c>
      <c r="C38" s="12">
        <f t="shared" si="1"/>
        <v>3.6073457348615334E-2</v>
      </c>
      <c r="D38" s="57">
        <f t="shared" si="2"/>
        <v>0.99863540220063796</v>
      </c>
      <c r="E38" s="57">
        <f t="shared" si="3"/>
        <v>0.96256194485202262</v>
      </c>
      <c r="F38" s="57">
        <f t="shared" si="4"/>
        <v>2.9966995395410354</v>
      </c>
      <c r="G38" s="57">
        <f t="shared" si="5"/>
        <v>1.7812224942480046</v>
      </c>
      <c r="H38" s="15"/>
    </row>
    <row r="39" spans="2:9">
      <c r="B39">
        <v>160</v>
      </c>
      <c r="C39" s="12">
        <f t="shared" si="1"/>
        <v>2.2469790812835733E-2</v>
      </c>
      <c r="D39" s="57">
        <f t="shared" si="2"/>
        <v>0.99933252283965324</v>
      </c>
      <c r="E39" s="57">
        <f t="shared" si="3"/>
        <v>0.9768627320268175</v>
      </c>
      <c r="F39" s="57">
        <f t="shared" si="4"/>
        <v>3.2083575283049042</v>
      </c>
      <c r="G39" s="57">
        <f t="shared" si="5"/>
        <v>1.9928804830118723</v>
      </c>
      <c r="H39" s="15"/>
    </row>
    <row r="42" spans="2:9">
      <c r="B42" t="s">
        <v>9</v>
      </c>
      <c r="C42" s="56" t="s">
        <v>60</v>
      </c>
      <c r="D42" t="s">
        <v>59</v>
      </c>
      <c r="E42" t="s">
        <v>58</v>
      </c>
      <c r="F42" t="s">
        <v>57</v>
      </c>
      <c r="G42" s="56" t="s">
        <v>56</v>
      </c>
      <c r="H42" t="s">
        <v>55</v>
      </c>
      <c r="I42" s="56" t="s">
        <v>54</v>
      </c>
    </row>
    <row r="43" spans="2:9">
      <c r="B43">
        <f t="shared" ref="B43:B61" si="6">B21</f>
        <v>70</v>
      </c>
      <c r="C43" s="12">
        <f t="shared" ref="C43:C61" si="7">D43-E43</f>
        <v>2.6023407017336667E-3</v>
      </c>
      <c r="D43" s="15">
        <f t="shared" ref="D43:D61" si="8">$G43/($B43*ImpliedVol*SQRT(Maturity_T))</f>
        <v>2.6802810775963335E-3</v>
      </c>
      <c r="E43" s="15">
        <f t="shared" ref="E43:E61" si="9">$I43/($B43*ImpliedVol*SQRT(Maturity_T))</f>
        <v>7.7940375862666744E-5</v>
      </c>
      <c r="F43" s="15">
        <f t="shared" ref="F43:F61" si="10">F21</f>
        <v>-2.3028329595915498</v>
      </c>
      <c r="G43" s="15">
        <f t="shared" ref="G43:G61" si="11">1/SQRT(2*PI())*EXP(-0.5*$F43*$F43)</f>
        <v>2.8142951314761501E-2</v>
      </c>
      <c r="H43" s="15">
        <f t="shared" ref="H43:H61" si="12">G21</f>
        <v>-3.5183100048845795</v>
      </c>
      <c r="I43" s="15">
        <f t="shared" ref="I43:I61" si="13">1/SQRT(2*PI())*EXP(-0.5*$H43*$H43)</f>
        <v>8.1837394655800088E-4</v>
      </c>
    </row>
    <row r="44" spans="2:9">
      <c r="B44">
        <f t="shared" si="6"/>
        <v>75</v>
      </c>
      <c r="C44" s="12">
        <f t="shared" si="7"/>
        <v>6.1604203711028956E-3</v>
      </c>
      <c r="D44" s="15">
        <f t="shared" si="8"/>
        <v>6.4905312222559479E-3</v>
      </c>
      <c r="E44" s="15">
        <f t="shared" si="9"/>
        <v>3.3011085115305206E-4</v>
      </c>
      <c r="F44" s="15">
        <f t="shared" si="10"/>
        <v>-1.8428804830118728</v>
      </c>
      <c r="G44" s="15">
        <f t="shared" si="11"/>
        <v>7.301847625037941E-2</v>
      </c>
      <c r="H44" s="15">
        <f t="shared" si="12"/>
        <v>-3.0583575283049043</v>
      </c>
      <c r="I44" s="15">
        <f t="shared" si="13"/>
        <v>3.7137470754718357E-3</v>
      </c>
    </row>
    <row r="45" spans="2:9">
      <c r="B45">
        <f t="shared" si="6"/>
        <v>80</v>
      </c>
      <c r="C45" s="12">
        <f t="shared" si="7"/>
        <v>1.1205988445783327E-2</v>
      </c>
      <c r="D45" s="15">
        <f t="shared" si="8"/>
        <v>1.225773629324621E-2</v>
      </c>
      <c r="E45" s="15">
        <f t="shared" si="9"/>
        <v>1.0517478474628837E-3</v>
      </c>
      <c r="F45" s="15">
        <f t="shared" si="10"/>
        <v>-1.4126236754280648</v>
      </c>
      <c r="G45" s="15">
        <f t="shared" si="11"/>
        <v>0.14709283551895452</v>
      </c>
      <c r="H45" s="15">
        <f t="shared" si="12"/>
        <v>-2.6281007207210965</v>
      </c>
      <c r="I45" s="15">
        <f t="shared" si="13"/>
        <v>1.2620974169554605E-2</v>
      </c>
    </row>
    <row r="46" spans="2:9">
      <c r="B46">
        <f t="shared" si="6"/>
        <v>85</v>
      </c>
      <c r="C46" s="12">
        <f t="shared" si="7"/>
        <v>1.6178716459256386E-2</v>
      </c>
      <c r="D46" s="15">
        <f t="shared" si="8"/>
        <v>1.8817554089805923E-2</v>
      </c>
      <c r="E46" s="15">
        <f t="shared" si="9"/>
        <v>2.6388376305495386E-3</v>
      </c>
      <c r="F46" s="15">
        <f t="shared" si="10"/>
        <v>-1.0084595299851662</v>
      </c>
      <c r="G46" s="15">
        <f t="shared" si="11"/>
        <v>0.23992381464502552</v>
      </c>
      <c r="H46" s="15">
        <f t="shared" si="12"/>
        <v>-2.2239365752781968</v>
      </c>
      <c r="I46" s="15">
        <f t="shared" si="13"/>
        <v>3.3645179789506617E-2</v>
      </c>
    </row>
    <row r="47" spans="2:9">
      <c r="B47">
        <f t="shared" si="6"/>
        <v>90</v>
      </c>
      <c r="C47" s="12">
        <f t="shared" si="7"/>
        <v>1.8862886624750278E-2</v>
      </c>
      <c r="D47" s="15">
        <f t="shared" si="8"/>
        <v>2.4271662643296901E-2</v>
      </c>
      <c r="E47" s="15">
        <f t="shared" si="9"/>
        <v>5.4087760185466231E-3</v>
      </c>
      <c r="F47" s="15">
        <f t="shared" si="10"/>
        <v>-0.62740343771884188</v>
      </c>
      <c r="G47" s="15">
        <f t="shared" si="11"/>
        <v>0.32766744568450817</v>
      </c>
      <c r="H47" s="15">
        <f t="shared" si="12"/>
        <v>-1.8428804830118728</v>
      </c>
      <c r="I47" s="15">
        <f t="shared" si="13"/>
        <v>7.301847625037941E-2</v>
      </c>
    </row>
    <row r="48" spans="2:9">
      <c r="B48">
        <f t="shared" si="6"/>
        <v>95</v>
      </c>
      <c r="C48" s="12">
        <f t="shared" si="7"/>
        <v>1.7685740451863906E-2</v>
      </c>
      <c r="D48" s="15">
        <f t="shared" si="8"/>
        <v>2.7015945724112755E-2</v>
      </c>
      <c r="E48" s="15">
        <f t="shared" si="9"/>
        <v>9.3302052722488479E-3</v>
      </c>
      <c r="F48" s="15">
        <f t="shared" si="10"/>
        <v>-0.2669552959170039</v>
      </c>
      <c r="G48" s="15">
        <f t="shared" si="11"/>
        <v>0.38497722656860678</v>
      </c>
      <c r="H48" s="15">
        <f t="shared" si="12"/>
        <v>-1.4824323412100346</v>
      </c>
      <c r="I48" s="15">
        <f t="shared" si="13"/>
        <v>0.13295542512954608</v>
      </c>
    </row>
    <row r="49" spans="2:9">
      <c r="B49">
        <f t="shared" si="6"/>
        <v>100</v>
      </c>
      <c r="C49" s="12">
        <f t="shared" si="7"/>
        <v>1.2641821254510202E-2</v>
      </c>
      <c r="D49" s="15">
        <f t="shared" si="8"/>
        <v>2.652145544049981E-2</v>
      </c>
      <c r="E49" s="15">
        <f t="shared" si="9"/>
        <v>1.3879634185989607E-2</v>
      </c>
      <c r="F49" s="15">
        <f t="shared" si="10"/>
        <v>7.4999999999999997E-2</v>
      </c>
      <c r="G49" s="15">
        <f t="shared" si="11"/>
        <v>0.39782183160749712</v>
      </c>
      <c r="H49" s="15">
        <f t="shared" si="12"/>
        <v>-1.1404770452930306</v>
      </c>
      <c r="I49" s="15">
        <f t="shared" si="13"/>
        <v>0.20819451278984411</v>
      </c>
    </row>
    <row r="50" spans="2:9">
      <c r="B50">
        <f t="shared" si="6"/>
        <v>105</v>
      </c>
      <c r="C50" s="12">
        <f t="shared" si="7"/>
        <v>5.2111540166871091E-3</v>
      </c>
      <c r="D50" s="15">
        <f t="shared" si="8"/>
        <v>2.3379726085313766E-2</v>
      </c>
      <c r="E50" s="15">
        <f t="shared" si="9"/>
        <v>1.8168572068626657E-2</v>
      </c>
      <c r="F50" s="15">
        <f t="shared" si="10"/>
        <v>0.40026776112954698</v>
      </c>
      <c r="G50" s="15">
        <f t="shared" si="11"/>
        <v>0.36823068584369184</v>
      </c>
      <c r="H50" s="15">
        <f t="shared" si="12"/>
        <v>-0.81520928416348426</v>
      </c>
      <c r="I50" s="15">
        <f t="shared" si="13"/>
        <v>0.28615501008086985</v>
      </c>
    </row>
    <row r="51" spans="2:9">
      <c r="B51">
        <f t="shared" si="6"/>
        <v>110</v>
      </c>
      <c r="C51" s="12">
        <f t="shared" si="7"/>
        <v>-2.4967557313574362E-3</v>
      </c>
      <c r="D51" s="15">
        <f t="shared" si="8"/>
        <v>1.8786178876345747E-2</v>
      </c>
      <c r="E51" s="15">
        <f t="shared" si="9"/>
        <v>2.1282934607703183E-2</v>
      </c>
      <c r="F51" s="15">
        <f t="shared" si="10"/>
        <v>0.71040119869549956</v>
      </c>
      <c r="G51" s="15">
        <f t="shared" si="11"/>
        <v>0.3099719514597048</v>
      </c>
      <c r="H51" s="15">
        <f t="shared" si="12"/>
        <v>-0.50507584659753213</v>
      </c>
      <c r="I51" s="15">
        <f t="shared" si="13"/>
        <v>0.3511684210271025</v>
      </c>
    </row>
    <row r="52" spans="2:9">
      <c r="B52">
        <f t="shared" si="6"/>
        <v>115</v>
      </c>
      <c r="C52" s="12">
        <f t="shared" si="7"/>
        <v>-8.6960722108396626E-3</v>
      </c>
      <c r="D52" s="15">
        <f t="shared" si="8"/>
        <v>1.3932657761010636E-2</v>
      </c>
      <c r="E52" s="15">
        <f t="shared" si="9"/>
        <v>2.2628729971850298E-2</v>
      </c>
      <c r="F52" s="15">
        <f t="shared" si="10"/>
        <v>1.0067462825010576</v>
      </c>
      <c r="G52" s="15">
        <f t="shared" si="11"/>
        <v>0.24033834637743348</v>
      </c>
      <c r="H52" s="15">
        <f t="shared" si="12"/>
        <v>-0.20873076279197258</v>
      </c>
      <c r="I52" s="15">
        <f t="shared" si="13"/>
        <v>0.39034559201441765</v>
      </c>
    </row>
    <row r="53" spans="2:9">
      <c r="B53">
        <f t="shared" si="6"/>
        <v>120</v>
      </c>
      <c r="C53" s="12">
        <f t="shared" si="7"/>
        <v>-1.2462578015701506E-2</v>
      </c>
      <c r="D53" s="15">
        <f t="shared" si="8"/>
        <v>9.6386348513816684E-3</v>
      </c>
      <c r="E53" s="15">
        <f t="shared" si="9"/>
        <v>2.2101212867083175E-2</v>
      </c>
      <c r="F53" s="15">
        <f t="shared" si="10"/>
        <v>1.2904770452930308</v>
      </c>
      <c r="G53" s="15">
        <f t="shared" si="11"/>
        <v>0.17349542732487003</v>
      </c>
      <c r="H53" s="15">
        <f t="shared" si="12"/>
        <v>7.4999999999999997E-2</v>
      </c>
      <c r="I53" s="15">
        <f t="shared" si="13"/>
        <v>0.39782183160749712</v>
      </c>
    </row>
    <row r="54" spans="2:9">
      <c r="B54">
        <f t="shared" si="6"/>
        <v>125</v>
      </c>
      <c r="C54" s="12">
        <f t="shared" si="7"/>
        <v>-1.3756772343431485E-2</v>
      </c>
      <c r="D54" s="15">
        <f t="shared" si="8"/>
        <v>6.2759609821420566E-3</v>
      </c>
      <c r="E54" s="15">
        <f t="shared" si="9"/>
        <v>2.0032733325573541E-2</v>
      </c>
      <c r="F54" s="15">
        <f t="shared" si="10"/>
        <v>1.5626236754280651</v>
      </c>
      <c r="G54" s="15">
        <f t="shared" si="11"/>
        <v>0.11767426841516357</v>
      </c>
      <c r="H54" s="15">
        <f t="shared" si="12"/>
        <v>0.34714663013503466</v>
      </c>
      <c r="I54" s="15">
        <f t="shared" si="13"/>
        <v>0.37561374985450391</v>
      </c>
    </row>
    <row r="55" spans="2:9">
      <c r="B55">
        <f t="shared" si="6"/>
        <v>130</v>
      </c>
      <c r="C55" s="12">
        <f t="shared" si="7"/>
        <v>-1.312392018700342E-2</v>
      </c>
      <c r="D55" s="15">
        <f t="shared" si="8"/>
        <v>3.8757563070017519E-3</v>
      </c>
      <c r="E55" s="15">
        <f t="shared" si="9"/>
        <v>1.6999676494005172E-2</v>
      </c>
      <c r="F55" s="15">
        <f t="shared" si="10"/>
        <v>1.8240950964499403</v>
      </c>
      <c r="G55" s="15">
        <f t="shared" si="11"/>
        <v>7.557724798653416E-2</v>
      </c>
      <c r="H55" s="15">
        <f t="shared" si="12"/>
        <v>0.60861805115690903</v>
      </c>
      <c r="I55" s="15">
        <f t="shared" si="13"/>
        <v>0.33149369163310088</v>
      </c>
    </row>
    <row r="56" spans="2:9">
      <c r="B56">
        <f t="shared" si="6"/>
        <v>135</v>
      </c>
      <c r="C56" s="12">
        <f t="shared" si="7"/>
        <v>-1.1323116611191444E-2</v>
      </c>
      <c r="D56" s="15">
        <f t="shared" si="8"/>
        <v>2.2850829985278792E-3</v>
      </c>
      <c r="E56" s="15">
        <f t="shared" si="9"/>
        <v>1.3608199609719323E-2</v>
      </c>
      <c r="F56" s="15">
        <f t="shared" si="10"/>
        <v>2.0756972830022544</v>
      </c>
      <c r="G56" s="15">
        <f t="shared" si="11"/>
        <v>4.6272930720189558E-2</v>
      </c>
      <c r="H56" s="15">
        <f t="shared" si="12"/>
        <v>0.86022023770922318</v>
      </c>
      <c r="I56" s="15">
        <f t="shared" si="13"/>
        <v>0.27556604209681629</v>
      </c>
    </row>
    <row r="57" spans="2:9">
      <c r="B57">
        <f t="shared" si="6"/>
        <v>140</v>
      </c>
      <c r="C57" s="12">
        <f t="shared" si="7"/>
        <v>-9.0498913769928475E-3</v>
      </c>
      <c r="D57" s="15">
        <f t="shared" si="8"/>
        <v>1.293547788596252E-3</v>
      </c>
      <c r="E57" s="15">
        <f t="shared" si="9"/>
        <v>1.0343439165589099E-2</v>
      </c>
      <c r="F57" s="15">
        <f t="shared" si="10"/>
        <v>2.3181482441414194</v>
      </c>
      <c r="G57" s="15">
        <f t="shared" si="11"/>
        <v>2.7164503560521292E-2</v>
      </c>
      <c r="H57" s="15">
        <f t="shared" si="12"/>
        <v>1.1026711988483893</v>
      </c>
      <c r="I57" s="15">
        <f t="shared" si="13"/>
        <v>0.2172122224773711</v>
      </c>
    </row>
    <row r="58" spans="2:9">
      <c r="B58">
        <f t="shared" si="6"/>
        <v>145</v>
      </c>
      <c r="C58" s="12">
        <f t="shared" si="7"/>
        <v>-6.8012097329757876E-3</v>
      </c>
      <c r="D58" s="15">
        <f t="shared" si="8"/>
        <v>7.0653703634488395E-4</v>
      </c>
      <c r="E58" s="15">
        <f t="shared" si="9"/>
        <v>7.5077467693206714E-3</v>
      </c>
      <c r="F58" s="15">
        <f t="shared" si="10"/>
        <v>2.5520903762165532</v>
      </c>
      <c r="G58" s="15">
        <f t="shared" si="11"/>
        <v>1.5367180540501226E-2</v>
      </c>
      <c r="H58" s="15">
        <f t="shared" si="12"/>
        <v>1.3366133309235224</v>
      </c>
      <c r="I58" s="15">
        <f t="shared" si="13"/>
        <v>0.1632934922327246</v>
      </c>
    </row>
    <row r="59" spans="2:9">
      <c r="B59">
        <f t="shared" si="6"/>
        <v>150</v>
      </c>
      <c r="C59" s="12">
        <f t="shared" si="7"/>
        <v>-4.8560126949093547E-3</v>
      </c>
      <c r="D59" s="15">
        <f t="shared" si="8"/>
        <v>3.7395479020902594E-4</v>
      </c>
      <c r="E59" s="15">
        <f t="shared" si="9"/>
        <v>5.2299674851183807E-3</v>
      </c>
      <c r="F59" s="15">
        <f t="shared" si="10"/>
        <v>2.7781007207210959</v>
      </c>
      <c r="G59" s="15">
        <f t="shared" si="11"/>
        <v>8.4139827797030838E-3</v>
      </c>
      <c r="H59" s="15">
        <f t="shared" si="12"/>
        <v>1.5626236754280651</v>
      </c>
      <c r="I59" s="15">
        <f t="shared" si="13"/>
        <v>0.11767426841516357</v>
      </c>
    </row>
    <row r="60" spans="2:9">
      <c r="B60">
        <f t="shared" si="6"/>
        <v>155</v>
      </c>
      <c r="C60" s="12">
        <f t="shared" si="7"/>
        <v>-3.3193085875796537E-3</v>
      </c>
      <c r="D60" s="15">
        <f t="shared" si="8"/>
        <v>1.9251283514509616E-4</v>
      </c>
      <c r="E60" s="15">
        <f t="shared" si="9"/>
        <v>3.5118214227247498E-3</v>
      </c>
      <c r="F60" s="15">
        <f t="shared" si="10"/>
        <v>2.9966995395410354</v>
      </c>
      <c r="G60" s="15">
        <f t="shared" si="11"/>
        <v>4.4759234171234856E-3</v>
      </c>
      <c r="H60" s="15">
        <f t="shared" si="12"/>
        <v>1.7812224942480046</v>
      </c>
      <c r="I60" s="15">
        <f t="shared" si="13"/>
        <v>8.1649848078350434E-2</v>
      </c>
    </row>
    <row r="61" spans="2:9">
      <c r="B61">
        <f t="shared" si="6"/>
        <v>160</v>
      </c>
      <c r="C61" s="12">
        <f t="shared" si="7"/>
        <v>-2.1851152194006132E-3</v>
      </c>
      <c r="D61" s="15">
        <f t="shared" si="8"/>
        <v>9.6712163423745705E-5</v>
      </c>
      <c r="E61" s="15">
        <f t="shared" si="9"/>
        <v>2.2818273828243587E-3</v>
      </c>
      <c r="F61" s="15">
        <f t="shared" si="10"/>
        <v>3.2083575283049042</v>
      </c>
      <c r="G61" s="15">
        <f t="shared" si="11"/>
        <v>2.3210919221698968E-3</v>
      </c>
      <c r="H61" s="15">
        <f t="shared" si="12"/>
        <v>1.9928804830118723</v>
      </c>
      <c r="I61" s="15">
        <f t="shared" si="13"/>
        <v>5.4763857187784613E-2</v>
      </c>
    </row>
    <row r="65" spans="2:9">
      <c r="B65" t="s">
        <v>9</v>
      </c>
      <c r="C65" s="56" t="s">
        <v>53</v>
      </c>
      <c r="D65" t="s">
        <v>52</v>
      </c>
      <c r="E65" t="s">
        <v>51</v>
      </c>
      <c r="F65" t="s">
        <v>50</v>
      </c>
      <c r="G65" s="56" t="s">
        <v>49</v>
      </c>
      <c r="H65" t="s">
        <v>48</v>
      </c>
      <c r="I65" s="56" t="s">
        <v>47</v>
      </c>
    </row>
    <row r="66" spans="2:9">
      <c r="B66">
        <v>55</v>
      </c>
      <c r="C66" s="12">
        <f t="shared" ref="C66:C89" si="14">D66-E66</f>
        <v>-2.4182875741260686E-3</v>
      </c>
      <c r="D66" s="15">
        <f t="shared" ref="D66:D89" si="15">$B66*SQRT(Maturity_T)*G66</f>
        <v>7.140354833299851E-4</v>
      </c>
      <c r="E66" s="15">
        <f t="shared" ref="E66:E89" si="16">$B66*SQRT(Maturity_T)*I66</f>
        <v>3.1323230574560536E-3</v>
      </c>
      <c r="F66" s="15">
        <f t="shared" ref="F66:F89" si="17">(LN($B66/110)+(Interest_Rate+ImpliedVol*ImpliedVol*0.5)*(Maturity_T))/(ImpliedVol*SQRT(Maturity_T))</f>
        <v>-4.5459812037329685</v>
      </c>
      <c r="G66" s="15">
        <f t="shared" ref="G66:G89" si="18">1/SQRT(2*PI())*EXP(-0.5*$F66*$F66)</f>
        <v>1.2982463333272457E-5</v>
      </c>
      <c r="H66" s="15">
        <f t="shared" ref="H66:H89" si="19">(LN($B66/90)+(Interest_Rate+ImpliedVol*ImpliedVol*0.5)*(Maturity_T))/(ImpliedVol*SQRT(Maturity_T))-1</f>
        <v>-4.2081765673186275</v>
      </c>
      <c r="I66" s="15">
        <f t="shared" ref="I66:I89" si="20">1/SQRT(2*PI())*EXP(-0.5*$H66*$H66)</f>
        <v>5.6951328317382793E-5</v>
      </c>
    </row>
    <row r="67" spans="2:9">
      <c r="B67">
        <v>60</v>
      </c>
      <c r="C67" s="12">
        <f t="shared" si="14"/>
        <v>-2.3970860188612601E-2</v>
      </c>
      <c r="D67" s="15">
        <f t="shared" si="15"/>
        <v>9.19774786791701E-3</v>
      </c>
      <c r="E67" s="15">
        <f t="shared" si="16"/>
        <v>3.316860805652961E-2</v>
      </c>
      <c r="F67" s="15">
        <f t="shared" si="17"/>
        <v>-3.9659053571354375</v>
      </c>
      <c r="G67" s="15">
        <f t="shared" si="18"/>
        <v>1.5329579779861684E-4</v>
      </c>
      <c r="H67" s="15">
        <f t="shared" si="19"/>
        <v>-3.6281007207210965</v>
      </c>
      <c r="I67" s="15">
        <f t="shared" si="20"/>
        <v>5.5281013427549354E-4</v>
      </c>
    </row>
    <row r="68" spans="2:9">
      <c r="B68">
        <v>65</v>
      </c>
      <c r="C68" s="12">
        <f t="shared" si="14"/>
        <v>-0.1442732726901568</v>
      </c>
      <c r="D68" s="15">
        <f t="shared" si="15"/>
        <v>7.1729775495786852E-2</v>
      </c>
      <c r="E68" s="15">
        <f t="shared" si="16"/>
        <v>0.21600304818594365</v>
      </c>
      <c r="F68" s="15">
        <f t="shared" si="17"/>
        <v>-3.4322873059785275</v>
      </c>
      <c r="G68" s="15">
        <f t="shared" si="18"/>
        <v>1.1035350076274901E-3</v>
      </c>
      <c r="H68" s="15">
        <f t="shared" si="19"/>
        <v>-3.0944826695641869</v>
      </c>
      <c r="I68" s="15">
        <f t="shared" si="20"/>
        <v>3.3231238182452869E-3</v>
      </c>
    </row>
    <row r="69" spans="2:9">
      <c r="B69">
        <v>70</v>
      </c>
      <c r="C69" s="12">
        <f t="shared" si="14"/>
        <v>-0.57707329029530996</v>
      </c>
      <c r="D69" s="15">
        <f t="shared" si="15"/>
        <v>0.37267323993762091</v>
      </c>
      <c r="E69" s="15">
        <f t="shared" si="16"/>
        <v>0.94974653023293087</v>
      </c>
      <c r="F69" s="15">
        <f t="shared" si="17"/>
        <v>-2.9382341582870488</v>
      </c>
      <c r="G69" s="15">
        <f t="shared" si="18"/>
        <v>5.3239034276802988E-3</v>
      </c>
      <c r="H69" s="15">
        <f t="shared" si="19"/>
        <v>-2.6004295218727069</v>
      </c>
      <c r="I69" s="15">
        <f t="shared" si="20"/>
        <v>1.3567807574756155E-2</v>
      </c>
    </row>
    <row r="70" spans="2:9">
      <c r="B70">
        <f t="shared" ref="B70:B87" si="21">B44</f>
        <v>75</v>
      </c>
      <c r="C70" s="12">
        <f t="shared" si="14"/>
        <v>-1.6398269062883919</v>
      </c>
      <c r="D70" s="15">
        <f t="shared" si="15"/>
        <v>1.3876470366560196</v>
      </c>
      <c r="E70" s="15">
        <f t="shared" si="16"/>
        <v>3.0274739429444115</v>
      </c>
      <c r="F70" s="15">
        <f t="shared" si="17"/>
        <v>-2.4782816817073723</v>
      </c>
      <c r="G70" s="15">
        <f t="shared" si="18"/>
        <v>1.850196048874693E-2</v>
      </c>
      <c r="H70" s="15">
        <f t="shared" si="19"/>
        <v>-2.1404770452930304</v>
      </c>
      <c r="I70" s="15">
        <f t="shared" si="20"/>
        <v>4.0366319239258819E-2</v>
      </c>
    </row>
    <row r="71" spans="2:9">
      <c r="B71">
        <f t="shared" si="21"/>
        <v>80</v>
      </c>
      <c r="C71" s="12">
        <f t="shared" si="14"/>
        <v>-3.4747547363997819</v>
      </c>
      <c r="D71" s="15">
        <f t="shared" si="15"/>
        <v>3.9191906237663643</v>
      </c>
      <c r="E71" s="15">
        <f t="shared" si="16"/>
        <v>7.3939453601661462</v>
      </c>
      <c r="F71" s="15">
        <f t="shared" si="17"/>
        <v>-2.048024874123564</v>
      </c>
      <c r="G71" s="15">
        <f t="shared" si="18"/>
        <v>4.8989882797079554E-2</v>
      </c>
      <c r="H71" s="15">
        <f t="shared" si="19"/>
        <v>-1.7102202377092235</v>
      </c>
      <c r="I71" s="15">
        <f t="shared" si="20"/>
        <v>9.2424317002076831E-2</v>
      </c>
    </row>
    <row r="72" spans="2:9">
      <c r="B72">
        <f t="shared" si="21"/>
        <v>85</v>
      </c>
      <c r="C72" s="12">
        <f t="shared" si="14"/>
        <v>-5.6709819441013654</v>
      </c>
      <c r="D72" s="15">
        <f t="shared" si="15"/>
        <v>8.7808540544819387</v>
      </c>
      <c r="E72" s="15">
        <f t="shared" si="16"/>
        <v>14.451835998583304</v>
      </c>
      <c r="F72" s="15">
        <f t="shared" si="17"/>
        <v>-1.6438607286806652</v>
      </c>
      <c r="G72" s="15">
        <f t="shared" si="18"/>
        <v>0.10330416534684635</v>
      </c>
      <c r="H72" s="15">
        <f t="shared" si="19"/>
        <v>-1.3060560922663242</v>
      </c>
      <c r="I72" s="15">
        <f t="shared" si="20"/>
        <v>0.17002159998333299</v>
      </c>
    </row>
    <row r="73" spans="2:9">
      <c r="B73">
        <f t="shared" si="21"/>
        <v>90</v>
      </c>
      <c r="C73" s="12">
        <f t="shared" si="14"/>
        <v>-7.2314743763625629</v>
      </c>
      <c r="D73" s="15">
        <f t="shared" si="15"/>
        <v>16.176076026937046</v>
      </c>
      <c r="E73" s="15">
        <f t="shared" si="16"/>
        <v>23.407550403299609</v>
      </c>
      <c r="F73" s="15">
        <f t="shared" si="17"/>
        <v>-1.2628046364143406</v>
      </c>
      <c r="G73" s="15">
        <f t="shared" si="18"/>
        <v>0.17973417807707828</v>
      </c>
      <c r="H73" s="15">
        <f t="shared" si="19"/>
        <v>-0.92500000000000004</v>
      </c>
      <c r="I73" s="15">
        <f t="shared" si="20"/>
        <v>0.26008389336999566</v>
      </c>
    </row>
    <row r="74" spans="2:9">
      <c r="B74">
        <f t="shared" si="21"/>
        <v>95</v>
      </c>
      <c r="C74" s="12">
        <f t="shared" si="14"/>
        <v>-7.0920584594250258</v>
      </c>
      <c r="D74" s="15">
        <f t="shared" si="15"/>
        <v>25.224474580616075</v>
      </c>
      <c r="E74" s="15">
        <f t="shared" si="16"/>
        <v>32.316533040041101</v>
      </c>
      <c r="F74" s="15">
        <f t="shared" si="17"/>
        <v>-0.90235649461250256</v>
      </c>
      <c r="G74" s="15">
        <f t="shared" si="18"/>
        <v>0.26552078505911658</v>
      </c>
      <c r="H74" s="15">
        <f t="shared" si="19"/>
        <v>-0.56455185819816134</v>
      </c>
      <c r="I74" s="15">
        <f t="shared" si="20"/>
        <v>0.34017403200043267</v>
      </c>
    </row>
    <row r="75" spans="2:9">
      <c r="B75">
        <f t="shared" si="21"/>
        <v>100</v>
      </c>
      <c r="C75" s="12">
        <f t="shared" si="14"/>
        <v>-4.8210919351684822</v>
      </c>
      <c r="D75" s="15">
        <f t="shared" si="15"/>
        <v>34.096914660567542</v>
      </c>
      <c r="E75" s="15">
        <f t="shared" si="16"/>
        <v>38.918006595736024</v>
      </c>
      <c r="F75" s="15">
        <f t="shared" si="17"/>
        <v>-0.56040119869549931</v>
      </c>
      <c r="G75" s="15">
        <f t="shared" si="18"/>
        <v>0.3409691466056754</v>
      </c>
      <c r="H75" s="15">
        <f t="shared" si="19"/>
        <v>-0.22259656228115765</v>
      </c>
      <c r="I75" s="15">
        <f t="shared" si="20"/>
        <v>0.38918006595736021</v>
      </c>
    </row>
    <row r="76" spans="2:9">
      <c r="B76">
        <f t="shared" si="21"/>
        <v>105</v>
      </c>
      <c r="C76" s="12">
        <f t="shared" si="14"/>
        <v>-0.92191062276250335</v>
      </c>
      <c r="D76" s="15">
        <f t="shared" si="15"/>
        <v>40.746826127916123</v>
      </c>
      <c r="E76" s="15">
        <f t="shared" si="16"/>
        <v>41.668736750678626</v>
      </c>
      <c r="F76" s="15">
        <f t="shared" si="17"/>
        <v>-0.23513343756595215</v>
      </c>
      <c r="G76" s="15">
        <f t="shared" si="18"/>
        <v>0.38806501074205829</v>
      </c>
      <c r="H76" s="15">
        <f t="shared" si="19"/>
        <v>0.10267119884838927</v>
      </c>
      <c r="I76" s="15">
        <f t="shared" si="20"/>
        <v>0.39684511191122501</v>
      </c>
    </row>
    <row r="77" spans="2:9">
      <c r="B77">
        <f t="shared" si="21"/>
        <v>110</v>
      </c>
      <c r="C77" s="12">
        <f t="shared" si="14"/>
        <v>3.460944325754042</v>
      </c>
      <c r="D77" s="15">
        <f t="shared" si="15"/>
        <v>43.760401476824683</v>
      </c>
      <c r="E77" s="15">
        <f t="shared" si="16"/>
        <v>40.299457151070641</v>
      </c>
      <c r="F77" s="15">
        <f t="shared" si="17"/>
        <v>7.4999999999999997E-2</v>
      </c>
      <c r="G77" s="15">
        <f t="shared" si="18"/>
        <v>0.39782183160749712</v>
      </c>
      <c r="H77" s="15">
        <f t="shared" si="19"/>
        <v>0.41280463641434184</v>
      </c>
      <c r="I77" s="15">
        <f t="shared" si="20"/>
        <v>0.36635870137336946</v>
      </c>
    </row>
    <row r="78" spans="2:9">
      <c r="B78">
        <f t="shared" si="21"/>
        <v>115</v>
      </c>
      <c r="C78" s="12">
        <f t="shared" si="14"/>
        <v>7.1432487172940426</v>
      </c>
      <c r="D78" s="15">
        <f t="shared" si="15"/>
        <v>42.821701116685652</v>
      </c>
      <c r="E78" s="15">
        <f t="shared" si="16"/>
        <v>35.67845239939161</v>
      </c>
      <c r="F78" s="15">
        <f t="shared" si="17"/>
        <v>0.3713450838055587</v>
      </c>
      <c r="G78" s="15">
        <f t="shared" si="18"/>
        <v>0.37236261840596219</v>
      </c>
      <c r="H78" s="15">
        <f t="shared" si="19"/>
        <v>0.70914972021989953</v>
      </c>
      <c r="I78" s="15">
        <f t="shared" si="20"/>
        <v>0.31024741216862267</v>
      </c>
    </row>
    <row r="79" spans="2:9">
      <c r="B79">
        <f t="shared" si="21"/>
        <v>120</v>
      </c>
      <c r="C79" s="12">
        <f t="shared" si="14"/>
        <v>9.3853171076185333</v>
      </c>
      <c r="D79" s="15">
        <f t="shared" si="15"/>
        <v>38.628526312981293</v>
      </c>
      <c r="E79" s="15">
        <f t="shared" si="16"/>
        <v>29.24320920536276</v>
      </c>
      <c r="F79" s="15">
        <f t="shared" si="17"/>
        <v>0.65507584659753137</v>
      </c>
      <c r="G79" s="15">
        <f t="shared" si="18"/>
        <v>0.32190438594151077</v>
      </c>
      <c r="H79" s="15">
        <f t="shared" si="19"/>
        <v>0.99288048301187226</v>
      </c>
      <c r="I79" s="15">
        <f t="shared" si="20"/>
        <v>0.24369341004468967</v>
      </c>
    </row>
    <row r="80" spans="2:9">
      <c r="B80">
        <f t="shared" si="21"/>
        <v>125</v>
      </c>
      <c r="C80" s="12">
        <f t="shared" si="14"/>
        <v>10.039889310985533</v>
      </c>
      <c r="D80" s="15">
        <f t="shared" si="15"/>
        <v>32.443640431969733</v>
      </c>
      <c r="E80" s="15">
        <f t="shared" si="16"/>
        <v>22.4037511209842</v>
      </c>
      <c r="F80" s="15">
        <f t="shared" si="17"/>
        <v>0.92722247673256675</v>
      </c>
      <c r="G80" s="15">
        <f t="shared" si="18"/>
        <v>0.25954912345575787</v>
      </c>
      <c r="H80" s="15">
        <f t="shared" si="19"/>
        <v>1.2650271131469069</v>
      </c>
      <c r="I80" s="15">
        <f t="shared" si="20"/>
        <v>0.17923000896787361</v>
      </c>
    </row>
    <row r="81" spans="2:9">
      <c r="B81">
        <f t="shared" si="21"/>
        <v>130</v>
      </c>
      <c r="C81" s="12">
        <f t="shared" si="14"/>
        <v>9.4118933358881911</v>
      </c>
      <c r="D81" s="15">
        <f t="shared" si="15"/>
        <v>25.58738165768133</v>
      </c>
      <c r="E81" s="15">
        <f t="shared" si="16"/>
        <v>16.175488321793139</v>
      </c>
      <c r="F81" s="15">
        <f t="shared" si="17"/>
        <v>1.1886938977544417</v>
      </c>
      <c r="G81" s="15">
        <f t="shared" si="18"/>
        <v>0.19682601275139486</v>
      </c>
      <c r="H81" s="15">
        <f t="shared" si="19"/>
        <v>1.5264985341687822</v>
      </c>
      <c r="I81" s="15">
        <f t="shared" si="20"/>
        <v>0.12442683324456261</v>
      </c>
    </row>
    <row r="82" spans="2:9">
      <c r="B82">
        <f t="shared" si="21"/>
        <v>135</v>
      </c>
      <c r="C82" s="12">
        <f t="shared" si="14"/>
        <v>8.0048150373924098</v>
      </c>
      <c r="D82" s="15">
        <f t="shared" si="15"/>
        <v>19.088953939831541</v>
      </c>
      <c r="E82" s="15">
        <f t="shared" si="16"/>
        <v>11.084138902439131</v>
      </c>
      <c r="F82" s="15">
        <f t="shared" si="17"/>
        <v>1.4402960843067549</v>
      </c>
      <c r="G82" s="15">
        <f t="shared" si="18"/>
        <v>0.14139965881356698</v>
      </c>
      <c r="H82" s="15">
        <f t="shared" si="19"/>
        <v>1.7781007207210959</v>
      </c>
      <c r="I82" s="15">
        <f t="shared" si="20"/>
        <v>8.210473261066023E-2</v>
      </c>
    </row>
    <row r="83" spans="2:9">
      <c r="B83">
        <f t="shared" si="21"/>
        <v>140</v>
      </c>
      <c r="C83" s="12">
        <f t="shared" si="14"/>
        <v>6.3039441906308333</v>
      </c>
      <c r="D83" s="15">
        <f t="shared" si="15"/>
        <v>13.556756800838693</v>
      </c>
      <c r="E83" s="15">
        <f t="shared" si="16"/>
        <v>7.2528126102078598</v>
      </c>
      <c r="F83" s="15">
        <f t="shared" si="17"/>
        <v>1.6827470454459204</v>
      </c>
      <c r="G83" s="15">
        <f t="shared" si="18"/>
        <v>9.6833977148847811E-2</v>
      </c>
      <c r="H83" s="15">
        <f t="shared" si="19"/>
        <v>2.0205516818602614</v>
      </c>
      <c r="I83" s="15">
        <f t="shared" si="20"/>
        <v>5.1805804358627569E-2</v>
      </c>
    </row>
    <row r="84" spans="2:9">
      <c r="B84">
        <f t="shared" si="21"/>
        <v>145</v>
      </c>
      <c r="C84" s="12">
        <f t="shared" si="14"/>
        <v>4.6601455430690866</v>
      </c>
      <c r="D84" s="15">
        <f t="shared" si="15"/>
        <v>9.2160498001655675</v>
      </c>
      <c r="E84" s="15">
        <f t="shared" si="16"/>
        <v>4.5559042570964809</v>
      </c>
      <c r="F84" s="15">
        <f t="shared" si="17"/>
        <v>1.9166891775210542</v>
      </c>
      <c r="G84" s="15">
        <f t="shared" si="18"/>
        <v>6.3558964139072874E-2</v>
      </c>
      <c r="H84" s="15">
        <f t="shared" si="19"/>
        <v>2.2544938139353956</v>
      </c>
      <c r="I84" s="15">
        <f t="shared" si="20"/>
        <v>3.1420029359286075E-2</v>
      </c>
    </row>
    <row r="85" spans="2:9">
      <c r="B85">
        <f t="shared" si="21"/>
        <v>150</v>
      </c>
      <c r="C85" s="12">
        <f t="shared" si="14"/>
        <v>3.2661538795451968</v>
      </c>
      <c r="D85" s="15">
        <f t="shared" si="15"/>
        <v>6.0261970494391761</v>
      </c>
      <c r="E85" s="15">
        <f t="shared" si="16"/>
        <v>2.7600431698939794</v>
      </c>
      <c r="F85" s="15">
        <f t="shared" si="17"/>
        <v>2.1426995220255964</v>
      </c>
      <c r="G85" s="15">
        <f t="shared" si="18"/>
        <v>4.0174646996261172E-2</v>
      </c>
      <c r="H85" s="15">
        <f t="shared" si="19"/>
        <v>2.4805041584399383</v>
      </c>
      <c r="I85" s="15">
        <f t="shared" si="20"/>
        <v>1.8400287799293195E-2</v>
      </c>
    </row>
    <row r="86" spans="2:9">
      <c r="B86">
        <f t="shared" si="21"/>
        <v>155</v>
      </c>
      <c r="C86" s="12">
        <f t="shared" si="14"/>
        <v>2.1870021868573448</v>
      </c>
      <c r="D86" s="15">
        <f t="shared" si="15"/>
        <v>3.8061632337084936</v>
      </c>
      <c r="E86" s="15">
        <f t="shared" si="16"/>
        <v>1.6191610468511488</v>
      </c>
      <c r="F86" s="15">
        <f t="shared" si="17"/>
        <v>2.3612983408455364</v>
      </c>
      <c r="G86" s="15">
        <f t="shared" si="18"/>
        <v>2.4555891830377378E-2</v>
      </c>
      <c r="H86" s="15">
        <f t="shared" si="19"/>
        <v>2.6991029772598778</v>
      </c>
      <c r="I86" s="15">
        <f t="shared" si="20"/>
        <v>1.0446200302265476E-2</v>
      </c>
    </row>
    <row r="87" spans="2:9">
      <c r="B87">
        <f t="shared" si="21"/>
        <v>160</v>
      </c>
      <c r="C87" s="12">
        <f t="shared" si="14"/>
        <v>1.4076445899279606</v>
      </c>
      <c r="D87" s="15">
        <f t="shared" si="15"/>
        <v>2.3307337798915735</v>
      </c>
      <c r="E87" s="15">
        <f t="shared" si="16"/>
        <v>0.92308918996361278</v>
      </c>
      <c r="F87" s="15">
        <f t="shared" si="17"/>
        <v>2.5729563296094047</v>
      </c>
      <c r="G87" s="15">
        <f t="shared" si="18"/>
        <v>1.4567086124322335E-2</v>
      </c>
      <c r="H87" s="15">
        <f t="shared" si="19"/>
        <v>2.9107609660237452</v>
      </c>
      <c r="I87" s="15">
        <f t="shared" si="20"/>
        <v>5.7693074372725797E-3</v>
      </c>
    </row>
    <row r="88" spans="2:9">
      <c r="B88">
        <v>165</v>
      </c>
      <c r="C88" s="12">
        <f t="shared" si="14"/>
        <v>0.87527982672209115</v>
      </c>
      <c r="D88" s="15">
        <f t="shared" si="15"/>
        <v>1.3883071586510087</v>
      </c>
      <c r="E88" s="15">
        <f t="shared" si="16"/>
        <v>0.51302733192891758</v>
      </c>
      <c r="F88" s="15">
        <f t="shared" si="17"/>
        <v>2.7781007207210959</v>
      </c>
      <c r="G88" s="15">
        <f t="shared" si="18"/>
        <v>8.4139827797030838E-3</v>
      </c>
      <c r="H88" s="15">
        <f t="shared" si="19"/>
        <v>3.1159053571354365</v>
      </c>
      <c r="I88" s="15">
        <f t="shared" si="20"/>
        <v>3.1092565571449551E-3</v>
      </c>
    </row>
    <row r="89" spans="2:9">
      <c r="B89">
        <v>170</v>
      </c>
      <c r="C89" s="12">
        <f t="shared" si="14"/>
        <v>0.52800035267505596</v>
      </c>
      <c r="D89" s="15">
        <f t="shared" si="15"/>
        <v>0.80673240530338264</v>
      </c>
      <c r="E89" s="15">
        <f t="shared" si="16"/>
        <v>0.27873205262832668</v>
      </c>
      <c r="F89" s="15">
        <f t="shared" si="17"/>
        <v>2.9771204750523035</v>
      </c>
      <c r="G89" s="15">
        <f t="shared" si="18"/>
        <v>4.7454847370787213E-3</v>
      </c>
      <c r="H89" s="15">
        <f t="shared" si="19"/>
        <v>3.3149251114666445</v>
      </c>
      <c r="I89" s="15">
        <f t="shared" si="20"/>
        <v>1.6396003095783922E-3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Candidate #</vt:lpstr>
      <vt:lpstr>Q6</vt:lpstr>
      <vt:lpstr>Q8 </vt:lpstr>
      <vt:lpstr>'Q6'!_Hlk125887912</vt:lpstr>
      <vt:lpstr>d2_</vt:lpstr>
      <vt:lpstr>Dividend</vt:lpstr>
      <vt:lpstr>ImpliedVol</vt:lpstr>
      <vt:lpstr>ImpliedVol1</vt:lpstr>
      <vt:lpstr>'Q8 '!Interest_Rate</vt:lpstr>
      <vt:lpstr>'Q8 '!Maturity_T</vt:lpstr>
      <vt:lpstr>'Q8 '!Stock_S</vt:lpstr>
      <vt:lpstr>'Q8 '!Strike_K</vt:lpstr>
      <vt:lpstr>Strike_K1</vt:lpstr>
      <vt:lpstr>Strike_K2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timothy.yi@outlook.com</dc:creator>
  <cp:lastModifiedBy>Aleshia Zionce</cp:lastModifiedBy>
  <dcterms:created xsi:type="dcterms:W3CDTF">2021-10-16T03:21:35Z</dcterms:created>
  <dcterms:modified xsi:type="dcterms:W3CDTF">2024-02-02T14:19:02Z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