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Aleshia\Fall 2023 Solutions\"/>
    </mc:Choice>
  </mc:AlternateContent>
  <xr:revisionPtr revIDLastSave="0" documentId="8_{D4E1D72D-B0D9-4158-A3AA-F2E4BC023F1B}" xr6:coauthVersionLast="47" xr6:coauthVersionMax="47" xr10:uidLastSave="{00000000-0000-0000-0000-000000000000}"/>
  <bookViews>
    <workbookView xWindow="2295" yWindow="2295" windowWidth="21600" windowHeight="11385" tabRatio="832" activeTab="4" xr2:uid="{A7912E10-CEDC-4B5A-A346-7E7995C0CD46}"/>
  </bookViews>
  <sheets>
    <sheet name="Part 3(a)" sheetId="123" r:id="rId1"/>
    <sheet name="Part 3(b)" sheetId="124" r:id="rId2"/>
    <sheet name="Part 3(c)" sheetId="125" r:id="rId3"/>
    <sheet name="4 Sheet1" sheetId="126" r:id="rId4"/>
    <sheet name="6 Sheet1 (2)" sheetId="127" r:id="rId5"/>
  </sheets>
  <definedNames>
    <definedName name="__123Graph_BCHART91a" hidden="1">#REF!</definedName>
    <definedName name="_Fill" hidden="1">#REF!</definedName>
    <definedName name="chicago">#REF!</definedName>
    <definedName name="CognitiveLevels" hidden="1">#REF!</definedName>
    <definedName name="FaceAmount">#REF!</definedName>
    <definedName name="FSSpl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_3">#REF!</definedName>
    <definedName name="LO_4">#REF!</definedName>
    <definedName name="LO_5">#REF!</definedName>
    <definedName name="LO_6">#REF!</definedName>
    <definedName name="LockedInRate">#REF!</definedName>
    <definedName name="LOList">#REF!</definedName>
    <definedName name="Premium">#REF!</definedName>
    <definedName name="Q_sources" hidden="1">#REF!</definedName>
    <definedName name="RiskAdj">#REF!</definedName>
    <definedName name="SyllabusList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27" l="1"/>
  <c r="K24" i="127" s="1"/>
  <c r="L24" i="127" s="1"/>
  <c r="B25" i="127"/>
  <c r="B26" i="127" s="1"/>
  <c r="B27" i="127" s="1"/>
  <c r="B28" i="127" s="1"/>
  <c r="B29" i="127" s="1"/>
  <c r="B30" i="127" s="1"/>
  <c r="B31" i="127" s="1"/>
  <c r="B32" i="127" s="1"/>
  <c r="B33" i="127" s="1"/>
  <c r="C25" i="127"/>
  <c r="D25" i="127"/>
  <c r="J25" i="127" s="1"/>
  <c r="F25" i="127"/>
  <c r="G25" i="127"/>
  <c r="H25" i="127" s="1"/>
  <c r="H26" i="127" s="1"/>
  <c r="H27" i="127" s="1"/>
  <c r="H28" i="127" s="1"/>
  <c r="H29" i="127" s="1"/>
  <c r="H30" i="127" s="1"/>
  <c r="H31" i="127" s="1"/>
  <c r="H32" i="127" s="1"/>
  <c r="H33" i="127" s="1"/>
  <c r="I25" i="127"/>
  <c r="C26" i="127"/>
  <c r="C27" i="127" s="1"/>
  <c r="C28" i="127" s="1"/>
  <c r="C29" i="127" s="1"/>
  <c r="C30" i="127" s="1"/>
  <c r="C31" i="127" s="1"/>
  <c r="C32" i="127" s="1"/>
  <c r="C33" i="127" s="1"/>
  <c r="D26" i="127"/>
  <c r="F26" i="127" s="1"/>
  <c r="K26" i="127" s="1"/>
  <c r="G26" i="127"/>
  <c r="I26" i="127"/>
  <c r="I27" i="127" s="1"/>
  <c r="I28" i="127" s="1"/>
  <c r="I29" i="127" s="1"/>
  <c r="I30" i="127" s="1"/>
  <c r="I31" i="127" s="1"/>
  <c r="I32" i="127" s="1"/>
  <c r="I33" i="127" s="1"/>
  <c r="G27" i="127"/>
  <c r="G28" i="127"/>
  <c r="G29" i="127"/>
  <c r="G30" i="127"/>
  <c r="G31" i="127"/>
  <c r="G32" i="127"/>
  <c r="G33" i="127"/>
  <c r="K25" i="127" l="1"/>
  <c r="L25" i="127" s="1"/>
  <c r="J26" i="127"/>
  <c r="L26" i="127" s="1"/>
  <c r="D27" i="127"/>
  <c r="B66" i="126"/>
  <c r="B67" i="126" s="1"/>
  <c r="C66" i="126"/>
  <c r="J66" i="126" s="1"/>
  <c r="D66" i="126"/>
  <c r="K66" i="126" s="1"/>
  <c r="E66" i="126"/>
  <c r="F66" i="126"/>
  <c r="H67" i="126" s="1"/>
  <c r="H68" i="126" s="1"/>
  <c r="G66" i="126"/>
  <c r="H66" i="126"/>
  <c r="I66" i="126"/>
  <c r="L66" i="126"/>
  <c r="N66" i="126" s="1"/>
  <c r="C67" i="126"/>
  <c r="D67" i="126"/>
  <c r="E67" i="126"/>
  <c r="L67" i="126" s="1"/>
  <c r="N67" i="126" s="1"/>
  <c r="F67" i="126"/>
  <c r="G67" i="126"/>
  <c r="G68" i="126" s="1"/>
  <c r="G69" i="126" s="1"/>
  <c r="G70" i="126" s="1"/>
  <c r="I67" i="126"/>
  <c r="K67" i="126"/>
  <c r="B68" i="126"/>
  <c r="B69" i="126" s="1"/>
  <c r="B70" i="126" s="1"/>
  <c r="B71" i="126" s="1"/>
  <c r="B72" i="126" s="1"/>
  <c r="B73" i="126" s="1"/>
  <c r="B74" i="126" s="1"/>
  <c r="D68" i="126"/>
  <c r="K68" i="126" s="1"/>
  <c r="E68" i="126"/>
  <c r="F68" i="126"/>
  <c r="I68" i="126"/>
  <c r="D69" i="126"/>
  <c r="E69" i="126"/>
  <c r="F69" i="126"/>
  <c r="I69" i="126"/>
  <c r="I70" i="126" s="1"/>
  <c r="I71" i="126" s="1"/>
  <c r="I72" i="126" s="1"/>
  <c r="I73" i="126" s="1"/>
  <c r="I74" i="126" s="1"/>
  <c r="I75" i="126" s="1"/>
  <c r="D70" i="126"/>
  <c r="E70" i="126"/>
  <c r="F70" i="126"/>
  <c r="D71" i="126"/>
  <c r="E71" i="126"/>
  <c r="F71" i="126"/>
  <c r="G71" i="126"/>
  <c r="G72" i="126" s="1"/>
  <c r="G73" i="126" s="1"/>
  <c r="G74" i="126" s="1"/>
  <c r="G75" i="126" s="1"/>
  <c r="D72" i="126"/>
  <c r="E72" i="126"/>
  <c r="F72" i="126"/>
  <c r="D73" i="126"/>
  <c r="E73" i="126"/>
  <c r="F73" i="126"/>
  <c r="D74" i="126"/>
  <c r="E74" i="126"/>
  <c r="F74" i="126"/>
  <c r="B75" i="126"/>
  <c r="E75" i="126"/>
  <c r="F75" i="126"/>
  <c r="C108" i="126"/>
  <c r="D108" i="126"/>
  <c r="E108" i="126"/>
  <c r="K108" i="126" s="1"/>
  <c r="F108" i="126"/>
  <c r="G108" i="126"/>
  <c r="G109" i="126" s="1"/>
  <c r="G110" i="126" s="1"/>
  <c r="G111" i="126" s="1"/>
  <c r="G112" i="126" s="1"/>
  <c r="H108" i="126"/>
  <c r="L108" i="126"/>
  <c r="O108" i="126"/>
  <c r="B109" i="126"/>
  <c r="B110" i="126" s="1"/>
  <c r="C109" i="126"/>
  <c r="D109" i="126"/>
  <c r="E109" i="126"/>
  <c r="F109" i="126"/>
  <c r="I109" i="126" s="1"/>
  <c r="H109" i="126"/>
  <c r="K109" i="126" s="1"/>
  <c r="O109" i="126"/>
  <c r="C110" i="126"/>
  <c r="D110" i="126"/>
  <c r="E110" i="126"/>
  <c r="F110" i="126"/>
  <c r="I110" i="126"/>
  <c r="O110" i="126"/>
  <c r="B111" i="126"/>
  <c r="C111" i="126"/>
  <c r="D111" i="126"/>
  <c r="E111" i="126"/>
  <c r="F111" i="126"/>
  <c r="I111" i="126"/>
  <c r="O111" i="126"/>
  <c r="B112" i="126"/>
  <c r="B113" i="126" s="1"/>
  <c r="B114" i="126" s="1"/>
  <c r="B115" i="126" s="1"/>
  <c r="B116" i="126" s="1"/>
  <c r="B117" i="126" s="1"/>
  <c r="C112" i="126"/>
  <c r="O112" i="126" s="1"/>
  <c r="D112" i="126"/>
  <c r="E112" i="126"/>
  <c r="F112" i="126"/>
  <c r="C113" i="126"/>
  <c r="O113" i="126" s="1"/>
  <c r="D113" i="126"/>
  <c r="E113" i="126"/>
  <c r="F113" i="126"/>
  <c r="C114" i="126"/>
  <c r="O114" i="126" s="1"/>
  <c r="D114" i="126"/>
  <c r="E114" i="126"/>
  <c r="F114" i="126"/>
  <c r="C115" i="126"/>
  <c r="D115" i="126"/>
  <c r="E115" i="126"/>
  <c r="F115" i="126"/>
  <c r="O115" i="126"/>
  <c r="C116" i="126"/>
  <c r="D116" i="126"/>
  <c r="E116" i="126"/>
  <c r="F116" i="126"/>
  <c r="O116" i="126"/>
  <c r="D117" i="126"/>
  <c r="E117" i="126"/>
  <c r="F117" i="126"/>
  <c r="O117" i="126"/>
  <c r="B132" i="126"/>
  <c r="B133" i="126" s="1"/>
  <c r="B134" i="126" s="1"/>
  <c r="C132" i="126"/>
  <c r="D132" i="126"/>
  <c r="E132" i="126"/>
  <c r="F132" i="126"/>
  <c r="G132" i="126"/>
  <c r="J132" i="126" s="1"/>
  <c r="H132" i="126"/>
  <c r="K132" i="126"/>
  <c r="O132" i="126"/>
  <c r="C133" i="126"/>
  <c r="D133" i="126"/>
  <c r="E133" i="126"/>
  <c r="G133" i="126"/>
  <c r="H133" i="126"/>
  <c r="K133" i="126"/>
  <c r="O133" i="126"/>
  <c r="D134" i="126"/>
  <c r="E134" i="126"/>
  <c r="K134" i="126"/>
  <c r="K135" i="126" s="1"/>
  <c r="K136" i="126" s="1"/>
  <c r="K137" i="126" s="1"/>
  <c r="K138" i="126" s="1"/>
  <c r="K139" i="126" s="1"/>
  <c r="K140" i="126" s="1"/>
  <c r="K141" i="126" s="1"/>
  <c r="K142" i="126" s="1"/>
  <c r="O134" i="126"/>
  <c r="B135" i="126"/>
  <c r="D135" i="126"/>
  <c r="E135" i="126"/>
  <c r="B136" i="126"/>
  <c r="B137" i="126" s="1"/>
  <c r="B138" i="126" s="1"/>
  <c r="B139" i="126" s="1"/>
  <c r="B140" i="126" s="1"/>
  <c r="B141" i="126" s="1"/>
  <c r="D136" i="126"/>
  <c r="E136" i="126"/>
  <c r="D137" i="126"/>
  <c r="E137" i="126"/>
  <c r="D138" i="126"/>
  <c r="E138" i="126"/>
  <c r="D139" i="126"/>
  <c r="E139" i="126"/>
  <c r="D140" i="126"/>
  <c r="E140" i="126"/>
  <c r="D141" i="126"/>
  <c r="E141" i="126"/>
  <c r="M142" i="126"/>
  <c r="O142" i="126"/>
  <c r="F27" i="127" l="1"/>
  <c r="K27" i="127" s="1"/>
  <c r="L27" i="127" s="1"/>
  <c r="D28" i="127"/>
  <c r="J27" i="127"/>
  <c r="L69" i="126"/>
  <c r="N69" i="126" s="1"/>
  <c r="J133" i="126"/>
  <c r="G134" i="126"/>
  <c r="G135" i="126" s="1"/>
  <c r="H134" i="126"/>
  <c r="H110" i="126"/>
  <c r="G113" i="126"/>
  <c r="I113" i="126" s="1"/>
  <c r="I112" i="126"/>
  <c r="I132" i="126"/>
  <c r="F133" i="126"/>
  <c r="F134" i="126" s="1"/>
  <c r="F135" i="126" s="1"/>
  <c r="F136" i="126" s="1"/>
  <c r="F137" i="126" s="1"/>
  <c r="F138" i="126" s="1"/>
  <c r="F139" i="126" s="1"/>
  <c r="F140" i="126" s="1"/>
  <c r="F141" i="126" s="1"/>
  <c r="I133" i="126"/>
  <c r="J110" i="126"/>
  <c r="I108" i="126"/>
  <c r="H69" i="126"/>
  <c r="L68" i="126"/>
  <c r="N68" i="126" s="1"/>
  <c r="C68" i="126"/>
  <c r="J67" i="126"/>
  <c r="M67" i="126" s="1"/>
  <c r="M66" i="126"/>
  <c r="J108" i="126"/>
  <c r="C134" i="126"/>
  <c r="J109" i="126"/>
  <c r="L33" i="123"/>
  <c r="J28" i="127" l="1"/>
  <c r="F28" i="127"/>
  <c r="K28" i="127" s="1"/>
  <c r="L28" i="127" s="1"/>
  <c r="D29" i="127"/>
  <c r="C69" i="126"/>
  <c r="J68" i="126"/>
  <c r="M68" i="126" s="1"/>
  <c r="G136" i="126"/>
  <c r="J135" i="126"/>
  <c r="H135" i="126"/>
  <c r="G114" i="126"/>
  <c r="C135" i="126"/>
  <c r="O135" i="126"/>
  <c r="I134" i="126"/>
  <c r="K69" i="126"/>
  <c r="H70" i="126"/>
  <c r="J134" i="126"/>
  <c r="K110" i="126"/>
  <c r="H111" i="126"/>
  <c r="J14" i="125"/>
  <c r="J29" i="127" l="1"/>
  <c r="F29" i="127"/>
  <c r="K29" i="127" s="1"/>
  <c r="L29" i="127" s="1"/>
  <c r="D30" i="127"/>
  <c r="G115" i="126"/>
  <c r="I114" i="126"/>
  <c r="K111" i="126"/>
  <c r="H112" i="126"/>
  <c r="J111" i="126"/>
  <c r="G137" i="126"/>
  <c r="H136" i="126"/>
  <c r="J69" i="126"/>
  <c r="M69" i="126" s="1"/>
  <c r="C70" i="126"/>
  <c r="O136" i="126"/>
  <c r="C136" i="126"/>
  <c r="I135" i="126"/>
  <c r="H71" i="126"/>
  <c r="L70" i="126"/>
  <c r="N70" i="126" s="1"/>
  <c r="K70" i="126"/>
  <c r="H67" i="125"/>
  <c r="J21" i="125"/>
  <c r="J20" i="125"/>
  <c r="J19" i="125"/>
  <c r="J18" i="125"/>
  <c r="J17" i="125"/>
  <c r="J16" i="125"/>
  <c r="J15" i="125"/>
  <c r="J13" i="125"/>
  <c r="L13" i="125"/>
  <c r="L14" i="125" s="1"/>
  <c r="J12" i="125"/>
  <c r="G12" i="125"/>
  <c r="E13" i="125" s="1"/>
  <c r="I26" i="124"/>
  <c r="I8" i="124"/>
  <c r="G7" i="124"/>
  <c r="K7" i="124" s="1"/>
  <c r="H32" i="123"/>
  <c r="J14" i="123"/>
  <c r="J13" i="123"/>
  <c r="J12" i="123"/>
  <c r="J11" i="123"/>
  <c r="J10" i="123"/>
  <c r="J9" i="123"/>
  <c r="J8" i="123"/>
  <c r="J7" i="123"/>
  <c r="L6" i="123"/>
  <c r="J6" i="123"/>
  <c r="G5" i="123"/>
  <c r="E6" i="123" s="1"/>
  <c r="J5" i="123"/>
  <c r="F30" i="127" l="1"/>
  <c r="K30" i="127" s="1"/>
  <c r="L30" i="127" s="1"/>
  <c r="D31" i="127"/>
  <c r="J30" i="127"/>
  <c r="O137" i="126"/>
  <c r="I136" i="126"/>
  <c r="C137" i="126"/>
  <c r="H113" i="126"/>
  <c r="J112" i="126"/>
  <c r="K112" i="126"/>
  <c r="H137" i="126"/>
  <c r="G116" i="126"/>
  <c r="I115" i="126"/>
  <c r="J70" i="126"/>
  <c r="M70" i="126" s="1"/>
  <c r="C71" i="126"/>
  <c r="J136" i="126"/>
  <c r="G138" i="126"/>
  <c r="J137" i="126"/>
  <c r="H72" i="126"/>
  <c r="K71" i="126"/>
  <c r="L71" i="126"/>
  <c r="N71" i="126" s="1"/>
  <c r="I28" i="124"/>
  <c r="I29" i="124"/>
  <c r="I11" i="124"/>
  <c r="I30" i="124"/>
  <c r="I15" i="124"/>
  <c r="I31" i="124"/>
  <c r="I32" i="124"/>
  <c r="I17" i="124"/>
  <c r="I33" i="124"/>
  <c r="I18" i="124"/>
  <c r="I10" i="124"/>
  <c r="I19" i="124"/>
  <c r="I35" i="124"/>
  <c r="I34" i="124"/>
  <c r="I21" i="124"/>
  <c r="I23" i="124"/>
  <c r="I27" i="124"/>
  <c r="I24" i="124"/>
  <c r="I20" i="124"/>
  <c r="I22" i="124"/>
  <c r="I25" i="124"/>
  <c r="L7" i="123"/>
  <c r="G13" i="125"/>
  <c r="E14" i="125" s="1"/>
  <c r="H12" i="125"/>
  <c r="I9" i="124"/>
  <c r="I12" i="124"/>
  <c r="I14" i="124"/>
  <c r="I13" i="124"/>
  <c r="L15" i="125"/>
  <c r="J8" i="124"/>
  <c r="K8" i="124" s="1"/>
  <c r="I16" i="124"/>
  <c r="H5" i="123"/>
  <c r="G6" i="123"/>
  <c r="E7" i="123" s="1"/>
  <c r="D32" i="127" l="1"/>
  <c r="F31" i="127"/>
  <c r="K31" i="127" s="1"/>
  <c r="J31" i="127"/>
  <c r="G139" i="126"/>
  <c r="G117" i="126"/>
  <c r="I116" i="126"/>
  <c r="H138" i="126"/>
  <c r="O138" i="126"/>
  <c r="C138" i="126"/>
  <c r="I137" i="126"/>
  <c r="J71" i="126"/>
  <c r="M71" i="126" s="1"/>
  <c r="C72" i="126"/>
  <c r="H114" i="126"/>
  <c r="K113" i="126"/>
  <c r="J113" i="126"/>
  <c r="H73" i="126"/>
  <c r="L72" i="126"/>
  <c r="N72" i="126" s="1"/>
  <c r="K72" i="126"/>
  <c r="L8" i="123"/>
  <c r="L16" i="125"/>
  <c r="G14" i="125"/>
  <c r="E15" i="125" s="1"/>
  <c r="H13" i="125"/>
  <c r="J9" i="124"/>
  <c r="K9" i="124" s="1"/>
  <c r="J10" i="124" s="1"/>
  <c r="H6" i="123"/>
  <c r="G7" i="123"/>
  <c r="E8" i="123" s="1"/>
  <c r="L9" i="123"/>
  <c r="L31" i="127" l="1"/>
  <c r="J32" i="127"/>
  <c r="F32" i="127"/>
  <c r="K32" i="127" s="1"/>
  <c r="L32" i="127" s="1"/>
  <c r="D33" i="127"/>
  <c r="H139" i="126"/>
  <c r="H115" i="126"/>
  <c r="K114" i="126"/>
  <c r="J114" i="126"/>
  <c r="J138" i="126"/>
  <c r="J72" i="126"/>
  <c r="M72" i="126" s="1"/>
  <c r="C73" i="126"/>
  <c r="G140" i="126"/>
  <c r="J139" i="126"/>
  <c r="I117" i="126"/>
  <c r="H74" i="126"/>
  <c r="K73" i="126"/>
  <c r="L73" i="126"/>
  <c r="N73" i="126" s="1"/>
  <c r="O139" i="126"/>
  <c r="I138" i="126"/>
  <c r="C139" i="126"/>
  <c r="G15" i="125"/>
  <c r="E16" i="125" s="1"/>
  <c r="H14" i="125"/>
  <c r="L17" i="125"/>
  <c r="K10" i="124"/>
  <c r="J11" i="124" s="1"/>
  <c r="H7" i="123"/>
  <c r="G8" i="123"/>
  <c r="E9" i="123" s="1"/>
  <c r="L10" i="123"/>
  <c r="J33" i="127" l="1"/>
  <c r="F33" i="127"/>
  <c r="K33" i="127" s="1"/>
  <c r="L33" i="127" s="1"/>
  <c r="C35" i="127" s="1"/>
  <c r="J73" i="126"/>
  <c r="M73" i="126" s="1"/>
  <c r="C74" i="126"/>
  <c r="H75" i="126"/>
  <c r="L75" i="126" s="1"/>
  <c r="N75" i="126" s="1"/>
  <c r="L74" i="126"/>
  <c r="N74" i="126" s="1"/>
  <c r="P71" i="126" s="1"/>
  <c r="K74" i="126"/>
  <c r="H116" i="126"/>
  <c r="K115" i="126"/>
  <c r="J115" i="126"/>
  <c r="I139" i="126"/>
  <c r="C140" i="126"/>
  <c r="O140" i="126"/>
  <c r="G141" i="126"/>
  <c r="H140" i="126"/>
  <c r="J140" i="126" s="1"/>
  <c r="L18" i="125"/>
  <c r="G16" i="125"/>
  <c r="E17" i="125" s="1"/>
  <c r="H15" i="125"/>
  <c r="K11" i="124"/>
  <c r="L11" i="123"/>
  <c r="G9" i="123"/>
  <c r="E10" i="123" s="1"/>
  <c r="H8" i="123"/>
  <c r="M137" i="126" l="1"/>
  <c r="M138" i="126"/>
  <c r="M134" i="126"/>
  <c r="M135" i="126"/>
  <c r="J141" i="126"/>
  <c r="M133" i="126" s="1"/>
  <c r="P75" i="126"/>
  <c r="N76" i="126"/>
  <c r="P67" i="126"/>
  <c r="P68" i="126"/>
  <c r="P66" i="126"/>
  <c r="P69" i="126"/>
  <c r="J74" i="126"/>
  <c r="M74" i="126" s="1"/>
  <c r="C75" i="126"/>
  <c r="M140" i="126"/>
  <c r="H141" i="126"/>
  <c r="P73" i="126"/>
  <c r="K116" i="126"/>
  <c r="H117" i="126"/>
  <c r="J116" i="126"/>
  <c r="I140" i="126"/>
  <c r="O141" i="126"/>
  <c r="P74" i="126"/>
  <c r="P72" i="126"/>
  <c r="P70" i="126"/>
  <c r="L19" i="125"/>
  <c r="H16" i="125"/>
  <c r="G17" i="125"/>
  <c r="E18" i="125" s="1"/>
  <c r="J12" i="124"/>
  <c r="K12" i="124" s="1"/>
  <c r="J13" i="124" s="1"/>
  <c r="H9" i="123"/>
  <c r="G10" i="123"/>
  <c r="E11" i="123" s="1"/>
  <c r="L12" i="123"/>
  <c r="O72" i="126" l="1"/>
  <c r="M76" i="126"/>
  <c r="N77" i="126" s="1"/>
  <c r="N78" i="126" s="1"/>
  <c r="M132" i="126"/>
  <c r="M136" i="126"/>
  <c r="M141" i="126"/>
  <c r="I141" i="126"/>
  <c r="M139" i="126"/>
  <c r="K117" i="126"/>
  <c r="K118" i="126" s="1"/>
  <c r="K119" i="126" s="1"/>
  <c r="J117" i="126"/>
  <c r="J118" i="126" s="1"/>
  <c r="D75" i="126"/>
  <c r="K75" i="126" s="1"/>
  <c r="J75" i="126"/>
  <c r="M75" i="126" s="1"/>
  <c r="O73" i="126" s="1"/>
  <c r="J142" i="126"/>
  <c r="G18" i="125"/>
  <c r="E19" i="125" s="1"/>
  <c r="H17" i="125"/>
  <c r="L20" i="125"/>
  <c r="K13" i="124"/>
  <c r="G11" i="123"/>
  <c r="E12" i="123" s="1"/>
  <c r="H10" i="123"/>
  <c r="L13" i="123"/>
  <c r="Q73" i="126" l="1"/>
  <c r="R73" i="126"/>
  <c r="I142" i="126"/>
  <c r="J143" i="126" s="1"/>
  <c r="L132" i="126"/>
  <c r="Q72" i="126"/>
  <c r="R72" i="126"/>
  <c r="O75" i="126"/>
  <c r="O67" i="126"/>
  <c r="O68" i="126"/>
  <c r="O69" i="126"/>
  <c r="O70" i="126"/>
  <c r="O66" i="126"/>
  <c r="M113" i="126"/>
  <c r="M112" i="126"/>
  <c r="M111" i="126"/>
  <c r="M110" i="126"/>
  <c r="M117" i="126"/>
  <c r="M108" i="126"/>
  <c r="M109" i="126"/>
  <c r="M116" i="126"/>
  <c r="M114" i="126"/>
  <c r="M115" i="126"/>
  <c r="O71" i="126"/>
  <c r="O74" i="126"/>
  <c r="G19" i="125"/>
  <c r="E20" i="125" s="1"/>
  <c r="H18" i="125"/>
  <c r="L21" i="125"/>
  <c r="J14" i="124"/>
  <c r="K14" i="124" s="1"/>
  <c r="H11" i="123"/>
  <c r="G12" i="123"/>
  <c r="E13" i="123" s="1"/>
  <c r="L14" i="123"/>
  <c r="Q68" i="126" l="1"/>
  <c r="R68" i="126"/>
  <c r="R74" i="126"/>
  <c r="Q74" i="126"/>
  <c r="R67" i="126"/>
  <c r="Q67" i="126"/>
  <c r="Q71" i="126"/>
  <c r="R71" i="126"/>
  <c r="Q75" i="126"/>
  <c r="R75" i="126"/>
  <c r="N108" i="126"/>
  <c r="P108" i="126" s="1"/>
  <c r="L109" i="126" s="1"/>
  <c r="Q70" i="126"/>
  <c r="R70" i="126"/>
  <c r="R69" i="126"/>
  <c r="Q69" i="126"/>
  <c r="R66" i="126"/>
  <c r="Q66" i="126"/>
  <c r="L133" i="126"/>
  <c r="N132" i="126"/>
  <c r="P132" i="126" s="1"/>
  <c r="G20" i="125"/>
  <c r="E21" i="125" s="1"/>
  <c r="H19" i="125"/>
  <c r="L22" i="125"/>
  <c r="J15" i="124"/>
  <c r="K15" i="124" s="1"/>
  <c r="G13" i="123"/>
  <c r="E14" i="123" s="1"/>
  <c r="H12" i="123"/>
  <c r="L15" i="123"/>
  <c r="N109" i="126" l="1"/>
  <c r="P109" i="126"/>
  <c r="L110" i="126" s="1"/>
  <c r="L134" i="126"/>
  <c r="N133" i="126"/>
  <c r="P133" i="126" s="1"/>
  <c r="H20" i="125"/>
  <c r="G21" i="125"/>
  <c r="E22" i="125" s="1"/>
  <c r="L23" i="125"/>
  <c r="J16" i="124"/>
  <c r="K16" i="124" s="1"/>
  <c r="H13" i="123"/>
  <c r="G14" i="123"/>
  <c r="E15" i="123" s="1"/>
  <c r="J15" i="123" s="1"/>
  <c r="L16" i="123"/>
  <c r="L135" i="126" l="1"/>
  <c r="N134" i="126"/>
  <c r="P134" i="126" s="1"/>
  <c r="N110" i="126"/>
  <c r="P110" i="126" s="1"/>
  <c r="L111" i="126" s="1"/>
  <c r="J22" i="125"/>
  <c r="G22" i="125"/>
  <c r="E23" i="125" s="1"/>
  <c r="H21" i="125"/>
  <c r="L24" i="125"/>
  <c r="J17" i="124"/>
  <c r="K17" i="124" s="1"/>
  <c r="G15" i="123"/>
  <c r="E16" i="123" s="1"/>
  <c r="H14" i="123"/>
  <c r="L17" i="123"/>
  <c r="N111" i="126" l="1"/>
  <c r="P111" i="126" s="1"/>
  <c r="L112" i="126" s="1"/>
  <c r="L136" i="126"/>
  <c r="N135" i="126"/>
  <c r="P135" i="126" s="1"/>
  <c r="G23" i="125"/>
  <c r="E24" i="125" s="1"/>
  <c r="H22" i="125"/>
  <c r="J23" i="125"/>
  <c r="L25" i="125"/>
  <c r="J18" i="124"/>
  <c r="K18" i="124" s="1"/>
  <c r="J16" i="123"/>
  <c r="G16" i="123"/>
  <c r="E17" i="123" s="1"/>
  <c r="H15" i="123"/>
  <c r="L18" i="123"/>
  <c r="N112" i="126" l="1"/>
  <c r="P112" i="126"/>
  <c r="L113" i="126" s="1"/>
  <c r="N136" i="126"/>
  <c r="P136" i="126" s="1"/>
  <c r="L137" i="126"/>
  <c r="G24" i="125"/>
  <c r="E25" i="125" s="1"/>
  <c r="H23" i="125"/>
  <c r="J24" i="125"/>
  <c r="L26" i="125"/>
  <c r="J19" i="124"/>
  <c r="K19" i="124" s="1"/>
  <c r="G17" i="123"/>
  <c r="E18" i="123" s="1"/>
  <c r="H16" i="123"/>
  <c r="J17" i="123"/>
  <c r="L19" i="123"/>
  <c r="N137" i="126" l="1"/>
  <c r="P137" i="126" s="1"/>
  <c r="L138" i="126"/>
  <c r="N113" i="126"/>
  <c r="P113" i="126"/>
  <c r="L114" i="126" s="1"/>
  <c r="J25" i="125"/>
  <c r="H24" i="125"/>
  <c r="G25" i="125"/>
  <c r="E26" i="125" s="1"/>
  <c r="L27" i="125"/>
  <c r="J20" i="124"/>
  <c r="K20" i="124" s="1"/>
  <c r="H17" i="123"/>
  <c r="J18" i="123"/>
  <c r="G18" i="123"/>
  <c r="E19" i="123" s="1"/>
  <c r="L20" i="123"/>
  <c r="N114" i="126" l="1"/>
  <c r="P114" i="126" s="1"/>
  <c r="L115" i="126" s="1"/>
  <c r="N138" i="126"/>
  <c r="P138" i="126" s="1"/>
  <c r="L139" i="126"/>
  <c r="L28" i="125"/>
  <c r="J26" i="125"/>
  <c r="G26" i="125"/>
  <c r="E27" i="125" s="1"/>
  <c r="H25" i="125"/>
  <c r="J21" i="124"/>
  <c r="K21" i="124" s="1"/>
  <c r="L21" i="123"/>
  <c r="G19" i="123"/>
  <c r="E20" i="123" s="1"/>
  <c r="H18" i="123"/>
  <c r="J19" i="123"/>
  <c r="N115" i="126" l="1"/>
  <c r="P115" i="126" s="1"/>
  <c r="L116" i="126" s="1"/>
  <c r="L140" i="126"/>
  <c r="N139" i="126"/>
  <c r="P139" i="126" s="1"/>
  <c r="G27" i="125"/>
  <c r="E28" i="125" s="1"/>
  <c r="H26" i="125"/>
  <c r="J27" i="125"/>
  <c r="L29" i="125"/>
  <c r="K22" i="124"/>
  <c r="J22" i="124"/>
  <c r="H19" i="123"/>
  <c r="J20" i="123"/>
  <c r="G20" i="123"/>
  <c r="E21" i="123" s="1"/>
  <c r="L22" i="123"/>
  <c r="N116" i="126" l="1"/>
  <c r="P116" i="126" s="1"/>
  <c r="L117" i="126" s="1"/>
  <c r="L141" i="126"/>
  <c r="N140" i="126"/>
  <c r="P140" i="126" s="1"/>
  <c r="G28" i="125"/>
  <c r="E29" i="125" s="1"/>
  <c r="H27" i="125"/>
  <c r="J28" i="125"/>
  <c r="L30" i="125"/>
  <c r="J23" i="124"/>
  <c r="K23" i="124" s="1"/>
  <c r="L23" i="123"/>
  <c r="G21" i="123"/>
  <c r="E22" i="123" s="1"/>
  <c r="H20" i="123"/>
  <c r="J21" i="123"/>
  <c r="N117" i="126" l="1"/>
  <c r="P117" i="126" s="1"/>
  <c r="L142" i="126"/>
  <c r="N142" i="126" s="1"/>
  <c r="P142" i="126" s="1"/>
  <c r="N141" i="126"/>
  <c r="P141" i="126" s="1"/>
  <c r="J29" i="125"/>
  <c r="G29" i="125"/>
  <c r="E30" i="125" s="1"/>
  <c r="H28" i="125"/>
  <c r="L31" i="125"/>
  <c r="J24" i="124"/>
  <c r="K24" i="124" s="1"/>
  <c r="J22" i="123"/>
  <c r="G22" i="123"/>
  <c r="E23" i="123" s="1"/>
  <c r="H21" i="123"/>
  <c r="L24" i="123"/>
  <c r="J30" i="125" l="1"/>
  <c r="G30" i="125"/>
  <c r="E31" i="125" s="1"/>
  <c r="H29" i="125"/>
  <c r="L32" i="125"/>
  <c r="J25" i="124"/>
  <c r="K25" i="124" s="1"/>
  <c r="G23" i="123"/>
  <c r="E24" i="123" s="1"/>
  <c r="H22" i="123"/>
  <c r="J23" i="123"/>
  <c r="L25" i="123"/>
  <c r="G31" i="125" l="1"/>
  <c r="E32" i="125" s="1"/>
  <c r="H30" i="125"/>
  <c r="J31" i="125"/>
  <c r="L33" i="125"/>
  <c r="J26" i="124"/>
  <c r="K26" i="124" s="1"/>
  <c r="J24" i="123"/>
  <c r="G24" i="123"/>
  <c r="E25" i="123" s="1"/>
  <c r="H23" i="123"/>
  <c r="L26" i="123"/>
  <c r="G32" i="125" l="1"/>
  <c r="E33" i="125" s="1"/>
  <c r="J32" i="125"/>
  <c r="H31" i="125"/>
  <c r="L34" i="125"/>
  <c r="J27" i="124"/>
  <c r="K27" i="124" s="1"/>
  <c r="G25" i="123"/>
  <c r="E26" i="123" s="1"/>
  <c r="H24" i="123"/>
  <c r="J25" i="123"/>
  <c r="L27" i="123"/>
  <c r="J33" i="125" l="1"/>
  <c r="H32" i="125"/>
  <c r="G33" i="125"/>
  <c r="E34" i="125" s="1"/>
  <c r="L35" i="125"/>
  <c r="J28" i="124"/>
  <c r="K28" i="124" s="1"/>
  <c r="H25" i="123"/>
  <c r="J26" i="123"/>
  <c r="G26" i="123"/>
  <c r="E27" i="123" s="1"/>
  <c r="L28" i="123"/>
  <c r="J34" i="125" l="1"/>
  <c r="G34" i="125"/>
  <c r="E35" i="125" s="1"/>
  <c r="H33" i="125"/>
  <c r="L36" i="125"/>
  <c r="J29" i="124"/>
  <c r="K29" i="124" s="1"/>
  <c r="G27" i="123"/>
  <c r="E28" i="123" s="1"/>
  <c r="H26" i="123"/>
  <c r="J27" i="123"/>
  <c r="L29" i="123"/>
  <c r="G35" i="125" l="1"/>
  <c r="E36" i="125" s="1"/>
  <c r="G36" i="125" s="1"/>
  <c r="H34" i="125"/>
  <c r="J35" i="125"/>
  <c r="L37" i="125"/>
  <c r="J30" i="124"/>
  <c r="K30" i="124" s="1"/>
  <c r="H27" i="123"/>
  <c r="J28" i="123"/>
  <c r="G28" i="123"/>
  <c r="E29" i="123" s="1"/>
  <c r="L30" i="123"/>
  <c r="E37" i="125" l="1"/>
  <c r="H35" i="125"/>
  <c r="J36" i="125"/>
  <c r="L38" i="125"/>
  <c r="J31" i="124"/>
  <c r="K31" i="124" s="1"/>
  <c r="L31" i="123"/>
  <c r="G29" i="123"/>
  <c r="E30" i="123" s="1"/>
  <c r="H28" i="123"/>
  <c r="J29" i="123"/>
  <c r="J37" i="125" l="1"/>
  <c r="H36" i="125"/>
  <c r="G37" i="125"/>
  <c r="E38" i="125" s="1"/>
  <c r="L39" i="125"/>
  <c r="J32" i="124"/>
  <c r="K32" i="124" s="1"/>
  <c r="H29" i="123"/>
  <c r="J30" i="123"/>
  <c r="G30" i="123"/>
  <c r="E31" i="123" s="1"/>
  <c r="L32" i="123"/>
  <c r="M32" i="123" l="1"/>
  <c r="L40" i="125"/>
  <c r="J38" i="125"/>
  <c r="G38" i="125"/>
  <c r="E39" i="125" s="1"/>
  <c r="H37" i="125"/>
  <c r="J33" i="124"/>
  <c r="K33" i="124" s="1"/>
  <c r="G31" i="123"/>
  <c r="E32" i="123" s="1"/>
  <c r="H30" i="123"/>
  <c r="J31" i="123"/>
  <c r="G39" i="125" l="1"/>
  <c r="E40" i="125" s="1"/>
  <c r="H38" i="125"/>
  <c r="J39" i="125"/>
  <c r="L41" i="125"/>
  <c r="J34" i="124"/>
  <c r="K34" i="124" s="1"/>
  <c r="H31" i="123"/>
  <c r="J32" i="123"/>
  <c r="G32" i="123"/>
  <c r="M26" i="123"/>
  <c r="M30" i="123"/>
  <c r="M27" i="123"/>
  <c r="M4" i="123" l="1"/>
  <c r="M7" i="123"/>
  <c r="M9" i="123"/>
  <c r="M6" i="123"/>
  <c r="M5" i="123"/>
  <c r="M31" i="123"/>
  <c r="L42" i="125"/>
  <c r="G40" i="125"/>
  <c r="E41" i="125" s="1"/>
  <c r="H39" i="125"/>
  <c r="J40" i="125"/>
  <c r="J35" i="124"/>
  <c r="K35" i="124" s="1"/>
  <c r="M10" i="123"/>
  <c r="M11" i="123"/>
  <c r="M13" i="123"/>
  <c r="M8" i="123"/>
  <c r="M12" i="123"/>
  <c r="M15" i="123"/>
  <c r="M14" i="123"/>
  <c r="M16" i="123"/>
  <c r="M17" i="123"/>
  <c r="M18" i="123"/>
  <c r="M20" i="123"/>
  <c r="M19" i="123"/>
  <c r="M22" i="123"/>
  <c r="M21" i="123"/>
  <c r="M24" i="123"/>
  <c r="M23" i="123"/>
  <c r="M28" i="123"/>
  <c r="M25" i="123"/>
  <c r="M29" i="123"/>
  <c r="F4" i="125" l="1"/>
  <c r="F5" i="125" s="1"/>
  <c r="J41" i="125"/>
  <c r="G41" i="125"/>
  <c r="E42" i="125" s="1"/>
  <c r="H40" i="125"/>
  <c r="L43" i="125"/>
  <c r="J42" i="125" l="1"/>
  <c r="G42" i="125"/>
  <c r="E43" i="125" s="1"/>
  <c r="H41" i="125"/>
  <c r="L44" i="125"/>
  <c r="G43" i="125" l="1"/>
  <c r="E44" i="125" s="1"/>
  <c r="H42" i="125"/>
  <c r="J43" i="125"/>
  <c r="L45" i="125"/>
  <c r="G44" i="125" l="1"/>
  <c r="E45" i="125" s="1"/>
  <c r="J44" i="125"/>
  <c r="H43" i="125"/>
  <c r="L46" i="125"/>
  <c r="J45" i="125" l="1"/>
  <c r="H44" i="125"/>
  <c r="G45" i="125"/>
  <c r="E46" i="125" s="1"/>
  <c r="L47" i="125"/>
  <c r="J46" i="125" l="1"/>
  <c r="G46" i="125"/>
  <c r="E47" i="125" s="1"/>
  <c r="H45" i="125"/>
  <c r="L48" i="125"/>
  <c r="L49" i="125" l="1"/>
  <c r="G47" i="125"/>
  <c r="E48" i="125" s="1"/>
  <c r="H46" i="125"/>
  <c r="J47" i="125"/>
  <c r="G48" i="125" l="1"/>
  <c r="E49" i="125" s="1"/>
  <c r="H47" i="125"/>
  <c r="J48" i="125"/>
  <c r="L50" i="125"/>
  <c r="L51" i="125" l="1"/>
  <c r="J49" i="125"/>
  <c r="G49" i="125"/>
  <c r="E50" i="125" s="1"/>
  <c r="H48" i="125"/>
  <c r="L52" i="125" l="1"/>
  <c r="J50" i="125"/>
  <c r="G50" i="125"/>
  <c r="E51" i="125" s="1"/>
  <c r="H49" i="125"/>
  <c r="G51" i="125" l="1"/>
  <c r="E52" i="125" s="1"/>
  <c r="H50" i="125"/>
  <c r="J51" i="125"/>
  <c r="L53" i="125"/>
  <c r="G52" i="125" l="1"/>
  <c r="E53" i="125" s="1"/>
  <c r="H51" i="125"/>
  <c r="J52" i="125"/>
  <c r="L54" i="125"/>
  <c r="L55" i="125" l="1"/>
  <c r="J53" i="125"/>
  <c r="H52" i="125"/>
  <c r="G53" i="125"/>
  <c r="E54" i="125" s="1"/>
  <c r="J54" i="125" l="1"/>
  <c r="G54" i="125"/>
  <c r="E55" i="125" s="1"/>
  <c r="H53" i="125"/>
  <c r="L56" i="125"/>
  <c r="G55" i="125" l="1"/>
  <c r="E56" i="125" s="1"/>
  <c r="H54" i="125"/>
  <c r="J55" i="125"/>
  <c r="L57" i="125"/>
  <c r="L58" i="125" l="1"/>
  <c r="J56" i="125"/>
  <c r="G56" i="125"/>
  <c r="E57" i="125" s="1"/>
  <c r="H55" i="125"/>
  <c r="J57" i="125" l="1"/>
  <c r="G57" i="125"/>
  <c r="E58" i="125" s="1"/>
  <c r="H56" i="125"/>
  <c r="L59" i="125"/>
  <c r="J58" i="125" l="1"/>
  <c r="G58" i="125"/>
  <c r="E59" i="125" s="1"/>
  <c r="H57" i="125"/>
  <c r="L60" i="125"/>
  <c r="G59" i="125" l="1"/>
  <c r="E60" i="125" s="1"/>
  <c r="H58" i="125"/>
  <c r="J59" i="125"/>
  <c r="L61" i="125"/>
  <c r="J60" i="125" l="1"/>
  <c r="G60" i="125"/>
  <c r="E61" i="125" s="1"/>
  <c r="H59" i="125"/>
  <c r="L62" i="125"/>
  <c r="L63" i="125" l="1"/>
  <c r="J61" i="125"/>
  <c r="G61" i="125"/>
  <c r="E62" i="125" s="1"/>
  <c r="H60" i="125"/>
  <c r="J62" i="125" l="1"/>
  <c r="G62" i="125"/>
  <c r="E63" i="125" s="1"/>
  <c r="H61" i="125"/>
  <c r="L64" i="125"/>
  <c r="G63" i="125" l="1"/>
  <c r="E64" i="125" s="1"/>
  <c r="H62" i="125"/>
  <c r="J63" i="125"/>
  <c r="L65" i="125"/>
  <c r="J64" i="125" l="1"/>
  <c r="G64" i="125"/>
  <c r="E65" i="125" s="1"/>
  <c r="H63" i="125"/>
  <c r="L66" i="125"/>
  <c r="L67" i="125" l="1"/>
  <c r="J65" i="125"/>
  <c r="G65" i="125"/>
  <c r="E66" i="125" s="1"/>
  <c r="H64" i="125"/>
  <c r="J66" i="125" l="1"/>
  <c r="G66" i="125"/>
  <c r="E67" i="125" s="1"/>
  <c r="H65" i="125"/>
  <c r="L68" i="125"/>
  <c r="M67" i="125" s="1"/>
  <c r="G67" i="125" l="1"/>
  <c r="H66" i="125"/>
  <c r="J67" i="125"/>
  <c r="M61" i="125" s="1"/>
  <c r="M64" i="125"/>
  <c r="M65" i="125" l="1"/>
  <c r="M20" i="125"/>
  <c r="M13" i="125"/>
  <c r="M19" i="125"/>
  <c r="M17" i="125"/>
  <c r="M12" i="125"/>
  <c r="M15" i="125"/>
  <c r="M18" i="125"/>
  <c r="M22" i="125"/>
  <c r="M16" i="125"/>
  <c r="M14" i="125"/>
  <c r="M21" i="125"/>
  <c r="M11" i="125"/>
  <c r="M25" i="125"/>
  <c r="M23" i="125"/>
  <c r="M24" i="125"/>
  <c r="M27" i="125"/>
  <c r="M26" i="125"/>
  <c r="M28" i="125"/>
  <c r="M29" i="125"/>
  <c r="M30" i="125"/>
  <c r="M31" i="125"/>
  <c r="M32" i="125"/>
  <c r="M35" i="125"/>
  <c r="M34" i="125"/>
  <c r="M33" i="125"/>
  <c r="M38" i="125"/>
  <c r="M36" i="125"/>
  <c r="M39" i="125"/>
  <c r="M40" i="125"/>
  <c r="M37" i="125"/>
  <c r="M41" i="125"/>
  <c r="M42" i="125"/>
  <c r="M43" i="125"/>
  <c r="M44" i="125"/>
  <c r="M45" i="125"/>
  <c r="M46" i="125"/>
  <c r="M47" i="125"/>
  <c r="M51" i="125"/>
  <c r="M48" i="125"/>
  <c r="M49" i="125"/>
  <c r="M52" i="125"/>
  <c r="M50" i="125"/>
  <c r="M56" i="125"/>
  <c r="M53" i="125"/>
  <c r="M54" i="125"/>
  <c r="M55" i="125"/>
  <c r="M57" i="125"/>
  <c r="M58" i="125"/>
  <c r="M59" i="125"/>
  <c r="M66" i="125"/>
  <c r="M62" i="125"/>
  <c r="M60" i="125"/>
  <c r="M63" i="125"/>
  <c r="G4" i="125" l="1"/>
  <c r="H4" i="125" l="1"/>
  <c r="G5" i="125"/>
  <c r="H5" i="125" s="1"/>
</calcChain>
</file>

<file path=xl/sharedStrings.xml><?xml version="1.0" encoding="utf-8"?>
<sst xmlns="http://schemas.openxmlformats.org/spreadsheetml/2006/main" count="284" uniqueCount="168">
  <si>
    <t>Policy Year</t>
  </si>
  <si>
    <t>Age</t>
  </si>
  <si>
    <t>Calendar Year</t>
  </si>
  <si>
    <t>Actual</t>
  </si>
  <si>
    <t>Gross Premium =</t>
  </si>
  <si>
    <t>Survivors at the beginning of year</t>
  </si>
  <si>
    <t>Mortality Rate</t>
  </si>
  <si>
    <t>Death during the year</t>
  </si>
  <si>
    <t>Survivors end of year</t>
  </si>
  <si>
    <t>Benefit Payment per person</t>
  </si>
  <si>
    <t>Projected Benefits based on Survival</t>
  </si>
  <si>
    <t>Discount Rate</t>
  </si>
  <si>
    <t>Discount factor beginning of year</t>
  </si>
  <si>
    <t>Benefit Reserve = 
PV of Projected benefits</t>
  </si>
  <si>
    <t>Deferrable acquisition expense:</t>
  </si>
  <si>
    <t>Commission rate of 3.0% * $1M = $30,000</t>
  </si>
  <si>
    <t>$65 per policy * 1,000 = $65,000</t>
  </si>
  <si>
    <t>Non-derrable expense should be excluded from DAC calculation.</t>
  </si>
  <si>
    <t>Deferrable Commission</t>
  </si>
  <si>
    <t>Deferrable non-Comm</t>
  </si>
  <si>
    <t>Total Deferrable</t>
  </si>
  <si>
    <t>In-force Benefits</t>
  </si>
  <si>
    <t>Amortization Base Rate</t>
  </si>
  <si>
    <t>DAC amortization</t>
  </si>
  <si>
    <t>DAC
end of year</t>
  </si>
  <si>
    <t>Anticipated</t>
  </si>
  <si>
    <t>Variance</t>
  </si>
  <si>
    <t>LPFB 12/31/2026</t>
  </si>
  <si>
    <t>Remeasurement Gain</t>
  </si>
  <si>
    <t>='&lt; Solution for Year 3</t>
  </si>
  <si>
    <t>&lt;= Solution</t>
  </si>
  <si>
    <t>TDL Ratio</t>
  </si>
  <si>
    <t>Total</t>
  </si>
  <si>
    <t>Liability</t>
  </si>
  <si>
    <t>Payment</t>
  </si>
  <si>
    <t>Reserve</t>
  </si>
  <si>
    <t>Inforce</t>
  </si>
  <si>
    <t>Dividends</t>
  </si>
  <si>
    <t>Year</t>
  </si>
  <si>
    <t>Interest</t>
  </si>
  <si>
    <t>of Year</t>
  </si>
  <si>
    <t>Rate</t>
  </si>
  <si>
    <t>Rate Per 1000</t>
  </si>
  <si>
    <t>Amount</t>
  </si>
  <si>
    <t>Dividend</t>
  </si>
  <si>
    <t>Face Amount</t>
  </si>
  <si>
    <t>Termination</t>
  </si>
  <si>
    <t>Discounted</t>
  </si>
  <si>
    <t>Beginning</t>
  </si>
  <si>
    <t>Earned</t>
  </si>
  <si>
    <t>Mortality</t>
  </si>
  <si>
    <t>Face</t>
  </si>
  <si>
    <t>of Future</t>
  </si>
  <si>
    <t>of Future Expected</t>
  </si>
  <si>
    <t>of</t>
  </si>
  <si>
    <t>Investment</t>
  </si>
  <si>
    <t>Cash Value</t>
  </si>
  <si>
    <t>Present Value</t>
  </si>
  <si>
    <t>Present Value of</t>
  </si>
  <si>
    <t>Valuation</t>
  </si>
  <si>
    <t>Expected</t>
  </si>
  <si>
    <t>Calculation of Termination Dividend Liability</t>
  </si>
  <si>
    <t>Below is a numerical presentation of the prospective calculation of the termination dividend liability:</t>
  </si>
  <si>
    <t>termination dividend payment for that year to produce the termination dividend liability for that year.</t>
  </si>
  <si>
    <t xml:space="preserve">being replaced by termination dividends and gross premiums being replaced by face amounts.  Each year's reserve would then be reduced by the </t>
  </si>
  <si>
    <t>With regard to the prospective calculation of the termination dividend liability, it is calculated similarly as the GAAP Benefit Reserves, with benefits</t>
  </si>
  <si>
    <t>Accrual Ratio</t>
  </si>
  <si>
    <t>Paid</t>
  </si>
  <si>
    <t>Accrual</t>
  </si>
  <si>
    <t>Per 1000</t>
  </si>
  <si>
    <t xml:space="preserve">Termination </t>
  </si>
  <si>
    <t>Value of</t>
  </si>
  <si>
    <t>Value</t>
  </si>
  <si>
    <t>End of Year</t>
  </si>
  <si>
    <t>Beginning of Year</t>
  </si>
  <si>
    <t>Present</t>
  </si>
  <si>
    <t>Cash</t>
  </si>
  <si>
    <t>Below is the numerical presentation of the retrospective calculation of the termination dividend liability:</t>
  </si>
  <si>
    <t xml:space="preserve">     less the termination dividend paid in the current year.</t>
  </si>
  <si>
    <t xml:space="preserve">     the current-year accrual of the termination dividend, and the current-year interest earned by the termination dividend liability, </t>
  </si>
  <si>
    <t xml:space="preserve">7.  Determine the current yearend termination dividend liability as the sum of the prior yearend terminal dividend liability, </t>
  </si>
  <si>
    <t xml:space="preserve">      liabilty and the current year accrual, multiplied by the investment earned interest rate.</t>
  </si>
  <si>
    <t>6.  Derive the interest earned by the termination dividend liability as the sum of the prior yearend termination dividend</t>
  </si>
  <si>
    <t xml:space="preserve">      for that year.</t>
  </si>
  <si>
    <t>5.  Determine each year's accrual of the termination dividend liability as the accrual rate multiplied by the face amount</t>
  </si>
  <si>
    <t xml:space="preserve">      divided by the present value of future face amounts.</t>
  </si>
  <si>
    <t>4.  Determine the accrual rate, which is equal to the present value value of future expected termination dividends</t>
  </si>
  <si>
    <t>3.  Determine the present value of expected termination dividend payments.</t>
  </si>
  <si>
    <t>2.  Calculate the present value of face amounts.</t>
  </si>
  <si>
    <t>1.  Assume the expected termination dividend payable at the end of year 10 is equal to 600.  ( $600 was not provided at the exam)</t>
  </si>
  <si>
    <t>retrospectively, are as follow:</t>
  </si>
  <si>
    <t xml:space="preserve">participating traditional life insurance products.  The steps for determining the termination dividend liability, </t>
  </si>
  <si>
    <t xml:space="preserve">cash value mortality .  Surrender rates are not assumed in the calculation of the termination dvidend liability for </t>
  </si>
  <si>
    <t xml:space="preserve">assumed interest equal to the investment earned rate, which in this question is equal to 4.5%,  and mortality equal to </t>
  </si>
  <si>
    <t>to face amount.  The termination dividend liability and DAC Asset for participating traditional life insurance products</t>
  </si>
  <si>
    <t>termination dividend liability is accrued in proportion to face amount as the DAC Asset is amortized in proportion</t>
  </si>
  <si>
    <t xml:space="preserve">The accrual of the termination dividend liability is comparable to the amortization of the DAC Asset, where the </t>
  </si>
  <si>
    <t>ANSWER:</t>
  </si>
  <si>
    <r>
      <t>(ii)</t>
    </r>
    <r>
      <rPr>
        <sz val="7"/>
        <color rgb="FF000000"/>
        <rFont val="Times New Roman"/>
        <family val="1"/>
      </rPr>
      <t xml:space="preserve">           </t>
    </r>
    <r>
      <rPr>
        <sz val="12"/>
        <color rgb="FF000000"/>
        <rFont val="Times New Roman"/>
        <family val="1"/>
      </rPr>
      <t>Terminal dividend liability</t>
    </r>
  </si>
  <si>
    <t xml:space="preserve">    Capped Net Premium</t>
  </si>
  <si>
    <t>Uncapped Net Premium</t>
  </si>
  <si>
    <t>(LFPB)</t>
  </si>
  <si>
    <t>Premiums</t>
  </si>
  <si>
    <t>Benefits</t>
  </si>
  <si>
    <t>Premium</t>
  </si>
  <si>
    <t>Benefit</t>
  </si>
  <si>
    <t>Net Premium</t>
  </si>
  <si>
    <t>Future</t>
  </si>
  <si>
    <t>Projected</t>
  </si>
  <si>
    <t>Endowment</t>
  </si>
  <si>
    <t>Death</t>
  </si>
  <si>
    <t>Capped</t>
  </si>
  <si>
    <t>Uncapped</t>
  </si>
  <si>
    <t>Fund</t>
  </si>
  <si>
    <t>Reserve with</t>
  </si>
  <si>
    <t>Calculation of GAAP Benefit Reserves</t>
  </si>
  <si>
    <t>GAAP Benefit</t>
  </si>
  <si>
    <t>Below is the numerical presentation of this exercise.</t>
  </si>
  <si>
    <t>policyholder dividends is the dividend fund rate, which for this question is 1.75%.</t>
  </si>
  <si>
    <t>used in the computation of those cash values.  The interest rate to be used in these calculations for participating traditional life which pay annual</t>
  </si>
  <si>
    <t>Mortality rates to be used in the calculation of GAAP benefit reserves for participating traditional life insurance that pay cash values are the mortality rates</t>
  </si>
  <si>
    <t>benefits less the present value of future GAAP net premiums.  The formula presentation for this is: V(t) = PVFB(t) - (PVFB(0)/PVGP(0)) x PVFGP(t).</t>
  </si>
  <si>
    <t xml:space="preserve">The next and final step is to determine the GAAP benefit reserves, which is equal to the present value of future death and endowment </t>
  </si>
  <si>
    <t>Let's assume the level gross premium is equal to 20,000.</t>
  </si>
  <si>
    <t>But since the gross premium is level, as indicated in the exam question, any gross premium can be selected and the same reserves will result.</t>
  </si>
  <si>
    <t>and endowment benefits divided by the present value at issue of future gross premiums. For this question, the gross premium was not provided.</t>
  </si>
  <si>
    <t>The first step in calculating the GAAP benefit reserve is to determine the GAAP net premium, which equals the present value at issue of future death</t>
  </si>
  <si>
    <t>The benefits cover by the GAAP benefit reserve calculations include death benefits and endowment benefits only.</t>
  </si>
  <si>
    <t>and the dividend fund interest rate.</t>
  </si>
  <si>
    <t>insurance products where GAAP benefit reserves are calculated using the net premium reserve approach assuming cash value mortality</t>
  </si>
  <si>
    <t>GAAP benefit reserves for participating traditional life insurance products are based on the GAAP model for participating traditional life</t>
  </si>
  <si>
    <r>
      <t>(i)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imes New Roman"/>
        <family val="1"/>
      </rPr>
      <t>Liability for future policyholder benefits</t>
    </r>
  </si>
  <si>
    <r>
      <t>(a)</t>
    </r>
    <r>
      <rPr>
        <sz val="7"/>
        <color rgb="FF000000"/>
        <rFont val="Times New Roman"/>
        <family val="1"/>
      </rPr>
      <t xml:space="preserve">            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5 points</t>
    </r>
    <r>
      <rPr>
        <sz val="12"/>
        <color rgb="FF000000"/>
        <rFont val="Times New Roman"/>
        <family val="1"/>
      </rPr>
      <t>)  Calculate the following at the end of the third policy year, based on GAAP accounting rules for participating life insurance.</t>
    </r>
  </si>
  <si>
    <t>Pricing</t>
  </si>
  <si>
    <t>Mortality Assumptions (Rates per 1000)</t>
  </si>
  <si>
    <t>Attained</t>
  </si>
  <si>
    <r>
      <t>·</t>
    </r>
    <r>
      <rPr>
        <sz val="7"/>
        <color rgb="FF000000"/>
        <rFont val="Times New Roman"/>
        <family val="1"/>
      </rPr>
      <t xml:space="preserve">                </t>
    </r>
    <r>
      <rPr>
        <sz val="12"/>
        <color rgb="FF000000"/>
        <rFont val="Times New Roman"/>
        <family val="1"/>
      </rPr>
      <t>DAC is amortized based on face amount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</si>
  <si>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Times New Roman"/>
        <family val="1"/>
      </rPr>
      <t>Cash values are payable upon surrenders</t>
    </r>
  </si>
  <si>
    <r>
      <t>o</t>
    </r>
    <r>
      <rPr>
        <sz val="7"/>
        <color rgb="FFFF0000"/>
        <rFont val="Times New Roman"/>
        <family val="1"/>
      </rPr>
      <t xml:space="preserve">   </t>
    </r>
    <r>
      <rPr>
        <sz val="12"/>
        <color rgb="FFFF0000"/>
        <rFont val="Times New Roman"/>
        <family val="1"/>
      </rPr>
      <t>Termination dividends of $600 are paid to terminating policyholders</t>
    </r>
    <r>
      <rPr>
        <sz val="12"/>
        <color rgb="FFFF0000"/>
        <rFont val="Courier New"/>
        <family val="3"/>
      </rPr>
      <t xml:space="preserve"> ( $600 was not provided at the exam)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</si>
  <si>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Times New Roman"/>
        <family val="1"/>
      </rPr>
      <t xml:space="preserve">Dividends are payable annually to policyholders          </t>
    </r>
  </si>
  <si>
    <r>
      <t>·</t>
    </r>
    <r>
      <rPr>
        <sz val="7"/>
        <color rgb="FF000000"/>
        <rFont val="Times New Roman"/>
        <family val="1"/>
      </rPr>
      <t xml:space="preserve">                </t>
    </r>
    <r>
      <rPr>
        <sz val="12"/>
        <color rgb="FF000000"/>
        <rFont val="Times New Roman"/>
        <family val="1"/>
      </rPr>
      <t>All benefits are payable at the end of each year:</t>
    </r>
  </si>
  <si>
    <r>
      <t>·</t>
    </r>
    <r>
      <rPr>
        <sz val="7"/>
        <color rgb="FF000000"/>
        <rFont val="Times New Roman"/>
        <family val="1"/>
      </rPr>
      <t xml:space="preserve">                </t>
    </r>
    <r>
      <rPr>
        <sz val="12"/>
        <color rgb="FF000000"/>
        <rFont val="Times New Roman"/>
        <family val="1"/>
      </rPr>
      <t>Premiums are payable at the beginning of each year.</t>
    </r>
  </si>
  <si>
    <t>Assume:</t>
  </si>
  <si>
    <t xml:space="preserve">Investment earned rate of interest </t>
  </si>
  <si>
    <t>Valuation interest rate</t>
  </si>
  <si>
    <t>Cash value interest rate</t>
  </si>
  <si>
    <t>Dividend fund interest rate</t>
  </si>
  <si>
    <t>Level</t>
  </si>
  <si>
    <t>Variation of gross premium payments</t>
  </si>
  <si>
    <t>Level death benefit</t>
  </si>
  <si>
    <t>Issue age</t>
  </si>
  <si>
    <t>SJG Life is developing a new participating life insurance product with endowment at age 65.  You are given the following information for a policy issued on January 1, 2024:</t>
  </si>
  <si>
    <t>Responses for part (a)i and (a)ii are to be provided in this tab.</t>
  </si>
  <si>
    <t>Responses for part (b) are to be provided in the Word document.</t>
  </si>
  <si>
    <t>QUESTION 4 (a) i and ii</t>
  </si>
  <si>
    <t>Reserve as of 6/30/2021</t>
  </si>
  <si>
    <t>Integrated Benefit Stream</t>
  </si>
  <si>
    <t>PV Surrender Benefit</t>
  </si>
  <si>
    <t>PV Death Benefit</t>
  </si>
  <si>
    <t>tpx</t>
  </si>
  <si>
    <t>qx</t>
  </si>
  <si>
    <t>Cash Surrender Value</t>
  </si>
  <si>
    <t>SC %</t>
  </si>
  <si>
    <t>Account Value</t>
  </si>
  <si>
    <t>Date</t>
  </si>
  <si>
    <t>Mortality (monthly)</t>
  </si>
  <si>
    <t>Attained Age</t>
  </si>
  <si>
    <t>Guaranteed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</si>
</sst>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-* #,##0.00_-;\-* #,##0.00_-;_-* \-??_-;_-@_-"/>
    <numFmt numFmtId="168" formatCode="_(* #,##0.00_);_(* \(#,##0.00\);_(* \-??_);_(@_)"/>
    <numFmt numFmtId="169" formatCode="_(\$* #,##0.00_);_(\$* \(#,##0.00\);_(\$* \-??_);_(@_)"/>
    <numFmt numFmtId="170" formatCode="_ * #,##0.00_)_ ;_ * \(#,##0.00\)_ ;_ * &quot;-&quot;??_)_ ;_ @_ "/>
    <numFmt numFmtId="171" formatCode="_(* #,##0.0_);_(* \(#,##0.0\);_(* &quot;-&quot;??_);_(@_)"/>
    <numFmt numFmtId="172" formatCode="_(&quot;$&quot;* #,##0_);_(&quot;$&quot;* \(#,##0\);_(&quot;$&quot;* &quot;-&quot;??_);_(@_)"/>
    <numFmt numFmtId="173" formatCode="_(&quot;$&quot;* #,##0.0_);_(&quot;$&quot;* \(#,##0.0\);_(&quot;$&quot;* &quot;-&quot;??_);_(@_)"/>
    <numFmt numFmtId="174" formatCode="_(* #,##0.0000_);_(* \(#,##0.0000\);_(* &quot;-&quot;??_);_(@_)"/>
    <numFmt numFmtId="175" formatCode="#,##0.00000000"/>
    <numFmt numFmtId="176" formatCode="0.00000"/>
    <numFmt numFmtId="177" formatCode="#,##0.000"/>
    <numFmt numFmtId="178" formatCode="#,##0.00000_);\(#,##0.00000\)"/>
    <numFmt numFmtId="179" formatCode="#,##0.000_);\(#,##0.000\)"/>
    <numFmt numFmtId="180" formatCode="#,##0.0000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11"/>
      <color theme="1"/>
      <name val="Arial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u/>
      <sz val="11"/>
      <color theme="1"/>
      <name val="Times New Roman"/>
      <family val="1"/>
    </font>
    <font>
      <sz val="11"/>
      <color rgb="FF0000CC"/>
      <name val="Times New Roman"/>
      <family val="1"/>
    </font>
    <font>
      <strike/>
      <sz val="11"/>
      <color rgb="FF0000CC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rgb="FF000000"/>
      <name val="Calibri"/>
      <family val="2"/>
      <scheme val="minor"/>
    </font>
    <font>
      <i/>
      <sz val="12"/>
      <color rgb="FF000000"/>
      <name val="Times New Roman"/>
      <family val="1"/>
    </font>
    <font>
      <sz val="12"/>
      <color rgb="FF000000"/>
      <name val="Symbol"/>
      <family val="1"/>
      <charset val="2"/>
    </font>
    <font>
      <sz val="12"/>
      <color rgb="FF000000"/>
      <name val="Courier New"/>
      <family val="3"/>
    </font>
    <font>
      <sz val="12"/>
      <color rgb="FFFF0000"/>
      <name val="Courier New"/>
      <family val="3"/>
    </font>
    <font>
      <sz val="7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1"/>
      <color rgb="FF0070C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0">
    <xf numFmtId="0" fontId="0" fillId="0" borderId="0"/>
    <xf numFmtId="0" fontId="10" fillId="0" borderId="0"/>
    <xf numFmtId="0" fontId="11" fillId="0" borderId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29" borderId="0" applyBorder="0" applyProtection="0"/>
    <xf numFmtId="0" fontId="12" fillId="0" borderId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5" applyNumberFormat="0" applyAlignment="0" applyProtection="0"/>
    <xf numFmtId="0" fontId="16" fillId="25" borderId="5" applyNumberFormat="0" applyAlignment="0" applyProtection="0"/>
    <xf numFmtId="0" fontId="17" fillId="26" borderId="6" applyNumberFormat="0" applyAlignment="0" applyProtection="0"/>
    <xf numFmtId="0" fontId="17" fillId="26" borderId="6" applyNumberFormat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30" borderId="0" applyBorder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2" borderId="5" applyNumberFormat="0" applyAlignment="0" applyProtection="0"/>
    <xf numFmtId="0" fontId="23" fillId="12" borderId="5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28" borderId="11" applyNumberFormat="0" applyFont="0" applyAlignment="0" applyProtection="0"/>
    <xf numFmtId="0" fontId="11" fillId="28" borderId="11" applyNumberFormat="0" applyFont="0" applyAlignment="0" applyProtection="0"/>
    <xf numFmtId="0" fontId="26" fillId="25" borderId="12" applyNumberFormat="0" applyAlignment="0" applyProtection="0"/>
    <xf numFmtId="0" fontId="26" fillId="25" borderId="12" applyNumberFormat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/>
    <xf numFmtId="0" fontId="12" fillId="0" borderId="0"/>
    <xf numFmtId="0" fontId="16" fillId="25" borderId="17" applyNumberFormat="0" applyAlignment="0" applyProtection="0"/>
    <xf numFmtId="0" fontId="16" fillId="25" borderId="17" applyNumberFormat="0" applyAlignment="0" applyProtection="0"/>
    <xf numFmtId="0" fontId="30" fillId="31" borderId="0" applyBorder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12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3" fillId="12" borderId="17" applyNumberFormat="0" applyAlignment="0" applyProtection="0"/>
    <xf numFmtId="0" fontId="11" fillId="28" borderId="14" applyNumberFormat="0" applyFont="0" applyAlignment="0" applyProtection="0"/>
    <xf numFmtId="0" fontId="11" fillId="28" borderId="14" applyNumberFormat="0" applyFont="0" applyAlignment="0" applyProtection="0"/>
    <xf numFmtId="0" fontId="26" fillId="25" borderId="15" applyNumberFormat="0" applyAlignment="0" applyProtection="0"/>
    <xf numFmtId="0" fontId="26" fillId="25" borderId="15" applyNumberForma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16" fillId="25" borderId="17" applyNumberFormat="0" applyAlignment="0" applyProtection="0"/>
    <xf numFmtId="0" fontId="16" fillId="25" borderId="17" applyNumberFormat="0" applyAlignment="0" applyProtection="0"/>
    <xf numFmtId="0" fontId="23" fillId="12" borderId="17" applyNumberFormat="0" applyAlignment="0" applyProtection="0"/>
    <xf numFmtId="0" fontId="23" fillId="12" borderId="17" applyNumberFormat="0" applyAlignment="0" applyProtection="0"/>
    <xf numFmtId="0" fontId="11" fillId="28" borderId="14" applyNumberFormat="0" applyFont="0" applyAlignment="0" applyProtection="0"/>
    <xf numFmtId="0" fontId="11" fillId="28" borderId="14" applyNumberFormat="0" applyFont="0" applyAlignment="0" applyProtection="0"/>
    <xf numFmtId="0" fontId="26" fillId="25" borderId="15" applyNumberFormat="0" applyAlignment="0" applyProtection="0"/>
    <xf numFmtId="0" fontId="26" fillId="25" borderId="15" applyNumberForma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7" fillId="0" borderId="0"/>
    <xf numFmtId="0" fontId="30" fillId="32" borderId="0" applyBorder="0" applyProtection="0"/>
    <xf numFmtId="0" fontId="30" fillId="33" borderId="0" applyBorder="0" applyProtection="0"/>
    <xf numFmtId="0" fontId="30" fillId="34" borderId="0" applyBorder="0" applyProtection="0"/>
    <xf numFmtId="0" fontId="30" fillId="35" borderId="0" applyBorder="0" applyProtection="0"/>
    <xf numFmtId="0" fontId="30" fillId="36" borderId="0" applyBorder="0" applyProtection="0"/>
    <xf numFmtId="0" fontId="30" fillId="37" borderId="0" applyBorder="0" applyProtection="0"/>
    <xf numFmtId="0" fontId="30" fillId="32" borderId="0" applyBorder="0" applyProtection="0"/>
    <xf numFmtId="0" fontId="30" fillId="35" borderId="0" applyBorder="0" applyProtection="0"/>
    <xf numFmtId="0" fontId="30" fillId="38" borderId="0" applyBorder="0" applyProtection="0"/>
    <xf numFmtId="0" fontId="31" fillId="39" borderId="0" applyBorder="0" applyProtection="0"/>
    <xf numFmtId="0" fontId="31" fillId="36" borderId="0" applyBorder="0" applyProtection="0"/>
    <xf numFmtId="0" fontId="31" fillId="37" borderId="0" applyBorder="0" applyProtection="0"/>
    <xf numFmtId="0" fontId="31" fillId="40" borderId="0" applyBorder="0" applyProtection="0"/>
    <xf numFmtId="0" fontId="31" fillId="41" borderId="0" applyBorder="0" applyProtection="0"/>
    <xf numFmtId="0" fontId="31" fillId="42" borderId="0" applyBorder="0" applyProtection="0"/>
    <xf numFmtId="0" fontId="31" fillId="43" borderId="0" applyBorder="0" applyProtection="0"/>
    <xf numFmtId="0" fontId="31" fillId="44" borderId="0" applyBorder="0" applyProtection="0"/>
    <xf numFmtId="0" fontId="31" fillId="45" borderId="0" applyBorder="0" applyProtection="0"/>
    <xf numFmtId="0" fontId="31" fillId="40" borderId="0" applyBorder="0" applyProtection="0"/>
    <xf numFmtId="0" fontId="31" fillId="41" borderId="0" applyBorder="0" applyProtection="0"/>
    <xf numFmtId="0" fontId="31" fillId="46" borderId="0" applyBorder="0" applyProtection="0"/>
    <xf numFmtId="0" fontId="32" fillId="30" borderId="0" applyBorder="0" applyProtection="0"/>
    <xf numFmtId="0" fontId="33" fillId="47" borderId="18" applyProtection="0"/>
    <xf numFmtId="0" fontId="33" fillId="47" borderId="18" applyProtection="0"/>
    <xf numFmtId="0" fontId="33" fillId="47" borderId="18" applyProtection="0"/>
    <xf numFmtId="0" fontId="33" fillId="47" borderId="18" applyProtection="0"/>
    <xf numFmtId="0" fontId="33" fillId="47" borderId="18" applyProtection="0"/>
    <xf numFmtId="0" fontId="34" fillId="48" borderId="19" applyProtection="0"/>
    <xf numFmtId="167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169" fontId="11" fillId="0" borderId="0" applyBorder="0" applyProtection="0"/>
    <xf numFmtId="0" fontId="35" fillId="0" borderId="0" applyBorder="0" applyProtection="0"/>
    <xf numFmtId="0" fontId="36" fillId="31" borderId="0" applyBorder="0" applyProtection="0"/>
    <xf numFmtId="0" fontId="37" fillId="0" borderId="20" applyProtection="0"/>
    <xf numFmtId="0" fontId="38" fillId="0" borderId="21" applyProtection="0"/>
    <xf numFmtId="0" fontId="39" fillId="0" borderId="22" applyProtection="0"/>
    <xf numFmtId="0" fontId="39" fillId="0" borderId="0" applyBorder="0" applyProtection="0"/>
    <xf numFmtId="0" fontId="40" fillId="34" borderId="18" applyProtection="0"/>
    <xf numFmtId="0" fontId="40" fillId="34" borderId="18" applyProtection="0"/>
    <xf numFmtId="0" fontId="40" fillId="34" borderId="18" applyProtection="0"/>
    <xf numFmtId="0" fontId="40" fillId="34" borderId="18" applyProtection="0"/>
    <xf numFmtId="0" fontId="40" fillId="34" borderId="18" applyProtection="0"/>
    <xf numFmtId="0" fontId="41" fillId="0" borderId="23" applyProtection="0"/>
    <xf numFmtId="0" fontId="42" fillId="6" borderId="0" applyBorder="0" applyProtection="0"/>
    <xf numFmtId="0" fontId="30" fillId="0" borderId="0"/>
    <xf numFmtId="0" fontId="30" fillId="0" borderId="0"/>
    <xf numFmtId="0" fontId="30" fillId="0" borderId="0"/>
    <xf numFmtId="0" fontId="11" fillId="49" borderId="24" applyProtection="0"/>
    <xf numFmtId="0" fontId="11" fillId="49" borderId="24" applyProtection="0"/>
    <xf numFmtId="0" fontId="11" fillId="49" borderId="24" applyProtection="0"/>
    <xf numFmtId="0" fontId="11" fillId="49" borderId="24" applyProtection="0"/>
    <xf numFmtId="0" fontId="11" fillId="49" borderId="24" applyProtection="0"/>
    <xf numFmtId="0" fontId="43" fillId="47" borderId="25" applyProtection="0"/>
    <xf numFmtId="0" fontId="43" fillId="47" borderId="25" applyProtection="0"/>
    <xf numFmtId="0" fontId="43" fillId="47" borderId="25" applyProtection="0"/>
    <xf numFmtId="0" fontId="43" fillId="47" borderId="25" applyProtection="0"/>
    <xf numFmtId="0" fontId="43" fillId="47" borderId="25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0" fontId="44" fillId="0" borderId="0" applyBorder="0" applyProtection="0"/>
    <xf numFmtId="0" fontId="45" fillId="0" borderId="26" applyProtection="0"/>
    <xf numFmtId="0" fontId="45" fillId="0" borderId="26" applyProtection="0"/>
    <xf numFmtId="0" fontId="45" fillId="0" borderId="26" applyProtection="0"/>
    <xf numFmtId="0" fontId="45" fillId="0" borderId="26" applyProtection="0"/>
    <xf numFmtId="0" fontId="45" fillId="0" borderId="26" applyProtection="0"/>
    <xf numFmtId="0" fontId="46" fillId="0" borderId="0" applyBorder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25" borderId="27" applyNumberFormat="0" applyAlignment="0" applyProtection="0"/>
    <xf numFmtId="0" fontId="16" fillId="25" borderId="27" applyNumberFormat="0" applyAlignment="0" applyProtection="0"/>
    <xf numFmtId="0" fontId="23" fillId="12" borderId="27" applyNumberFormat="0" applyAlignment="0" applyProtection="0"/>
    <xf numFmtId="0" fontId="23" fillId="12" borderId="27" applyNumberFormat="0" applyAlignment="0" applyProtection="0"/>
    <xf numFmtId="0" fontId="11" fillId="28" borderId="28" applyNumberFormat="0" applyFont="0" applyAlignment="0" applyProtection="0"/>
    <xf numFmtId="0" fontId="11" fillId="28" borderId="28" applyNumberFormat="0" applyFont="0" applyAlignment="0" applyProtection="0"/>
    <xf numFmtId="0" fontId="26" fillId="25" borderId="29" applyNumberFormat="0" applyAlignment="0" applyProtection="0"/>
    <xf numFmtId="0" fontId="26" fillId="25" borderId="29" applyNumberFormat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6" fillId="0" borderId="0"/>
    <xf numFmtId="0" fontId="16" fillId="25" borderId="27" applyNumberFormat="0" applyAlignment="0" applyProtection="0"/>
    <xf numFmtId="0" fontId="16" fillId="25" borderId="27" applyNumberFormat="0" applyAlignment="0" applyProtection="0"/>
    <xf numFmtId="0" fontId="23" fillId="12" borderId="27" applyNumberFormat="0" applyAlignment="0" applyProtection="0"/>
    <xf numFmtId="0" fontId="23" fillId="12" borderId="27" applyNumberFormat="0" applyAlignment="0" applyProtection="0"/>
    <xf numFmtId="0" fontId="11" fillId="28" borderId="28" applyNumberFormat="0" applyFont="0" applyAlignment="0" applyProtection="0"/>
    <xf numFmtId="0" fontId="11" fillId="28" borderId="28" applyNumberFormat="0" applyFont="0" applyAlignment="0" applyProtection="0"/>
    <xf numFmtId="0" fontId="26" fillId="25" borderId="29" applyNumberFormat="0" applyAlignment="0" applyProtection="0"/>
    <xf numFmtId="0" fontId="26" fillId="25" borderId="29" applyNumberFormat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16" fillId="25" borderId="27" applyNumberFormat="0" applyAlignment="0" applyProtection="0"/>
    <xf numFmtId="0" fontId="16" fillId="25" borderId="27" applyNumberFormat="0" applyAlignment="0" applyProtection="0"/>
    <xf numFmtId="0" fontId="23" fillId="12" borderId="27" applyNumberFormat="0" applyAlignment="0" applyProtection="0"/>
    <xf numFmtId="0" fontId="23" fillId="12" borderId="27" applyNumberFormat="0" applyAlignment="0" applyProtection="0"/>
    <xf numFmtId="0" fontId="11" fillId="28" borderId="28" applyNumberFormat="0" applyFont="0" applyAlignment="0" applyProtection="0"/>
    <xf numFmtId="0" fontId="11" fillId="28" borderId="28" applyNumberFormat="0" applyFont="0" applyAlignment="0" applyProtection="0"/>
    <xf numFmtId="0" fontId="26" fillId="25" borderId="29" applyNumberFormat="0" applyAlignment="0" applyProtection="0"/>
    <xf numFmtId="0" fontId="26" fillId="25" borderId="29" applyNumberFormat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170" fontId="11" fillId="0" borderId="0" applyFont="0" applyFill="0" applyBorder="0" applyAlignment="0" applyProtection="0"/>
    <xf numFmtId="0" fontId="47" fillId="0" borderId="0"/>
    <xf numFmtId="0" fontId="48" fillId="0" borderId="0"/>
    <xf numFmtId="0" fontId="3" fillId="0" borderId="0"/>
    <xf numFmtId="9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50" fillId="0" borderId="0" xfId="10" applyFont="1"/>
    <xf numFmtId="164" fontId="50" fillId="0" borderId="0" xfId="279" applyFont="1"/>
    <xf numFmtId="172" fontId="50" fillId="0" borderId="0" xfId="279" applyNumberFormat="1" applyFont="1"/>
    <xf numFmtId="0" fontId="51" fillId="0" borderId="0" xfId="10" applyFont="1"/>
    <xf numFmtId="164" fontId="51" fillId="0" borderId="0" xfId="279" applyFont="1" applyFill="1"/>
    <xf numFmtId="172" fontId="51" fillId="0" borderId="0" xfId="279" applyNumberFormat="1" applyFont="1" applyFill="1"/>
    <xf numFmtId="0" fontId="50" fillId="0" borderId="0" xfId="10" quotePrefix="1" applyFont="1"/>
    <xf numFmtId="0" fontId="50" fillId="3" borderId="31" xfId="10" applyFont="1" applyFill="1" applyBorder="1" applyAlignment="1">
      <alignment horizontal="center" vertical="center" wrapText="1"/>
    </xf>
    <xf numFmtId="0" fontId="50" fillId="0" borderId="31" xfId="10" applyFont="1" applyBorder="1" applyAlignment="1">
      <alignment horizontal="center" vertical="center" wrapText="1"/>
    </xf>
    <xf numFmtId="0" fontId="50" fillId="2" borderId="31" xfId="10" applyFont="1" applyFill="1" applyBorder="1" applyAlignment="1">
      <alignment horizontal="center" vertical="center" wrapText="1"/>
    </xf>
    <xf numFmtId="172" fontId="50" fillId="2" borderId="31" xfId="279" applyNumberFormat="1" applyFont="1" applyFill="1" applyBorder="1" applyAlignment="1">
      <alignment horizontal="center" vertical="center" wrapText="1"/>
    </xf>
    <xf numFmtId="0" fontId="52" fillId="0" borderId="31" xfId="10" applyFont="1" applyBorder="1" applyAlignment="1">
      <alignment horizontal="center" vertical="center" wrapText="1"/>
    </xf>
    <xf numFmtId="0" fontId="51" fillId="0" borderId="31" xfId="10" applyFont="1" applyBorder="1" applyAlignment="1">
      <alignment horizontal="center" vertical="center" wrapText="1"/>
    </xf>
    <xf numFmtId="9" fontId="50" fillId="0" borderId="31" xfId="295" applyFont="1" applyBorder="1" applyAlignment="1">
      <alignment horizontal="center" vertical="center" wrapText="1"/>
    </xf>
    <xf numFmtId="172" fontId="52" fillId="0" borderId="31" xfId="279" applyNumberFormat="1" applyFont="1" applyFill="1" applyBorder="1"/>
    <xf numFmtId="172" fontId="51" fillId="0" borderId="31" xfId="279" applyNumberFormat="1" applyFont="1" applyFill="1" applyBorder="1"/>
    <xf numFmtId="10" fontId="52" fillId="4" borderId="2" xfId="12" applyNumberFormat="1" applyFont="1" applyFill="1" applyBorder="1"/>
    <xf numFmtId="0" fontId="50" fillId="3" borderId="31" xfId="10" applyFont="1" applyFill="1" applyBorder="1" applyAlignment="1">
      <alignment horizontal="center" vertical="center"/>
    </xf>
    <xf numFmtId="0" fontId="50" fillId="3" borderId="31" xfId="10" applyFont="1" applyFill="1" applyBorder="1"/>
    <xf numFmtId="43" fontId="50" fillId="0" borderId="31" xfId="11" applyFont="1" applyBorder="1"/>
    <xf numFmtId="2" fontId="50" fillId="2" borderId="31" xfId="10" applyNumberFormat="1" applyFont="1" applyFill="1" applyBorder="1"/>
    <xf numFmtId="171" fontId="50" fillId="0" borderId="31" xfId="11" applyNumberFormat="1" applyFont="1" applyBorder="1"/>
    <xf numFmtId="171" fontId="50" fillId="0" borderId="31" xfId="10" applyNumberFormat="1" applyFont="1" applyBorder="1"/>
    <xf numFmtId="172" fontId="50" fillId="2" borderId="31" xfId="279" applyNumberFormat="1" applyFont="1" applyFill="1" applyBorder="1"/>
    <xf numFmtId="173" fontId="50" fillId="0" borderId="31" xfId="279" applyNumberFormat="1" applyFont="1" applyFill="1" applyBorder="1"/>
    <xf numFmtId="10" fontId="50" fillId="2" borderId="31" xfId="10" applyNumberFormat="1" applyFont="1" applyFill="1" applyBorder="1"/>
    <xf numFmtId="0" fontId="50" fillId="0" borderId="31" xfId="10" applyFont="1" applyBorder="1"/>
    <xf numFmtId="174" fontId="50" fillId="0" borderId="31" xfId="11" applyNumberFormat="1" applyFont="1" applyBorder="1"/>
    <xf numFmtId="0" fontId="50" fillId="0" borderId="0" xfId="10" applyFont="1" applyAlignment="1">
      <alignment horizontal="center" vertical="center"/>
    </xf>
    <xf numFmtId="43" fontId="50" fillId="0" borderId="0" xfId="11" applyFont="1" applyFill="1" applyBorder="1"/>
    <xf numFmtId="2" fontId="50" fillId="0" borderId="0" xfId="10" applyNumberFormat="1" applyFont="1"/>
    <xf numFmtId="171" fontId="50" fillId="0" borderId="0" xfId="11" applyNumberFormat="1" applyFont="1" applyFill="1" applyBorder="1"/>
    <xf numFmtId="171" fontId="50" fillId="0" borderId="0" xfId="10" applyNumberFormat="1" applyFont="1"/>
    <xf numFmtId="172" fontId="50" fillId="0" borderId="0" xfId="279" applyNumberFormat="1" applyFont="1" applyFill="1" applyBorder="1"/>
    <xf numFmtId="173" fontId="50" fillId="0" borderId="0" xfId="279" applyNumberFormat="1" applyFont="1" applyFill="1" applyBorder="1"/>
    <xf numFmtId="10" fontId="50" fillId="0" borderId="0" xfId="10" applyNumberFormat="1" applyFont="1"/>
    <xf numFmtId="174" fontId="50" fillId="0" borderId="0" xfId="11" applyNumberFormat="1" applyFont="1" applyFill="1" applyBorder="1"/>
    <xf numFmtId="172" fontId="52" fillId="0" borderId="0" xfId="279" applyNumberFormat="1" applyFont="1" applyFill="1" applyBorder="1"/>
    <xf numFmtId="172" fontId="51" fillId="0" borderId="0" xfId="279" applyNumberFormat="1" applyFont="1" applyFill="1" applyBorder="1"/>
    <xf numFmtId="166" fontId="50" fillId="0" borderId="0" xfId="11" applyNumberFormat="1" applyFont="1" applyFill="1" applyBorder="1"/>
    <xf numFmtId="43" fontId="51" fillId="0" borderId="0" xfId="11" applyFont="1" applyFill="1" applyBorder="1"/>
    <xf numFmtId="0" fontId="54" fillId="0" borderId="0" xfId="10" applyFont="1"/>
    <xf numFmtId="0" fontId="50" fillId="0" borderId="0" xfId="10" applyFont="1" applyAlignment="1">
      <alignment wrapText="1"/>
    </xf>
    <xf numFmtId="172" fontId="50" fillId="0" borderId="33" xfId="279" applyNumberFormat="1" applyFont="1" applyBorder="1" applyAlignment="1">
      <alignment horizontal="center" vertical="center" wrapText="1"/>
    </xf>
    <xf numFmtId="43" fontId="50" fillId="0" borderId="31" xfId="10" applyNumberFormat="1" applyFont="1" applyBorder="1"/>
    <xf numFmtId="173" fontId="50" fillId="0" borderId="31" xfId="279" applyNumberFormat="1" applyFont="1" applyBorder="1" applyAlignment="1">
      <alignment horizontal="center" vertical="center" wrapText="1"/>
    </xf>
    <xf numFmtId="173" fontId="50" fillId="0" borderId="1" xfId="279" applyNumberFormat="1" applyFont="1" applyBorder="1"/>
    <xf numFmtId="10" fontId="50" fillId="0" borderId="31" xfId="12" applyNumberFormat="1" applyFont="1" applyBorder="1"/>
    <xf numFmtId="43" fontId="50" fillId="0" borderId="0" xfId="10" applyNumberFormat="1" applyFont="1"/>
    <xf numFmtId="10" fontId="50" fillId="0" borderId="0" xfId="12" applyNumberFormat="1" applyFont="1" applyFill="1" applyBorder="1"/>
    <xf numFmtId="0" fontId="55" fillId="0" borderId="31" xfId="10" applyFont="1" applyBorder="1"/>
    <xf numFmtId="164" fontId="55" fillId="0" borderId="31" xfId="279" applyFont="1" applyBorder="1"/>
    <xf numFmtId="0" fontId="55" fillId="0" borderId="0" xfId="10" applyFont="1"/>
    <xf numFmtId="6" fontId="55" fillId="0" borderId="31" xfId="10" applyNumberFormat="1" applyFont="1" applyBorder="1"/>
    <xf numFmtId="172" fontId="55" fillId="0" borderId="31" xfId="279" applyNumberFormat="1" applyFont="1" applyBorder="1"/>
    <xf numFmtId="6" fontId="55" fillId="0" borderId="31" xfId="279" applyNumberFormat="1" applyFont="1" applyBorder="1"/>
    <xf numFmtId="6" fontId="55" fillId="0" borderId="0" xfId="279" applyNumberFormat="1" applyFont="1" applyBorder="1"/>
    <xf numFmtId="0" fontId="52" fillId="0" borderId="2" xfId="10" applyFont="1" applyBorder="1" applyAlignment="1">
      <alignment horizontal="center" vertical="center" wrapText="1"/>
    </xf>
    <xf numFmtId="10" fontId="51" fillId="0" borderId="2" xfId="12" applyNumberFormat="1" applyFont="1" applyFill="1" applyBorder="1"/>
    <xf numFmtId="174" fontId="50" fillId="0" borderId="4" xfId="11" applyNumberFormat="1" applyFont="1" applyBorder="1"/>
    <xf numFmtId="43" fontId="51" fillId="0" borderId="0" xfId="11" applyFont="1" applyFill="1"/>
    <xf numFmtId="172" fontId="51" fillId="0" borderId="4" xfId="279" applyNumberFormat="1" applyFont="1" applyFill="1" applyBorder="1"/>
    <xf numFmtId="43" fontId="50" fillId="5" borderId="31" xfId="10" applyNumberFormat="1" applyFont="1" applyFill="1" applyBorder="1"/>
    <xf numFmtId="6" fontId="55" fillId="5" borderId="31" xfId="279" applyNumberFormat="1" applyFont="1" applyFill="1" applyBorder="1"/>
    <xf numFmtId="10" fontId="51" fillId="4" borderId="2" xfId="12" quotePrefix="1" applyNumberFormat="1" applyFont="1" applyFill="1" applyBorder="1"/>
    <xf numFmtId="0" fontId="56" fillId="0" borderId="32" xfId="10" applyFont="1" applyBorder="1"/>
    <xf numFmtId="0" fontId="56" fillId="0" borderId="32" xfId="279" applyNumberFormat="1" applyFont="1" applyBorder="1"/>
    <xf numFmtId="0" fontId="56" fillId="0" borderId="0" xfId="10" applyFont="1"/>
    <xf numFmtId="0" fontId="56" fillId="0" borderId="0" xfId="279" applyNumberFormat="1" applyFont="1" applyBorder="1"/>
    <xf numFmtId="0" fontId="56" fillId="0" borderId="3" xfId="10" applyFont="1" applyBorder="1"/>
    <xf numFmtId="0" fontId="56" fillId="0" borderId="3" xfId="279" applyNumberFormat="1" applyFont="1" applyBorder="1"/>
    <xf numFmtId="6" fontId="55" fillId="0" borderId="0" xfId="279" quotePrefix="1" applyNumberFormat="1" applyFont="1" applyBorder="1"/>
    <xf numFmtId="2" fontId="50" fillId="50" borderId="31" xfId="10" applyNumberFormat="1" applyFont="1" applyFill="1" applyBorder="1"/>
    <xf numFmtId="0" fontId="55" fillId="5" borderId="31" xfId="10" applyFont="1" applyFill="1" applyBorder="1"/>
    <xf numFmtId="6" fontId="55" fillId="0" borderId="31" xfId="279" applyNumberFormat="1" applyFont="1" applyFill="1" applyBorder="1"/>
    <xf numFmtId="172" fontId="55" fillId="0" borderId="31" xfId="279" applyNumberFormat="1" applyFont="1" applyFill="1" applyBorder="1"/>
    <xf numFmtId="172" fontId="52" fillId="5" borderId="31" xfId="279" applyNumberFormat="1" applyFont="1" applyFill="1" applyBorder="1"/>
    <xf numFmtId="164" fontId="52" fillId="0" borderId="0" xfId="279" applyFont="1" applyFill="1" applyBorder="1"/>
    <xf numFmtId="166" fontId="50" fillId="0" borderId="0" xfId="11" applyNumberFormat="1" applyFont="1" applyFill="1"/>
    <xf numFmtId="172" fontId="51" fillId="0" borderId="0" xfId="279" applyNumberFormat="1" applyFont="1" applyFill="1" applyBorder="1" applyAlignment="1">
      <alignment horizontal="center" vertical="center" wrapText="1"/>
    </xf>
    <xf numFmtId="172" fontId="52" fillId="0" borderId="0" xfId="279" applyNumberFormat="1" applyFont="1" applyFill="1" applyBorder="1" applyAlignment="1">
      <alignment horizontal="center" vertical="center" wrapText="1"/>
    </xf>
    <xf numFmtId="0" fontId="50" fillId="0" borderId="0" xfId="10" applyFont="1" applyAlignment="1">
      <alignment horizontal="centerContinuous"/>
    </xf>
    <xf numFmtId="166" fontId="50" fillId="0" borderId="0" xfId="11" applyNumberFormat="1" applyFont="1" applyFill="1" applyAlignment="1">
      <alignment horizontal="centerContinuous"/>
    </xf>
    <xf numFmtId="10" fontId="52" fillId="0" borderId="2" xfId="12" applyNumberFormat="1" applyFont="1" applyFill="1" applyBorder="1"/>
    <xf numFmtId="172" fontId="50" fillId="0" borderId="0" xfId="10" applyNumberFormat="1" applyFont="1"/>
    <xf numFmtId="166" fontId="53" fillId="0" borderId="0" xfId="11" applyNumberFormat="1" applyFont="1" applyFill="1"/>
    <xf numFmtId="10" fontId="51" fillId="0" borderId="2" xfId="12" quotePrefix="1" applyNumberFormat="1" applyFont="1" applyFill="1" applyBorder="1"/>
    <xf numFmtId="166" fontId="53" fillId="0" borderId="0" xfId="11" applyNumberFormat="1" applyFont="1" applyFill="1" applyBorder="1"/>
    <xf numFmtId="10" fontId="51" fillId="0" borderId="0" xfId="12" applyNumberFormat="1" applyFont="1" applyFill="1" applyBorder="1"/>
    <xf numFmtId="173" fontId="50" fillId="0" borderId="4" xfId="279" applyNumberFormat="1" applyFont="1" applyBorder="1"/>
    <xf numFmtId="174" fontId="50" fillId="0" borderId="1" xfId="11" applyNumberFormat="1" applyFont="1" applyBorder="1"/>
    <xf numFmtId="0" fontId="1" fillId="0" borderId="0" xfId="297"/>
    <xf numFmtId="4" fontId="1" fillId="0" borderId="0" xfId="297" applyNumberFormat="1"/>
    <xf numFmtId="0" fontId="59" fillId="0" borderId="0" xfId="297" applyFont="1"/>
    <xf numFmtId="175" fontId="1" fillId="0" borderId="0" xfId="297" applyNumberFormat="1"/>
    <xf numFmtId="0" fontId="1" fillId="0" borderId="0" xfId="297" applyAlignment="1">
      <alignment horizontal="right"/>
    </xf>
    <xf numFmtId="2" fontId="1" fillId="0" borderId="0" xfId="297" applyNumberFormat="1"/>
    <xf numFmtId="176" fontId="59" fillId="0" borderId="0" xfId="297" applyNumberFormat="1" applyFont="1"/>
    <xf numFmtId="10" fontId="59" fillId="0" borderId="0" xfId="297" applyNumberFormat="1" applyFont="1"/>
    <xf numFmtId="177" fontId="59" fillId="0" borderId="0" xfId="297" applyNumberFormat="1" applyFont="1"/>
    <xf numFmtId="3" fontId="59" fillId="0" borderId="0" xfId="297" applyNumberFormat="1" applyFont="1"/>
    <xf numFmtId="4" fontId="1" fillId="5" borderId="0" xfId="297" applyNumberFormat="1" applyFill="1"/>
    <xf numFmtId="0" fontId="1" fillId="0" borderId="0" xfId="297" applyAlignment="1">
      <alignment horizontal="center"/>
    </xf>
    <xf numFmtId="10" fontId="0" fillId="0" borderId="0" xfId="298" applyNumberFormat="1" applyFont="1"/>
    <xf numFmtId="39" fontId="1" fillId="0" borderId="0" xfId="297" applyNumberFormat="1"/>
    <xf numFmtId="43" fontId="1" fillId="0" borderId="0" xfId="297" applyNumberFormat="1"/>
    <xf numFmtId="178" fontId="0" fillId="0" borderId="0" xfId="299" applyNumberFormat="1" applyFont="1" applyFill="1"/>
    <xf numFmtId="178" fontId="1" fillId="0" borderId="0" xfId="297" applyNumberFormat="1"/>
    <xf numFmtId="10" fontId="1" fillId="0" borderId="0" xfId="297" applyNumberFormat="1"/>
    <xf numFmtId="179" fontId="1" fillId="0" borderId="0" xfId="297" applyNumberFormat="1"/>
    <xf numFmtId="0" fontId="11" fillId="0" borderId="0" xfId="297" applyFont="1"/>
    <xf numFmtId="3" fontId="1" fillId="0" borderId="0" xfId="297" applyNumberFormat="1"/>
    <xf numFmtId="37" fontId="1" fillId="0" borderId="0" xfId="297" applyNumberFormat="1"/>
    <xf numFmtId="178" fontId="0" fillId="0" borderId="0" xfId="299" applyNumberFormat="1" applyFont="1"/>
    <xf numFmtId="39" fontId="0" fillId="0" borderId="0" xfId="299" applyNumberFormat="1" applyFont="1" applyAlignment="1">
      <alignment horizontal="center"/>
    </xf>
    <xf numFmtId="43" fontId="1" fillId="0" borderId="0" xfId="297" applyNumberFormat="1" applyAlignment="1">
      <alignment horizontal="center"/>
    </xf>
    <xf numFmtId="166" fontId="1" fillId="0" borderId="0" xfId="297" applyNumberFormat="1" applyAlignment="1">
      <alignment horizontal="center"/>
    </xf>
    <xf numFmtId="3" fontId="1" fillId="0" borderId="0" xfId="297" applyNumberFormat="1" applyAlignment="1">
      <alignment horizontal="center"/>
    </xf>
    <xf numFmtId="0" fontId="11" fillId="0" borderId="0" xfId="297" applyFont="1" applyAlignment="1">
      <alignment horizontal="center"/>
    </xf>
    <xf numFmtId="0" fontId="60" fillId="0" borderId="0" xfId="297" applyFont="1"/>
    <xf numFmtId="10" fontId="1" fillId="0" borderId="0" xfId="297" applyNumberFormat="1" applyAlignment="1">
      <alignment horizontal="center"/>
    </xf>
    <xf numFmtId="0" fontId="1" fillId="0" borderId="0" xfId="297" applyAlignment="1">
      <alignment vertical="top"/>
    </xf>
    <xf numFmtId="0" fontId="57" fillId="0" borderId="0" xfId="297" applyFont="1"/>
    <xf numFmtId="0" fontId="61" fillId="0" borderId="0" xfId="297" applyFont="1" applyAlignment="1">
      <alignment vertical="center"/>
    </xf>
    <xf numFmtId="0" fontId="59" fillId="51" borderId="0" xfId="297" applyFont="1" applyFill="1"/>
    <xf numFmtId="0" fontId="61" fillId="51" borderId="0" xfId="297" applyFont="1" applyFill="1" applyAlignment="1">
      <alignment horizontal="left" vertical="center" indent="4"/>
    </xf>
    <xf numFmtId="0" fontId="63" fillId="0" borderId="0" xfId="297" applyFont="1" applyAlignment="1">
      <alignment vertical="center"/>
    </xf>
    <xf numFmtId="0" fontId="61" fillId="51" borderId="0" xfId="297" applyFont="1" applyFill="1" applyAlignment="1">
      <alignment horizontal="left" vertical="center" indent="7"/>
    </xf>
    <xf numFmtId="0" fontId="61" fillId="51" borderId="0" xfId="297" applyFont="1" applyFill="1" applyAlignment="1">
      <alignment vertical="center"/>
    </xf>
    <xf numFmtId="0" fontId="59" fillId="51" borderId="0" xfId="297" applyFont="1" applyFill="1" applyAlignment="1">
      <alignment vertical="center" wrapText="1"/>
    </xf>
    <xf numFmtId="0" fontId="61" fillId="51" borderId="34" xfId="297" applyFont="1" applyFill="1" applyBorder="1" applyAlignment="1">
      <alignment horizontal="right" vertical="center"/>
    </xf>
    <xf numFmtId="0" fontId="61" fillId="51" borderId="35" xfId="297" applyFont="1" applyFill="1" applyBorder="1" applyAlignment="1">
      <alignment horizontal="center" vertical="center"/>
    </xf>
    <xf numFmtId="0" fontId="61" fillId="51" borderId="36" xfId="297" applyFont="1" applyFill="1" applyBorder="1" applyAlignment="1">
      <alignment horizontal="center" vertical="center"/>
    </xf>
    <xf numFmtId="0" fontId="59" fillId="51" borderId="35" xfId="297" applyFont="1" applyFill="1" applyBorder="1" applyAlignment="1">
      <alignment vertical="center"/>
    </xf>
    <xf numFmtId="0" fontId="61" fillId="51" borderId="37" xfId="297" applyFont="1" applyFill="1" applyBorder="1" applyAlignment="1">
      <alignment horizontal="center" vertical="center"/>
    </xf>
    <xf numFmtId="0" fontId="61" fillId="51" borderId="38" xfId="297" applyFont="1" applyFill="1" applyBorder="1" applyAlignment="1">
      <alignment vertical="center"/>
    </xf>
    <xf numFmtId="0" fontId="61" fillId="51" borderId="39" xfId="297" applyFont="1" applyFill="1" applyBorder="1" applyAlignment="1">
      <alignment vertical="center"/>
    </xf>
    <xf numFmtId="0" fontId="61" fillId="51" borderId="40" xfId="297" applyFont="1" applyFill="1" applyBorder="1" applyAlignment="1">
      <alignment vertical="center"/>
    </xf>
    <xf numFmtId="0" fontId="59" fillId="51" borderId="0" xfId="297" applyFont="1" applyFill="1" applyAlignment="1">
      <alignment vertical="center"/>
    </xf>
    <xf numFmtId="0" fontId="65" fillId="51" borderId="0" xfId="297" applyFont="1" applyFill="1" applyAlignment="1">
      <alignment horizontal="left" vertical="center" indent="9"/>
    </xf>
    <xf numFmtId="0" fontId="66" fillId="51" borderId="0" xfId="297" applyFont="1" applyFill="1" applyAlignment="1">
      <alignment horizontal="left" vertical="center" indent="12"/>
    </xf>
    <xf numFmtId="0" fontId="67" fillId="51" borderId="0" xfId="297" applyFont="1" applyFill="1" applyAlignment="1">
      <alignment horizontal="left" vertical="center" indent="12"/>
    </xf>
    <xf numFmtId="10" fontId="61" fillId="51" borderId="34" xfId="297" applyNumberFormat="1" applyFont="1" applyFill="1" applyBorder="1" applyAlignment="1">
      <alignment horizontal="right" vertical="center" wrapText="1"/>
    </xf>
    <xf numFmtId="0" fontId="61" fillId="51" borderId="35" xfId="297" applyFont="1" applyFill="1" applyBorder="1" applyAlignment="1">
      <alignment vertical="center" wrapText="1"/>
    </xf>
    <xf numFmtId="0" fontId="61" fillId="51" borderId="34" xfId="297" applyFont="1" applyFill="1" applyBorder="1" applyAlignment="1">
      <alignment horizontal="right" vertical="center" wrapText="1"/>
    </xf>
    <xf numFmtId="3" fontId="61" fillId="51" borderId="34" xfId="297" applyNumberFormat="1" applyFont="1" applyFill="1" applyBorder="1" applyAlignment="1">
      <alignment horizontal="right" vertical="center" wrapText="1"/>
    </xf>
    <xf numFmtId="0" fontId="61" fillId="51" borderId="38" xfId="297" applyFont="1" applyFill="1" applyBorder="1" applyAlignment="1">
      <alignment horizontal="right" vertical="center" wrapText="1"/>
    </xf>
    <xf numFmtId="0" fontId="61" fillId="51" borderId="41" xfId="297" applyFont="1" applyFill="1" applyBorder="1" applyAlignment="1">
      <alignment vertical="center" wrapText="1"/>
    </xf>
    <xf numFmtId="0" fontId="70" fillId="51" borderId="0" xfId="297" applyFont="1" applyFill="1"/>
    <xf numFmtId="0" fontId="71" fillId="51" borderId="0" xfId="297" applyFont="1" applyFill="1"/>
    <xf numFmtId="0" fontId="58" fillId="0" borderId="0" xfId="297" applyFont="1"/>
    <xf numFmtId="180" fontId="1" fillId="0" borderId="0" xfId="297" applyNumberFormat="1"/>
    <xf numFmtId="9" fontId="72" fillId="0" borderId="0" xfId="297" applyNumberFormat="1" applyFont="1"/>
    <xf numFmtId="14" fontId="1" fillId="0" borderId="0" xfId="297" applyNumberFormat="1"/>
    <xf numFmtId="0" fontId="72" fillId="0" borderId="0" xfId="297" applyFont="1"/>
    <xf numFmtId="3" fontId="72" fillId="0" borderId="0" xfId="297" applyNumberFormat="1" applyFont="1"/>
    <xf numFmtId="14" fontId="72" fillId="0" borderId="0" xfId="297" applyNumberFormat="1" applyFont="1"/>
    <xf numFmtId="0" fontId="1" fillId="0" borderId="31" xfId="297" applyBorder="1"/>
    <xf numFmtId="10" fontId="72" fillId="0" borderId="0" xfId="298" applyNumberFormat="1" applyFont="1"/>
    <xf numFmtId="0" fontId="61" fillId="51" borderId="37" xfId="297" applyFont="1" applyFill="1" applyBorder="1" applyAlignment="1">
      <alignment horizontal="center" vertical="center"/>
    </xf>
    <xf numFmtId="0" fontId="61" fillId="51" borderId="36" xfId="297" applyFont="1" applyFill="1" applyBorder="1" applyAlignment="1">
      <alignment horizontal="center" vertical="center"/>
    </xf>
  </cellXfs>
  <cellStyles count="300">
    <cellStyle name="=C:\WINDOWS\SYSTEM32\COMMAND.COM" xfId="16" xr:uid="{87721F95-3F91-40C2-BA1F-B4A20FF7EFE8}"/>
    <cellStyle name="=C:\WINDOWS\SYSTEM32\COMMAND.COM 2" xfId="118" xr:uid="{D2E7F20E-F21D-4119-A854-AF1EB4935531}"/>
    <cellStyle name="20% - Accent1 2" xfId="18" xr:uid="{41A98DC6-7017-48D6-A0E1-EC9FC88EB7D5}"/>
    <cellStyle name="20% - Accent1 2 2" xfId="15" xr:uid="{A66980E5-214B-4F96-8487-889D9161054F}"/>
    <cellStyle name="20% - Accent1 3" xfId="17" xr:uid="{8C2ED325-F09F-4F65-8A16-0D8AA4DB605D}"/>
    <cellStyle name="20% - Accent2 2" xfId="20" xr:uid="{43ABE8E7-0CA5-475E-B00E-EB98B3E17A6F}"/>
    <cellStyle name="20% - Accent2 2 2" xfId="76" xr:uid="{DCA2BF87-8C39-4223-A468-AC174505727A}"/>
    <cellStyle name="20% - Accent2 3" xfId="19" xr:uid="{CD89F114-E819-48A2-A170-C34F46B4EAE6}"/>
    <cellStyle name="20% - Accent3 2" xfId="22" xr:uid="{B358A37A-F56B-45F7-83D3-9125A0E14B64}"/>
    <cellStyle name="20% - Accent3 2 2" xfId="121" xr:uid="{2B7B2DE9-F226-433F-88D0-3AB549C6813D}"/>
    <cellStyle name="20% - Accent3 3" xfId="21" xr:uid="{55CF44CF-084F-4D58-81AE-9F92B24C0846}"/>
    <cellStyle name="20% - Accent4 2" xfId="24" xr:uid="{57331568-D783-48F5-A213-656D6E7EFA0B}"/>
    <cellStyle name="20% - Accent4 2 2" xfId="152" xr:uid="{DA61E192-CA75-4D22-A87A-1CE3B9052DAE}"/>
    <cellStyle name="20% - Accent4 3" xfId="23" xr:uid="{87AF6509-3FC1-4877-88DA-452289F51944}"/>
    <cellStyle name="20% - Accent5 2" xfId="26" xr:uid="{6DA48A10-A43D-4270-8153-E84786124D6E}"/>
    <cellStyle name="20% - Accent5 2 2" xfId="153" xr:uid="{862A12F1-0985-4B98-9DE4-2DAD404226CD}"/>
    <cellStyle name="20% - Accent5 3" xfId="25" xr:uid="{849DADA1-4EEC-4091-A1AF-AE3562081193}"/>
    <cellStyle name="20% - Accent6 2" xfId="28" xr:uid="{DA5712B5-88A9-4E87-8AB8-0F17E7432BD7}"/>
    <cellStyle name="20% - Accent6 2 2" xfId="154" xr:uid="{9B46283F-E8A0-4837-8F31-CE5D527EE1C1}"/>
    <cellStyle name="20% - Accent6 3" xfId="27" xr:uid="{65EE5A99-841C-4DB2-990A-60E530ABD3A3}"/>
    <cellStyle name="40% - Accent1 2" xfId="30" xr:uid="{2BF80A3A-522C-43B4-A075-AC023507ED2C}"/>
    <cellStyle name="40% - Accent1 2 2" xfId="155" xr:uid="{2E907594-2509-4952-8179-7EED2B65EE4D}"/>
    <cellStyle name="40% - Accent1 3" xfId="29" xr:uid="{0FF9D66A-DF3A-4661-8374-9EB7FB53E5D4}"/>
    <cellStyle name="40% - Accent2 2" xfId="32" xr:uid="{9BA948FA-EDC2-49E3-8324-E6C6387FF6C7}"/>
    <cellStyle name="40% - Accent2 2 2" xfId="156" xr:uid="{EFE7F696-5E0E-4721-A51C-E1732FCE004C}"/>
    <cellStyle name="40% - Accent2 3" xfId="31" xr:uid="{D2FFD967-5CD0-4C8E-A182-D0D6C49EB662}"/>
    <cellStyle name="40% - Accent3 2" xfId="34" xr:uid="{08181CE8-916B-4B2D-87B0-5E3DB444D5AC}"/>
    <cellStyle name="40% - Accent3 2 2" xfId="157" xr:uid="{5F3C319E-6AB7-4EF0-960B-52E8D7B5B676}"/>
    <cellStyle name="40% - Accent3 3" xfId="33" xr:uid="{DA65F032-B2E2-4AB1-ADDA-015DA1DC480A}"/>
    <cellStyle name="40% - Accent4 2" xfId="36" xr:uid="{6C2FFDA1-2C2B-4F76-86DA-DC805F926502}"/>
    <cellStyle name="40% - Accent4 2 2" xfId="158" xr:uid="{39093C3B-7916-4006-B079-F1184BBBFDC2}"/>
    <cellStyle name="40% - Accent4 3" xfId="35" xr:uid="{93BFE1FF-EC32-4C64-A755-B111C0C31EC7}"/>
    <cellStyle name="40% - Accent5 2" xfId="38" xr:uid="{CD76FB23-91F1-44D7-B0CA-42ADD2A4794E}"/>
    <cellStyle name="40% - Accent5 2 2" xfId="159" xr:uid="{600A0D30-02E2-4CAF-9E0D-6BB0A4277837}"/>
    <cellStyle name="40% - Accent5 3" xfId="37" xr:uid="{E5D88009-6A77-4F9C-8997-CC59956BD7A5}"/>
    <cellStyle name="40% - Accent6 2" xfId="40" xr:uid="{DFC5621B-6939-40F1-9FEA-57D421D3749C}"/>
    <cellStyle name="40% - Accent6 2 2" xfId="160" xr:uid="{056D25C0-31C0-403D-A5F9-34DE2A140418}"/>
    <cellStyle name="40% - Accent6 3" xfId="39" xr:uid="{AA014FFE-20F7-495F-A389-DA01B74CAA1F}"/>
    <cellStyle name="60% - Accent1 2" xfId="42" xr:uid="{57BB6C6C-358E-49DB-9C65-C6FA22A83631}"/>
    <cellStyle name="60% - Accent1 2 2" xfId="161" xr:uid="{73B89A2E-326A-416F-ABC8-1694868CF346}"/>
    <cellStyle name="60% - Accent1 3" xfId="41" xr:uid="{39AA8A3B-CEF6-473B-B04C-F3EFC2B3707B}"/>
    <cellStyle name="60% - Accent2 2" xfId="44" xr:uid="{3B02922A-AA88-4D3D-9578-BC091CA56FC9}"/>
    <cellStyle name="60% - Accent2 2 2" xfId="162" xr:uid="{92EDE17B-5FA9-4FBD-B136-B5F6B2DFB00E}"/>
    <cellStyle name="60% - Accent2 3" xfId="43" xr:uid="{64E82211-C4B3-4B1D-8CAF-EE06E82F4FD9}"/>
    <cellStyle name="60% - Accent3 2" xfId="46" xr:uid="{CC0C9C33-B28E-45BC-9632-ADE6081FC685}"/>
    <cellStyle name="60% - Accent3 2 2" xfId="163" xr:uid="{D3DAEF29-2BED-4E7A-BAE3-2D6101498AC7}"/>
    <cellStyle name="60% - Accent3 3" xfId="45" xr:uid="{DF898AE2-D801-4500-AD7D-C9CC60A2924E}"/>
    <cellStyle name="60% - Accent4 2" xfId="48" xr:uid="{967F0126-F47B-4334-9A34-7594CE98D3B8}"/>
    <cellStyle name="60% - Accent4 2 2" xfId="164" xr:uid="{DA612208-2628-44C3-8100-8B64D0475C2D}"/>
    <cellStyle name="60% - Accent4 3" xfId="47" xr:uid="{3AA0148A-549D-413D-9FA6-F0E2B8BB5BF9}"/>
    <cellStyle name="60% - Accent5 2" xfId="50" xr:uid="{ADE4839D-1498-40E4-85ED-773B931426E0}"/>
    <cellStyle name="60% - Accent5 2 2" xfId="165" xr:uid="{BF49BEB0-B21A-4EC1-AA76-D623839EF455}"/>
    <cellStyle name="60% - Accent5 3" xfId="49" xr:uid="{704565FB-CDB0-49B2-95BA-07F0895D05A4}"/>
    <cellStyle name="60% - Accent6 2" xfId="52" xr:uid="{752428EF-EE9C-4C7C-8E10-5D50B103CA9A}"/>
    <cellStyle name="60% - Accent6 2 2" xfId="166" xr:uid="{31C66127-7A3C-424F-BD64-055F52365C44}"/>
    <cellStyle name="60% - Accent6 3" xfId="51" xr:uid="{B8E657D1-0CF2-493E-942F-B3F19A8172C9}"/>
    <cellStyle name="Accent1 2" xfId="54" xr:uid="{D6412FCA-5E68-491D-9E0A-B71ABD4DDFA3}"/>
    <cellStyle name="Accent1 2 2" xfId="167" xr:uid="{CDC34BC0-2E48-46FD-A103-4AB52EC97404}"/>
    <cellStyle name="Accent1 3" xfId="53" xr:uid="{432A3282-18A9-4898-ACC2-4433E3BAE4BD}"/>
    <cellStyle name="Accent2 2" xfId="56" xr:uid="{05A4663C-C6BF-4A5B-AC04-BE3B7C8C1D53}"/>
    <cellStyle name="Accent2 2 2" xfId="168" xr:uid="{DBE08F3D-FF0A-43F8-956F-8924A2A34A48}"/>
    <cellStyle name="Accent2 3" xfId="55" xr:uid="{EC0604FC-1D95-4959-A6EE-B6F566FCA0A2}"/>
    <cellStyle name="Accent3 2" xfId="58" xr:uid="{5C3D0657-CF4C-4763-8857-9FA426F95816}"/>
    <cellStyle name="Accent3 2 2" xfId="169" xr:uid="{7BB9BFD9-FA11-4CFB-8FF5-3F9D9C486AB4}"/>
    <cellStyle name="Accent3 3" xfId="57" xr:uid="{AFA4C60B-F087-48A7-93B7-E66E061980BD}"/>
    <cellStyle name="Accent4 2" xfId="60" xr:uid="{27F87171-BA81-4F08-A4C0-5CACD49CE52F}"/>
    <cellStyle name="Accent4 2 2" xfId="170" xr:uid="{A3FC65FD-7DAC-4E2B-8556-976CDA0EA186}"/>
    <cellStyle name="Accent4 3" xfId="59" xr:uid="{E7ABCC83-CFF8-4107-8A2C-A95BF009AFFE}"/>
    <cellStyle name="Accent5 2" xfId="62" xr:uid="{37AA17F6-88F6-4C17-9CAF-395FD035B1F8}"/>
    <cellStyle name="Accent5 2 2" xfId="171" xr:uid="{89798FD9-6488-4851-B172-E9A2960ABC3E}"/>
    <cellStyle name="Accent5 3" xfId="61" xr:uid="{45EFDC2C-946A-48D6-A720-C863C3212C42}"/>
    <cellStyle name="Accent6 2" xfId="64" xr:uid="{ED2FD769-44CC-4C30-9853-F07BB991CB49}"/>
    <cellStyle name="Accent6 2 2" xfId="172" xr:uid="{DCF08D18-4D41-493C-A7F4-A2AB095388C5}"/>
    <cellStyle name="Accent6 3" xfId="63" xr:uid="{36C7A661-F84A-4849-B78A-EDD3785AB9EF}"/>
    <cellStyle name="Bad 2" xfId="66" xr:uid="{937C4397-BDB0-4DB9-844D-0BABC07F65F5}"/>
    <cellStyle name="Bad 2 2" xfId="173" xr:uid="{4C08AA66-6C49-45A6-8DB8-E06BF9392DBD}"/>
    <cellStyle name="Bad 3" xfId="65" xr:uid="{EAD72A7B-81E8-463A-A514-347FE8552B83}"/>
    <cellStyle name="Calculation 2" xfId="68" xr:uid="{6B776536-EE46-4436-A6CF-ABE37A4F0098}"/>
    <cellStyle name="Calculation 2 2" xfId="120" xr:uid="{BB0F2512-D019-4C8C-B055-6823465BA1F5}"/>
    <cellStyle name="Calculation 2 2 2" xfId="175" xr:uid="{ECCDFBE8-AFCD-4BBF-AF56-4EAE21EA99A2}"/>
    <cellStyle name="Calculation 2 2 3" xfId="255" xr:uid="{B0EB54B5-FD5B-4744-963C-25A1084E97B2}"/>
    <cellStyle name="Calculation 2 3" xfId="142" xr:uid="{5B903C51-25CB-4C87-B102-652B3691DAB4}"/>
    <cellStyle name="Calculation 2 3 2" xfId="176" xr:uid="{91580A05-A2F3-4973-BADC-C8622DAC636E}"/>
    <cellStyle name="Calculation 2 3 3" xfId="265" xr:uid="{FD521C44-8711-41EF-A8AE-F93D40C1548B}"/>
    <cellStyle name="Calculation 2 4" xfId="174" xr:uid="{7D118640-4CC7-4180-A2DA-9588649026A9}"/>
    <cellStyle name="Calculation 2 5" xfId="244" xr:uid="{5896C02D-EFC3-4219-A513-6A3626282A59}"/>
    <cellStyle name="Calculation 3" xfId="119" xr:uid="{E7FCA5A5-F98E-41B1-8C39-2261BEE633D2}"/>
    <cellStyle name="Calculation 3 2" xfId="177" xr:uid="{265F7722-35BE-4473-A0CB-140B72A8A1B3}"/>
    <cellStyle name="Calculation 3 3" xfId="254" xr:uid="{32D49161-A99E-431A-A68B-C80A81BDE779}"/>
    <cellStyle name="Calculation 4" xfId="141" xr:uid="{70ECD6FD-E5D9-4A50-A6D5-75707AA44E5C}"/>
    <cellStyle name="Calculation 4 2" xfId="178" xr:uid="{AED05ADB-C79D-4792-A2A3-6504A8448974}"/>
    <cellStyle name="Calculation 4 3" xfId="264" xr:uid="{8F770936-45D9-4867-B3CD-1407A643B0AC}"/>
    <cellStyle name="Calculation 5" xfId="67" xr:uid="{864A80BD-2233-4696-BB6C-B5DBA36CB446}"/>
    <cellStyle name="Calculation 6" xfId="243" xr:uid="{03586FBA-FD4C-4DD6-AA33-8F00C929F684}"/>
    <cellStyle name="Check Cell 2" xfId="70" xr:uid="{4795D76C-EA91-4398-9ABE-182B3B18F3B4}"/>
    <cellStyle name="Check Cell 2 2" xfId="179" xr:uid="{FC388082-4BDC-4B74-BC9F-FAA935A5E66A}"/>
    <cellStyle name="Check Cell 3" xfId="69" xr:uid="{6AB8662C-28AA-4341-86BE-DD6021B6AE51}"/>
    <cellStyle name="Comma 10" xfId="291" xr:uid="{8994D89E-87B1-450D-830F-A917BC4AD862}"/>
    <cellStyle name="Comma 11" xfId="299" xr:uid="{CDE35ACA-6AEC-4E3A-9D70-C36BDDF3BE84}"/>
    <cellStyle name="Comma 2" xfId="9" xr:uid="{8580F7E8-9B14-45C7-BEF2-958B5379C69C}"/>
    <cellStyle name="Comma 2 2" xfId="71" xr:uid="{F430807E-3D0B-41B6-B475-1A0B474D85C3}"/>
    <cellStyle name="Comma 2 2 2" xfId="289" xr:uid="{B34F9034-B8E3-4EAA-BC43-05C6D42DCE0B}"/>
    <cellStyle name="Comma 2 3" xfId="180" xr:uid="{F6F732BD-2EFE-409C-9B81-E5F899572461}"/>
    <cellStyle name="Comma 2 4" xfId="283" xr:uid="{4A4D2D85-31A5-44CC-BC4E-ECC17A1A4FAC}"/>
    <cellStyle name="Comma 2 5" xfId="296" xr:uid="{1BFC1865-C653-D64C-A40C-B4416F23887B}"/>
    <cellStyle name="Comma 3" xfId="72" xr:uid="{5FB302A7-B743-40C1-AAC5-63569B1C680D}"/>
    <cellStyle name="Comma 3 2" xfId="13" xr:uid="{4E4B5526-BE24-407B-A33E-22E342704A5E}"/>
    <cellStyle name="Comma 3 2 2" xfId="182" xr:uid="{A89F330E-278C-4E04-A456-537B1E6726C3}"/>
    <cellStyle name="Comma 3 2 3" xfId="284" xr:uid="{374706D3-E84E-4CA2-B05B-D3679596BB22}"/>
    <cellStyle name="Comma 3 3" xfId="181" xr:uid="{744A55A0-3A7F-4A88-AB7F-90EC6DB6F4EA}"/>
    <cellStyle name="Comma 3 4" xfId="285" xr:uid="{96762B56-065A-4380-BBD0-7DCF77281E26}"/>
    <cellStyle name="Comma 4" xfId="73" xr:uid="{90975F60-EE31-43D4-A676-4F3250D194C9}"/>
    <cellStyle name="Comma 4 2" xfId="122" xr:uid="{F50C9028-C78F-4763-8960-D292D63152C6}"/>
    <cellStyle name="Comma 4 2 2" xfId="184" xr:uid="{D8E9B35B-C7A2-4196-80BD-1AFA90D706BB}"/>
    <cellStyle name="Comma 4 3" xfId="183" xr:uid="{135F89E0-F7A3-4586-B3FD-699C93CF535C}"/>
    <cellStyle name="Comma 5" xfId="74" xr:uid="{EEFB8C78-5968-4455-87C4-B499EDC8BE38}"/>
    <cellStyle name="Comma 5 2" xfId="123" xr:uid="{A2A05BA9-D172-42D9-A4F5-B86E56991044}"/>
    <cellStyle name="Comma 5 2 2" xfId="186" xr:uid="{15A3A994-3951-4E52-A6F1-5DDCB64E38E3}"/>
    <cellStyle name="Comma 5 3" xfId="185" xr:uid="{4AAB62D9-C9CF-4A87-AAA6-7004ACAFDCF0}"/>
    <cellStyle name="Comma 6" xfId="75" xr:uid="{3A21E139-B239-474E-9212-D65997604896}"/>
    <cellStyle name="Comma 6 2" xfId="124" xr:uid="{5A8B880A-95F2-4B2F-B68F-8F6ADF6E3B2B}"/>
    <cellStyle name="Comma 6 2 2" xfId="188" xr:uid="{3C3B3AC7-6633-45CD-B562-65142094418D}"/>
    <cellStyle name="Comma 6 3" xfId="187" xr:uid="{95E13D3F-E5A1-4D6A-9389-D34923AC5620}"/>
    <cellStyle name="Comma 7" xfId="4" xr:uid="{53CD74A4-1E3D-4853-92E4-DCE364FFF0C6}"/>
    <cellStyle name="Comma 7 2" xfId="189" xr:uid="{8697D54A-7BD0-4C04-AB67-5B7CDE2F144B}"/>
    <cellStyle name="Comma 7 3" xfId="277" xr:uid="{3A7684FE-1345-494C-873E-065E9280E5AF}"/>
    <cellStyle name="Comma 8" xfId="11" xr:uid="{D6A1D7E5-8E10-4F00-9B14-E7866A12E3D2}"/>
    <cellStyle name="Comma 8 2" xfId="241" xr:uid="{125E1D44-5B35-4243-AA7B-68023DBBE2A7}"/>
    <cellStyle name="Comma 9" xfId="278" xr:uid="{4AC53C46-6AF3-4265-B914-B360CA9D85DB}"/>
    <cellStyle name="Currency 2" xfId="7" xr:uid="{AE7C4713-7B5D-4582-A96B-ED28DA994FB6}"/>
    <cellStyle name="Currency 2 2" xfId="125" xr:uid="{F8708ED4-E7A5-4DD3-8989-06D30ED35441}"/>
    <cellStyle name="Currency 2 2 2" xfId="191" xr:uid="{7818D03E-F15E-4D58-B869-D2162F70081B}"/>
    <cellStyle name="Currency 2 2 3" xfId="287" xr:uid="{10B48931-1CEF-4FED-9683-62609B7473CC}"/>
    <cellStyle name="Currency 2 3" xfId="77" xr:uid="{25D08B16-994C-4BD6-8C7A-6756481E84DB}"/>
    <cellStyle name="Currency 2 4" xfId="190" xr:uid="{3A9477D2-F98C-44F4-8E7D-79663B9D3319}"/>
    <cellStyle name="Currency 2 5" xfId="281" xr:uid="{0D4E401A-B429-4847-90A4-B31AB630E0BF}"/>
    <cellStyle name="Currency 3" xfId="78" xr:uid="{4240C526-E098-45A1-AAAF-BDCF55F22FF0}"/>
    <cellStyle name="Currency 3 2" xfId="126" xr:uid="{B20B0129-CE6F-4284-BC92-4FE81AB76E45}"/>
    <cellStyle name="Currency 3 2 2" xfId="193" xr:uid="{9E8C9DBD-30E8-4920-AD22-ADC2811AE13A}"/>
    <cellStyle name="Currency 3 3" xfId="192" xr:uid="{F6406C58-9EB3-4404-90F4-80F93B263A2F}"/>
    <cellStyle name="Currency 4" xfId="79" xr:uid="{4C96645A-5094-453B-AB37-12FC52035576}"/>
    <cellStyle name="Currency 4 2" xfId="127" xr:uid="{8F80C52C-8720-4233-9D0E-621E2A12F30B}"/>
    <cellStyle name="Currency 4 2 2" xfId="195" xr:uid="{049F4EAE-656D-4745-B802-6125172FFED8}"/>
    <cellStyle name="Currency 4 3" xfId="194" xr:uid="{8D81FAD8-D77B-4F33-AE7B-723BB6C32F28}"/>
    <cellStyle name="Currency 5" xfId="132" xr:uid="{07B6F9FA-DDC8-4A8F-8FE5-0D0CBAFCDD9D}"/>
    <cellStyle name="Currency 5 2" xfId="196" xr:uid="{DF0F1710-F0CD-494F-9902-6F1BBD84647E}"/>
    <cellStyle name="Currency 6" xfId="279" xr:uid="{30A62370-E8C4-43DC-A7EA-107D5793B792}"/>
    <cellStyle name="Explanatory Text 2" xfId="81" xr:uid="{4E1033FF-1A28-40B0-BED7-3AB67EAED3EF}"/>
    <cellStyle name="Explanatory Text 2 2" xfId="197" xr:uid="{CA1C54E7-6CA5-499E-8262-ED80226F3149}"/>
    <cellStyle name="Explanatory Text 3" xfId="80" xr:uid="{446608F6-0819-43EA-81CB-090C0EB8E0A9}"/>
    <cellStyle name="Good 2" xfId="83" xr:uid="{1269C4A4-BBF7-4A95-A9B9-6F8F20482B38}"/>
    <cellStyle name="Good 2 2" xfId="198" xr:uid="{ED68E2CA-BCFB-46C2-A1AD-05B69C20E504}"/>
    <cellStyle name="Good 3" xfId="82" xr:uid="{5F20301A-FD69-4E23-A569-4907CE006E4C}"/>
    <cellStyle name="Heading 1 2" xfId="85" xr:uid="{93986250-D2B6-4BA8-96E0-DF3C1E0C52E7}"/>
    <cellStyle name="Heading 1 2 2" xfId="199" xr:uid="{315ACA57-1123-4292-B210-A7EB467FEFEE}"/>
    <cellStyle name="Heading 1 3" xfId="84" xr:uid="{EBC645CC-53A8-49F4-AE6C-F8D387034B27}"/>
    <cellStyle name="Heading 2 2" xfId="87" xr:uid="{3C283348-87C3-4FBA-9CBA-8FF38D960997}"/>
    <cellStyle name="Heading 2 2 2" xfId="200" xr:uid="{319FF8D7-B3A0-4B75-BB4C-FB854BBACFE6}"/>
    <cellStyle name="Heading 2 3" xfId="86" xr:uid="{06567BAB-23A6-4558-A4E3-C1FF1DCA5BB0}"/>
    <cellStyle name="Heading 3 2" xfId="89" xr:uid="{519D8111-2BEA-4F9A-B253-4D2EB5705084}"/>
    <cellStyle name="Heading 3 2 2" xfId="201" xr:uid="{C91B342E-4747-4218-A00C-C3B4947E4B38}"/>
    <cellStyle name="Heading 3 3" xfId="88" xr:uid="{256912D7-FF63-4C19-AA14-CD57FA44F736}"/>
    <cellStyle name="Heading 4 2" xfId="91" xr:uid="{8020B689-24A9-4016-8128-92F063ADC904}"/>
    <cellStyle name="Heading 4 2 2" xfId="202" xr:uid="{8DFC4004-CA4B-4FC1-8CC8-E742562771D0}"/>
    <cellStyle name="Heading 4 3" xfId="90" xr:uid="{6510E89B-E4D3-478F-A076-6738C21817D1}"/>
    <cellStyle name="Input 2" xfId="93" xr:uid="{9D3EFC8E-23BD-4C43-A87C-E93E8041659C}"/>
    <cellStyle name="Input 2 2" xfId="134" xr:uid="{B26B50A1-EEF4-47E0-A1CE-5EC1297B8140}"/>
    <cellStyle name="Input 2 2 2" xfId="204" xr:uid="{B334180B-77CA-4440-A78B-CB7D1660B413}"/>
    <cellStyle name="Input 2 2 3" xfId="257" xr:uid="{CADE2289-2FD4-4916-A5CA-519067F46425}"/>
    <cellStyle name="Input 2 3" xfId="144" xr:uid="{560DC5B7-C10D-489A-A0FA-72C623AD6B7C}"/>
    <cellStyle name="Input 2 3 2" xfId="205" xr:uid="{B768D7F4-C97F-4728-B83D-1790A07585CC}"/>
    <cellStyle name="Input 2 3 3" xfId="267" xr:uid="{5458C06D-86A5-476B-B6BD-1C7FF58F1B09}"/>
    <cellStyle name="Input 2 4" xfId="203" xr:uid="{62D971C4-36F3-4E4F-A8CC-49AE03026530}"/>
    <cellStyle name="Input 2 5" xfId="246" xr:uid="{10769FD6-7558-4670-989A-C9409B25DF43}"/>
    <cellStyle name="Input 3" xfId="128" xr:uid="{7BB19134-8521-4B72-B213-33A1F24CE90A}"/>
    <cellStyle name="Input 3 2" xfId="206" xr:uid="{9B3022BA-F9DD-46DE-8783-31A80A20107A}"/>
    <cellStyle name="Input 3 3" xfId="256" xr:uid="{BC82E7B5-FC84-4A1B-81AB-48BB74DAEC7D}"/>
    <cellStyle name="Input 4" xfId="143" xr:uid="{C4FC9297-93E9-455A-B3EB-D882EB129B48}"/>
    <cellStyle name="Input 4 2" xfId="207" xr:uid="{54A3E6BC-016F-43D4-80B3-EE3FCDD857E7}"/>
    <cellStyle name="Input 4 3" xfId="266" xr:uid="{B15A022A-16F4-469F-AE4D-DBFC682B205B}"/>
    <cellStyle name="Input 5" xfId="92" xr:uid="{C83BC82A-19A6-4903-AB9A-FA45782DC04B}"/>
    <cellStyle name="Input 6" xfId="245" xr:uid="{A4BBBBC7-3D9C-4A41-8CBB-822889D73979}"/>
    <cellStyle name="Linked Cell 2" xfId="95" xr:uid="{EB619E61-CC71-44FE-9246-62026F7A33D2}"/>
    <cellStyle name="Linked Cell 2 2" xfId="208" xr:uid="{94252C2C-6B37-4E0A-88AF-5C939862F3EE}"/>
    <cellStyle name="Linked Cell 3" xfId="94" xr:uid="{6AB63BF5-6296-4042-9540-B873A5929F45}"/>
    <cellStyle name="Neutral 2" xfId="97" xr:uid="{2CAED6EE-77A8-43A0-842D-DBD669F079D2}"/>
    <cellStyle name="Neutral 2 2" xfId="209" xr:uid="{7EF46FC3-4211-4FF7-A801-7225BC6A8D09}"/>
    <cellStyle name="Neutral 3" xfId="96" xr:uid="{2EB9C56C-BEB2-4DAC-AC57-2E852A964251}"/>
    <cellStyle name="Normal" xfId="0" builtinId="0"/>
    <cellStyle name="Normal 2" xfId="6" xr:uid="{BA6C323B-31B9-4783-A355-D9C046A5EDFA}"/>
    <cellStyle name="Normal 2 2" xfId="2" xr:uid="{0DC0570E-531C-426D-868E-D37D5F4F0A70}"/>
    <cellStyle name="Normal 2 2 2" xfId="292" xr:uid="{FC3CA3F4-1735-4E87-9A8A-CA2A8F445896}"/>
    <cellStyle name="Normal 2 3" xfId="98" xr:uid="{4E48457A-517C-4E70-A4C8-A1A999549759}"/>
    <cellStyle name="Normal 2 3 2" xfId="286" xr:uid="{24A99F8E-0E4D-427E-9381-A12049F901BB}"/>
    <cellStyle name="Normal 2 4" xfId="210" xr:uid="{F466BD95-78D4-41BB-8074-21568051F6EA}"/>
    <cellStyle name="Normal 2 5" xfId="280" xr:uid="{E08BF144-E68C-4207-929A-BF2EEA29EC75}"/>
    <cellStyle name="Normal 2_AFE201112_LO3_JZH_1_GO_v2" xfId="99" xr:uid="{ED21C22F-3588-40CC-9C02-6B6A2C9E9AE2}"/>
    <cellStyle name="Normal 3" xfId="100" xr:uid="{D5A871AC-78DC-4068-9940-0C264DC896AE}"/>
    <cellStyle name="Normal 4" xfId="101" xr:uid="{06A5E87A-3D8D-4687-A7E5-F0CF1CF65968}"/>
    <cellStyle name="Normal 5" xfId="117" xr:uid="{0929D104-DABE-4907-B79C-2FE8206D337C}"/>
    <cellStyle name="Normal 5 2" xfId="1" xr:uid="{E871CE9E-752A-43F8-A92E-65A7E6B5C3AB}"/>
    <cellStyle name="Normal 5 2 2" xfId="151" xr:uid="{BD4A44DB-CC29-49F2-A8FB-6D86B0954975}"/>
    <cellStyle name="Normal 5 2 3" xfId="212" xr:uid="{1B39C638-FDE5-4C65-8757-54D1C69F2753}"/>
    <cellStyle name="Normal 5 2 4" xfId="274" xr:uid="{8A51D49C-C549-4259-9812-2DB2DCB5E975}"/>
    <cellStyle name="Normal 5 2 5" xfId="275" xr:uid="{538ED8F8-693D-490A-8D13-94C7E3C85828}"/>
    <cellStyle name="Normal 5 3" xfId="211" xr:uid="{B0E12AE4-0C88-48C0-94A2-342AA50F540E}"/>
    <cellStyle name="Normal 5 4" xfId="253" xr:uid="{3047ADD4-A362-452B-A9AC-49067336DEDE}"/>
    <cellStyle name="Normal 6" xfId="10" xr:uid="{80638AFA-BFB9-4759-9B96-CEBC3A7F6E63}"/>
    <cellStyle name="Normal 6 2" xfId="240" xr:uid="{FBC762E0-819F-4DA8-8302-4D626C03E555}"/>
    <cellStyle name="Normal 6 3" xfId="290" xr:uid="{51B5917F-C893-4513-874A-BA85E8A426EA}"/>
    <cellStyle name="Normal 6 4" xfId="294" xr:uid="{06272F78-CD30-418F-824B-402068A8FA45}"/>
    <cellStyle name="Normal 7" xfId="293" xr:uid="{BFD56035-BBC5-4DF1-9C46-9FFBBF349255}"/>
    <cellStyle name="Normal 8" xfId="297" xr:uid="{56F2890A-DE96-410E-80B8-7ADE5773E284}"/>
    <cellStyle name="Note 2" xfId="103" xr:uid="{D9C23E88-1EAB-4669-BC7F-D8F34F637E1E}"/>
    <cellStyle name="Note 2 2" xfId="136" xr:uid="{CA041E8B-6BAA-4CB7-832E-28111890A38F}"/>
    <cellStyle name="Note 2 2 2" xfId="214" xr:uid="{0723D240-67F6-4310-AB68-3945C2CD69F5}"/>
    <cellStyle name="Note 2 2 3" xfId="259" xr:uid="{894324B5-7312-49C9-BC3F-BE13EC92424D}"/>
    <cellStyle name="Note 2 3" xfId="146" xr:uid="{58D8DBB1-7347-4292-A034-4F18148379A4}"/>
    <cellStyle name="Note 2 3 2" xfId="215" xr:uid="{A6232144-4A02-476C-89BB-15D666B95A65}"/>
    <cellStyle name="Note 2 3 3" xfId="269" xr:uid="{4BF2CADA-2991-423A-B857-EBE6979C3AC4}"/>
    <cellStyle name="Note 2 4" xfId="213" xr:uid="{BD7A595B-6B77-4BDD-BEDD-A7097B82E4F4}"/>
    <cellStyle name="Note 2 5" xfId="248" xr:uid="{1EC29B2D-C8C2-4DE4-9276-4E71C59DBB59}"/>
    <cellStyle name="Note 3" xfId="135" xr:uid="{02CFD6D3-5BB1-4548-A4A2-D146BF5C6C1D}"/>
    <cellStyle name="Note 3 2" xfId="216" xr:uid="{84A6AE22-6E71-4AC7-B80D-9D077F4B5627}"/>
    <cellStyle name="Note 3 3" xfId="258" xr:uid="{24B682F0-2D99-4151-B247-E454DD797528}"/>
    <cellStyle name="Note 4" xfId="145" xr:uid="{51AE24A5-AB01-4794-92A6-1F8D08CC2872}"/>
    <cellStyle name="Note 4 2" xfId="217" xr:uid="{6DC7FBFD-E12A-448B-B6E6-6E74836D077F}"/>
    <cellStyle name="Note 4 3" xfId="268" xr:uid="{7C9F66FE-D005-475E-90E6-2B23C551D437}"/>
    <cellStyle name="Note 5" xfId="102" xr:uid="{DC986A23-D409-44FB-A695-1A61077638DE}"/>
    <cellStyle name="Note 6" xfId="247" xr:uid="{8EB15FDC-A203-4BA0-A98B-866BE6AED358}"/>
    <cellStyle name="Output 2" xfId="105" xr:uid="{A866F00B-F52E-4768-A9BC-02B7A72D848C}"/>
    <cellStyle name="Output 2 2" xfId="138" xr:uid="{E65EC46F-9FD1-49CF-AB0C-33CCF7B552FC}"/>
    <cellStyle name="Output 2 2 2" xfId="219" xr:uid="{1A84CD5A-0331-486A-A36A-47BB403B8E07}"/>
    <cellStyle name="Output 2 2 3" xfId="261" xr:uid="{F3BC7D2D-3D3E-4A54-9C33-B5EEBD5B0141}"/>
    <cellStyle name="Output 2 3" xfId="148" xr:uid="{E86022A0-23FC-49A3-8366-4B4C9583914F}"/>
    <cellStyle name="Output 2 3 2" xfId="220" xr:uid="{B201EB7B-4801-429E-B429-2D43A1F060E7}"/>
    <cellStyle name="Output 2 3 3" xfId="271" xr:uid="{8B72B580-A21D-4C5F-98E6-9C90DC5FAA99}"/>
    <cellStyle name="Output 2 4" xfId="218" xr:uid="{0C7178E7-9A33-4A69-9279-56487CAB8C2B}"/>
    <cellStyle name="Output 2 5" xfId="250" xr:uid="{B90C29F6-19AC-4B08-A4B1-713195FE9A83}"/>
    <cellStyle name="Output 3" xfId="137" xr:uid="{04A8DB82-9229-421F-8967-523E55CD1EA5}"/>
    <cellStyle name="Output 3 2" xfId="221" xr:uid="{E54F468C-6F75-4FF8-89DD-D03BE4E16BFC}"/>
    <cellStyle name="Output 3 3" xfId="260" xr:uid="{ECFD0CD2-2AC9-4E0F-859D-6F00A73C8C2B}"/>
    <cellStyle name="Output 4" xfId="147" xr:uid="{64A232EC-C06E-47D3-AFA2-CBA8898116A3}"/>
    <cellStyle name="Output 4 2" xfId="222" xr:uid="{089C3D79-C54B-4E21-8C09-65E251CA81F8}"/>
    <cellStyle name="Output 4 3" xfId="270" xr:uid="{29FDC790-0093-4172-A3B2-73653C952CDA}"/>
    <cellStyle name="Output 5" xfId="104" xr:uid="{8189CC26-A17F-4121-8BE6-4513531C2E8E}"/>
    <cellStyle name="Output 6" xfId="249" xr:uid="{1CCDCD36-1A95-483F-ADB2-2D2019DBE2C3}"/>
    <cellStyle name="Percent" xfId="295" builtinId="5"/>
    <cellStyle name="Percent 2" xfId="5" xr:uid="{2EF656FF-F951-43D8-B9E4-462CD6318CFB}"/>
    <cellStyle name="Percent 2 2" xfId="8" xr:uid="{9BAF496F-86D7-4394-A7C2-7080C85D1200}"/>
    <cellStyle name="Percent 2 2 2" xfId="282" xr:uid="{6107BDD0-00EF-4CE6-8CC1-151E699832C3}"/>
    <cellStyle name="Percent 2 3" xfId="106" xr:uid="{E49FEFD2-D35D-4D2C-A7A9-18AEDBC02F45}"/>
    <cellStyle name="Percent 2 3 2" xfId="288" xr:uid="{8A51B0E7-E4D5-4D2E-BA6F-7031F065A0A6}"/>
    <cellStyle name="Percent 2 4" xfId="223" xr:uid="{7D7FAAAC-3173-4EA7-8563-27B3521652E5}"/>
    <cellStyle name="Percent 3" xfId="107" xr:uid="{743F0D44-EDF4-4955-A839-1EDBC44C67E5}"/>
    <cellStyle name="Percent 3 2" xfId="14" xr:uid="{C729D7D0-0BC8-4587-96A5-7070079C5860}"/>
    <cellStyle name="Percent 3 2 2" xfId="225" xr:uid="{F71A1DAB-43BB-4C7F-9058-B5374255F4FC}"/>
    <cellStyle name="Percent 3 3" xfId="224" xr:uid="{909D56E7-5326-411A-863A-B6749E6EB74A}"/>
    <cellStyle name="Percent 4" xfId="108" xr:uid="{343DF0CF-AAB6-4303-AFD5-05D510F9C0B3}"/>
    <cellStyle name="Percent 4 2" xfId="129" xr:uid="{03DC9249-63DA-4F67-B8FF-C54BCD381CE3}"/>
    <cellStyle name="Percent 4 2 2" xfId="227" xr:uid="{13BA4E36-B964-4363-8CC7-D0E7050E52CF}"/>
    <cellStyle name="Percent 4 3" xfId="226" xr:uid="{D06779D5-4F1D-4B43-A4A8-3E4E164B02E0}"/>
    <cellStyle name="Percent 5" xfId="109" xr:uid="{AFBE7196-D41F-4DE8-9D05-8DC67DA4837B}"/>
    <cellStyle name="Percent 5 2" xfId="130" xr:uid="{825C6949-764D-4852-B3E9-4C3EEAE07516}"/>
    <cellStyle name="Percent 5 2 2" xfId="229" xr:uid="{1515735C-C218-456E-9E27-C0D0C8D1C7E0}"/>
    <cellStyle name="Percent 5 3" xfId="228" xr:uid="{70F30B4A-8F82-4FE6-9696-D62496FAA229}"/>
    <cellStyle name="Percent 6" xfId="110" xr:uid="{58995998-0A6C-4738-BB73-C42223713C4D}"/>
    <cellStyle name="Percent 6 2" xfId="131" xr:uid="{F2C65DF7-6953-4C8F-AACA-A8FF605CFD32}"/>
    <cellStyle name="Percent 6 2 2" xfId="231" xr:uid="{66E2D9AB-D06D-40BA-B420-4B371BC3E287}"/>
    <cellStyle name="Percent 6 3" xfId="230" xr:uid="{4CF11FBD-7F6C-4313-9BFC-C71A26403FB1}"/>
    <cellStyle name="Percent 7" xfId="133" xr:uid="{3C396D0D-9488-435F-BF48-57BEFEF6FBAC}"/>
    <cellStyle name="Percent 7 2" xfId="3" xr:uid="{32ED4C13-F257-4F16-B0AE-18A882A3D62E}"/>
    <cellStyle name="Percent 7 2 2" xfId="276" xr:uid="{664EC7F7-DC04-42F7-BF35-D0881DF649FF}"/>
    <cellStyle name="Percent 7 3" xfId="232" xr:uid="{7D103AD5-B519-4703-B9E7-1757A80C9A7A}"/>
    <cellStyle name="Percent 8" xfId="12" xr:uid="{0C995D1D-F6A5-4B94-883A-1E907BF9639E}"/>
    <cellStyle name="Percent 8 2" xfId="242" xr:uid="{ED0C63E0-8B73-4683-8362-F390A290D1A4}"/>
    <cellStyle name="Percent 9" xfId="298" xr:uid="{6C817916-1350-4FB5-B265-9507141EC91D}"/>
    <cellStyle name="Title 2" xfId="112" xr:uid="{4FCF55E3-8558-40C9-B0E2-68D325A022FE}"/>
    <cellStyle name="Title 2 2" xfId="233" xr:uid="{5A7CA737-0FE9-438B-B37E-8AF29476A8FD}"/>
    <cellStyle name="Title 3" xfId="111" xr:uid="{F4DA625E-D4D9-4B61-8523-8CD03BA460BB}"/>
    <cellStyle name="Total 2" xfId="114" xr:uid="{5A528DC4-8927-4A19-85B7-8328B43111D5}"/>
    <cellStyle name="Total 2 2" xfId="140" xr:uid="{021F6013-FFE5-4A1F-AE7E-62ED8DCC9ECA}"/>
    <cellStyle name="Total 2 2 2" xfId="235" xr:uid="{394D0F97-B0DC-4685-A17E-D3A33786F8E8}"/>
    <cellStyle name="Total 2 2 3" xfId="263" xr:uid="{405DE206-8E2E-4157-9303-97B9A5114D96}"/>
    <cellStyle name="Total 2 3" xfId="150" xr:uid="{A6EDE5E4-55CF-44A5-AC3C-008D48F1445A}"/>
    <cellStyle name="Total 2 3 2" xfId="236" xr:uid="{7CBB325F-4060-4065-B337-9089D90F1A23}"/>
    <cellStyle name="Total 2 3 3" xfId="273" xr:uid="{DFE2E139-9EB4-4658-BDC7-F7D157036785}"/>
    <cellStyle name="Total 2 4" xfId="234" xr:uid="{AD92A3DB-6758-427F-9748-72FE72057135}"/>
    <cellStyle name="Total 2 5" xfId="252" xr:uid="{A0ED8A48-DFC0-4675-89EC-D4B1FEEF9177}"/>
    <cellStyle name="Total 3" xfId="139" xr:uid="{52A3A0F6-F89A-440A-BAFC-1DFAB84C49F2}"/>
    <cellStyle name="Total 3 2" xfId="237" xr:uid="{A2496C4A-F485-44FB-BCBF-212D69D4B675}"/>
    <cellStyle name="Total 3 3" xfId="262" xr:uid="{BBD79723-9E0E-4D97-918B-C2C39A839B68}"/>
    <cellStyle name="Total 4" xfId="149" xr:uid="{7FD47C96-42C7-4BF7-A2F8-9F6778720659}"/>
    <cellStyle name="Total 4 2" xfId="238" xr:uid="{EBE4B7EB-2F58-4D1D-A2DA-0CCCA4EE2FBF}"/>
    <cellStyle name="Total 4 3" xfId="272" xr:uid="{D7EAC928-79C1-47F7-A1BE-EDF4AE4D642D}"/>
    <cellStyle name="Total 5" xfId="113" xr:uid="{D225474A-DF3D-4862-9CD6-20B140C89B85}"/>
    <cellStyle name="Total 6" xfId="251" xr:uid="{C88A9816-418D-4B76-8E42-9E9266C91CEE}"/>
    <cellStyle name="Warning Text 2" xfId="116" xr:uid="{B81D152A-E2D3-4E32-9F18-572F3DE70291}"/>
    <cellStyle name="Warning Text 2 2" xfId="239" xr:uid="{8DC155B9-DDDD-4D50-B5C7-8BD1068FEECF}"/>
    <cellStyle name="Warning Text 3" xfId="115" xr:uid="{5CDA1134-A8CA-4A36-BD5A-974997125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238E-8563-40BD-89E6-58A721781352}">
  <sheetPr>
    <tabColor theme="5" tint="0.79998168889431442"/>
  </sheetPr>
  <dimension ref="B1:U61"/>
  <sheetViews>
    <sheetView workbookViewId="0">
      <selection activeCell="J35" sqref="J35"/>
    </sheetView>
  </sheetViews>
  <sheetFormatPr defaultColWidth="9" defaultRowHeight="15"/>
  <cols>
    <col min="1" max="1" width="3.28515625" style="1" customWidth="1"/>
    <col min="2" max="4" width="8.42578125" style="1" customWidth="1"/>
    <col min="5" max="5" width="17" style="1" customWidth="1"/>
    <col min="6" max="6" width="12.42578125" style="1" bestFit="1" customWidth="1"/>
    <col min="7" max="7" width="13.42578125" style="1" customWidth="1"/>
    <col min="8" max="8" width="12" style="1" customWidth="1"/>
    <col min="9" max="9" width="15" style="34" customWidth="1"/>
    <col min="10" max="10" width="17" style="1" customWidth="1"/>
    <col min="11" max="11" width="9" style="1"/>
    <col min="12" max="12" width="15.42578125" style="1" customWidth="1"/>
    <col min="13" max="13" width="21" style="4" bestFit="1" customWidth="1"/>
    <col min="14" max="14" width="18" style="4" bestFit="1" customWidth="1"/>
    <col min="15" max="15" width="11.42578125" style="39" bestFit="1" customWidth="1"/>
    <col min="16" max="17" width="10" style="39" bestFit="1" customWidth="1"/>
    <col min="18" max="18" width="3.42578125" style="1" customWidth="1"/>
    <col min="19" max="19" width="9.7109375" style="1" bestFit="1" customWidth="1"/>
    <col min="20" max="20" width="11.42578125" style="1" bestFit="1" customWidth="1"/>
    <col min="21" max="21" width="11.42578125" style="40" bestFit="1" customWidth="1"/>
    <col min="22" max="16384" width="9" style="1"/>
  </cols>
  <sheetData>
    <row r="1" spans="2:21">
      <c r="F1" s="2"/>
      <c r="I1" s="3"/>
      <c r="N1" s="5"/>
      <c r="O1" s="6"/>
      <c r="P1" s="6"/>
      <c r="Q1" s="6"/>
      <c r="U1" s="79"/>
    </row>
    <row r="2" spans="2:21">
      <c r="I2" s="3"/>
      <c r="J2" s="7"/>
      <c r="L2" s="1" t="s">
        <v>4</v>
      </c>
      <c r="M2" s="6">
        <v>1000000</v>
      </c>
      <c r="O2" s="6"/>
      <c r="P2" s="6"/>
      <c r="Q2" s="6"/>
      <c r="U2" s="79"/>
    </row>
    <row r="3" spans="2:21" ht="45">
      <c r="B3" s="8" t="s">
        <v>2</v>
      </c>
      <c r="C3" s="8" t="s">
        <v>0</v>
      </c>
      <c r="D3" s="8" t="s">
        <v>1</v>
      </c>
      <c r="E3" s="9" t="s">
        <v>5</v>
      </c>
      <c r="F3" s="10" t="s">
        <v>6</v>
      </c>
      <c r="G3" s="9" t="s">
        <v>7</v>
      </c>
      <c r="H3" s="9" t="s">
        <v>8</v>
      </c>
      <c r="I3" s="11" t="s">
        <v>9</v>
      </c>
      <c r="J3" s="9" t="s">
        <v>10</v>
      </c>
      <c r="K3" s="10" t="s">
        <v>11</v>
      </c>
      <c r="L3" s="9" t="s">
        <v>12</v>
      </c>
      <c r="M3" s="12" t="s">
        <v>13</v>
      </c>
      <c r="N3" s="58"/>
      <c r="O3" s="80"/>
      <c r="P3" s="80"/>
      <c r="Q3" s="81"/>
      <c r="S3" s="82"/>
      <c r="T3" s="82"/>
      <c r="U3" s="83"/>
    </row>
    <row r="4" spans="2:21">
      <c r="B4" s="8"/>
      <c r="C4" s="8"/>
      <c r="D4" s="8"/>
      <c r="E4" s="9"/>
      <c r="F4" s="10"/>
      <c r="G4" s="14"/>
      <c r="H4" s="9"/>
      <c r="I4" s="11"/>
      <c r="J4" s="9"/>
      <c r="K4" s="10"/>
      <c r="L4" s="9"/>
      <c r="M4" s="15">
        <f>IFERROR(SUMPRODUCT(J5:J60,L6:L61)/L5,0)</f>
        <v>912940.58299721137</v>
      </c>
      <c r="N4" s="84"/>
      <c r="Q4" s="38"/>
      <c r="R4" s="85"/>
      <c r="S4" s="79"/>
      <c r="T4" s="79"/>
      <c r="U4" s="86"/>
    </row>
    <row r="5" spans="2:21">
      <c r="B5" s="18">
        <v>2023</v>
      </c>
      <c r="C5" s="19">
        <v>1</v>
      </c>
      <c r="D5" s="19">
        <v>65</v>
      </c>
      <c r="E5" s="20">
        <v>1000</v>
      </c>
      <c r="F5" s="21">
        <v>0.2</v>
      </c>
      <c r="G5" s="22">
        <f>ROUND(E5*F5,0)</f>
        <v>200</v>
      </c>
      <c r="H5" s="23">
        <f t="shared" ref="H5:H32" si="0">E6</f>
        <v>800</v>
      </c>
      <c r="I5" s="24">
        <v>110</v>
      </c>
      <c r="J5" s="25">
        <f t="shared" ref="J5:J32" si="1">IF(C5&lt;=10,I5*$E$5,I5*E5)</f>
        <v>110000</v>
      </c>
      <c r="K5" s="26">
        <v>4.2500000000000003E-2</v>
      </c>
      <c r="L5" s="27">
        <v>1</v>
      </c>
      <c r="M5" s="15">
        <f>IFERROR(SUMPRODUCT(J6:J61,L7:L62)/L6,0)</f>
        <v>841740.55777459289</v>
      </c>
      <c r="N5" s="59"/>
      <c r="Q5" s="38"/>
      <c r="R5" s="85"/>
      <c r="S5" s="79"/>
      <c r="T5" s="79"/>
      <c r="U5" s="86"/>
    </row>
    <row r="6" spans="2:21">
      <c r="B6" s="18">
        <v>2024</v>
      </c>
      <c r="C6" s="19">
        <v>2</v>
      </c>
      <c r="D6" s="19">
        <v>66</v>
      </c>
      <c r="E6" s="20">
        <f>E5-G5</f>
        <v>800</v>
      </c>
      <c r="F6" s="21">
        <v>0.2</v>
      </c>
      <c r="G6" s="22">
        <f t="shared" ref="G6:G32" si="2">ROUND(E6*F6,0)</f>
        <v>160</v>
      </c>
      <c r="H6" s="23">
        <f t="shared" si="0"/>
        <v>640</v>
      </c>
      <c r="I6" s="24">
        <v>110</v>
      </c>
      <c r="J6" s="25">
        <f t="shared" si="1"/>
        <v>110000</v>
      </c>
      <c r="K6" s="26">
        <v>4.2500000000000003E-2</v>
      </c>
      <c r="L6" s="28">
        <f t="shared" ref="L6:L32" si="3">L5/(1+K5)</f>
        <v>0.95923261390887293</v>
      </c>
      <c r="M6" s="15">
        <f>IFERROR(SUMPRODUCT(J7:J62,L8:L63)/L7,0)</f>
        <v>767514.53148001316</v>
      </c>
      <c r="N6" s="59"/>
      <c r="Q6" s="38"/>
      <c r="R6" s="85"/>
      <c r="S6" s="79"/>
      <c r="T6" s="79"/>
      <c r="U6" s="86"/>
    </row>
    <row r="7" spans="2:21">
      <c r="B7" s="18">
        <v>2025</v>
      </c>
      <c r="C7" s="19">
        <v>3</v>
      </c>
      <c r="D7" s="19">
        <v>67</v>
      </c>
      <c r="E7" s="20">
        <f t="shared" ref="E7:E32" si="4">ROUND(E6-G6,0)</f>
        <v>640</v>
      </c>
      <c r="F7" s="21">
        <v>0.2</v>
      </c>
      <c r="G7" s="22">
        <f t="shared" si="2"/>
        <v>128</v>
      </c>
      <c r="H7" s="23">
        <f t="shared" si="0"/>
        <v>512</v>
      </c>
      <c r="I7" s="24">
        <v>110</v>
      </c>
      <c r="J7" s="25">
        <f t="shared" si="1"/>
        <v>110000</v>
      </c>
      <c r="K7" s="26">
        <v>4.2500000000000003E-2</v>
      </c>
      <c r="L7" s="28">
        <f t="shared" si="3"/>
        <v>0.92012720758644884</v>
      </c>
      <c r="M7" s="77">
        <f>IFERROR(SUMPRODUCT(J8:J63,L9:L64)/L8,0)</f>
        <v>690133.89906791365</v>
      </c>
      <c r="N7" s="87" t="s">
        <v>29</v>
      </c>
      <c r="Q7" s="38"/>
      <c r="R7" s="85"/>
      <c r="S7" s="79"/>
      <c r="T7" s="79"/>
      <c r="U7" s="86"/>
    </row>
    <row r="8" spans="2:21">
      <c r="B8" s="18">
        <v>2026</v>
      </c>
      <c r="C8" s="19">
        <v>4</v>
      </c>
      <c r="D8" s="19">
        <v>68</v>
      </c>
      <c r="E8" s="20">
        <f t="shared" si="4"/>
        <v>512</v>
      </c>
      <c r="F8" s="21">
        <v>0.2</v>
      </c>
      <c r="G8" s="22">
        <f t="shared" si="2"/>
        <v>102</v>
      </c>
      <c r="H8" s="23">
        <f t="shared" si="0"/>
        <v>410</v>
      </c>
      <c r="I8" s="24">
        <v>110</v>
      </c>
      <c r="J8" s="25">
        <f t="shared" si="1"/>
        <v>110000</v>
      </c>
      <c r="K8" s="26">
        <v>4.2500000000000003E-2</v>
      </c>
      <c r="L8" s="28">
        <f>L7/(1+K7)</f>
        <v>0.88261602646182147</v>
      </c>
      <c r="M8" s="15">
        <f t="shared" ref="M8:M32" si="5">IFERROR(SUMPRODUCT(J9:J64,L10:L65)/L9,0)</f>
        <v>609464.58977829979</v>
      </c>
      <c r="N8" s="59"/>
      <c r="Q8" s="38"/>
      <c r="R8" s="85"/>
      <c r="S8" s="79"/>
      <c r="T8" s="79"/>
      <c r="U8" s="86"/>
    </row>
    <row r="9" spans="2:21">
      <c r="B9" s="18">
        <v>2027</v>
      </c>
      <c r="C9" s="19">
        <v>5</v>
      </c>
      <c r="D9" s="19">
        <v>69</v>
      </c>
      <c r="E9" s="20">
        <f t="shared" si="4"/>
        <v>410</v>
      </c>
      <c r="F9" s="21">
        <v>0.2</v>
      </c>
      <c r="G9" s="22">
        <f t="shared" si="2"/>
        <v>82</v>
      </c>
      <c r="H9" s="23">
        <f t="shared" si="0"/>
        <v>328</v>
      </c>
      <c r="I9" s="24">
        <v>110</v>
      </c>
      <c r="J9" s="25">
        <f t="shared" si="1"/>
        <v>110000</v>
      </c>
      <c r="K9" s="26">
        <v>4.2500000000000003E-2</v>
      </c>
      <c r="L9" s="28">
        <f t="shared" si="3"/>
        <v>0.84663407814083591</v>
      </c>
      <c r="M9" s="15">
        <f>IFERROR(SUMPRODUCT(J10:J65,L11:L66)/L10,0)</f>
        <v>525366.83484387759</v>
      </c>
      <c r="N9" s="59"/>
      <c r="Q9" s="38"/>
      <c r="R9" s="85"/>
      <c r="S9" s="79"/>
      <c r="T9" s="79"/>
      <c r="U9" s="86"/>
    </row>
    <row r="10" spans="2:21">
      <c r="B10" s="18">
        <v>2028</v>
      </c>
      <c r="C10" s="19">
        <v>6</v>
      </c>
      <c r="D10" s="19">
        <v>70</v>
      </c>
      <c r="E10" s="20">
        <f t="shared" si="4"/>
        <v>328</v>
      </c>
      <c r="F10" s="21">
        <v>0.2</v>
      </c>
      <c r="G10" s="22">
        <f t="shared" si="2"/>
        <v>66</v>
      </c>
      <c r="H10" s="23">
        <f t="shared" si="0"/>
        <v>262</v>
      </c>
      <c r="I10" s="24">
        <v>110</v>
      </c>
      <c r="J10" s="25">
        <f t="shared" si="1"/>
        <v>110000</v>
      </c>
      <c r="K10" s="26">
        <v>4.2500000000000003E-2</v>
      </c>
      <c r="L10" s="28">
        <f t="shared" si="3"/>
        <v>0.81211901979936296</v>
      </c>
      <c r="M10" s="15">
        <f t="shared" si="5"/>
        <v>437694.92532474239</v>
      </c>
      <c r="N10" s="59"/>
      <c r="Q10" s="38"/>
      <c r="R10" s="85"/>
      <c r="S10" s="79"/>
      <c r="T10" s="79"/>
      <c r="U10" s="86"/>
    </row>
    <row r="11" spans="2:21">
      <c r="B11" s="18">
        <v>2029</v>
      </c>
      <c r="C11" s="19">
        <v>7</v>
      </c>
      <c r="D11" s="19">
        <v>71</v>
      </c>
      <c r="E11" s="20">
        <f t="shared" si="4"/>
        <v>262</v>
      </c>
      <c r="F11" s="21">
        <v>0.2</v>
      </c>
      <c r="G11" s="22">
        <f t="shared" si="2"/>
        <v>52</v>
      </c>
      <c r="H11" s="23">
        <f t="shared" si="0"/>
        <v>210</v>
      </c>
      <c r="I11" s="24">
        <v>110</v>
      </c>
      <c r="J11" s="25">
        <f t="shared" si="1"/>
        <v>110000</v>
      </c>
      <c r="K11" s="26">
        <v>4.2500000000000003E-2</v>
      </c>
      <c r="L11" s="28">
        <f t="shared" si="3"/>
        <v>0.77901105016725469</v>
      </c>
      <c r="M11" s="15">
        <f t="shared" si="5"/>
        <v>346296.95965104393</v>
      </c>
      <c r="N11" s="59"/>
      <c r="Q11" s="38"/>
      <c r="R11" s="85"/>
      <c r="S11" s="79"/>
      <c r="T11" s="79"/>
      <c r="U11" s="86"/>
    </row>
    <row r="12" spans="2:21">
      <c r="B12" s="18">
        <v>2030</v>
      </c>
      <c r="C12" s="19">
        <v>8</v>
      </c>
      <c r="D12" s="19">
        <v>72</v>
      </c>
      <c r="E12" s="20">
        <f t="shared" si="4"/>
        <v>210</v>
      </c>
      <c r="F12" s="21">
        <v>0.2</v>
      </c>
      <c r="G12" s="22">
        <f t="shared" si="2"/>
        <v>42</v>
      </c>
      <c r="H12" s="23">
        <f t="shared" si="0"/>
        <v>168</v>
      </c>
      <c r="I12" s="24">
        <v>110</v>
      </c>
      <c r="J12" s="25">
        <f t="shared" si="1"/>
        <v>110000</v>
      </c>
      <c r="K12" s="26">
        <v>4.2500000000000003E-2</v>
      </c>
      <c r="L12" s="28">
        <f t="shared" si="3"/>
        <v>0.74725280591583187</v>
      </c>
      <c r="M12" s="15">
        <f t="shared" si="5"/>
        <v>251014.58043621332</v>
      </c>
      <c r="N12" s="59"/>
      <c r="Q12" s="38"/>
      <c r="R12" s="85"/>
      <c r="S12" s="79"/>
      <c r="T12" s="79"/>
      <c r="U12" s="86"/>
    </row>
    <row r="13" spans="2:21">
      <c r="B13" s="18">
        <v>2031</v>
      </c>
      <c r="C13" s="19">
        <v>9</v>
      </c>
      <c r="D13" s="19">
        <v>73</v>
      </c>
      <c r="E13" s="20">
        <f t="shared" si="4"/>
        <v>168</v>
      </c>
      <c r="F13" s="21">
        <v>0.2</v>
      </c>
      <c r="G13" s="22">
        <f t="shared" si="2"/>
        <v>34</v>
      </c>
      <c r="H13" s="23">
        <f t="shared" si="0"/>
        <v>134</v>
      </c>
      <c r="I13" s="24">
        <v>110</v>
      </c>
      <c r="J13" s="25">
        <f t="shared" si="1"/>
        <v>110000</v>
      </c>
      <c r="K13" s="26">
        <v>4.2500000000000003E-2</v>
      </c>
      <c r="L13" s="28">
        <f t="shared" si="3"/>
        <v>0.71678926226938311</v>
      </c>
      <c r="M13" s="15">
        <f t="shared" si="5"/>
        <v>151682.70010475232</v>
      </c>
      <c r="N13" s="59"/>
      <c r="Q13" s="38"/>
      <c r="R13" s="85"/>
      <c r="S13" s="79"/>
      <c r="T13" s="79"/>
      <c r="U13" s="86"/>
    </row>
    <row r="14" spans="2:21">
      <c r="B14" s="18">
        <v>2032</v>
      </c>
      <c r="C14" s="19">
        <v>10</v>
      </c>
      <c r="D14" s="19">
        <v>74</v>
      </c>
      <c r="E14" s="20">
        <f t="shared" si="4"/>
        <v>134</v>
      </c>
      <c r="F14" s="21">
        <v>0.2</v>
      </c>
      <c r="G14" s="22">
        <f t="shared" si="2"/>
        <v>27</v>
      </c>
      <c r="H14" s="23">
        <f t="shared" si="0"/>
        <v>107</v>
      </c>
      <c r="I14" s="24">
        <v>110</v>
      </c>
      <c r="J14" s="25">
        <f t="shared" si="1"/>
        <v>110000</v>
      </c>
      <c r="K14" s="26">
        <v>4.2500000000000003E-2</v>
      </c>
      <c r="L14" s="28">
        <f t="shared" si="3"/>
        <v>0.68756763766847306</v>
      </c>
      <c r="M14" s="15">
        <f t="shared" si="5"/>
        <v>48129.214859204316</v>
      </c>
      <c r="N14" s="59"/>
      <c r="Q14" s="38"/>
      <c r="R14" s="85"/>
      <c r="S14" s="40"/>
      <c r="T14" s="40"/>
      <c r="U14" s="88"/>
    </row>
    <row r="15" spans="2:21">
      <c r="B15" s="18">
        <v>2033</v>
      </c>
      <c r="C15" s="19">
        <v>11</v>
      </c>
      <c r="D15" s="19">
        <v>75</v>
      </c>
      <c r="E15" s="20">
        <f t="shared" si="4"/>
        <v>107</v>
      </c>
      <c r="F15" s="21">
        <v>0.2</v>
      </c>
      <c r="G15" s="22">
        <f t="shared" si="2"/>
        <v>21</v>
      </c>
      <c r="H15" s="23">
        <f t="shared" si="0"/>
        <v>86</v>
      </c>
      <c r="I15" s="24">
        <v>110</v>
      </c>
      <c r="J15" s="25">
        <f>IF(C15&lt;=10,I15*$E$5,I15*E15)</f>
        <v>11770</v>
      </c>
      <c r="K15" s="26">
        <v>4.2500000000000003E-2</v>
      </c>
      <c r="L15" s="28">
        <f t="shared" si="3"/>
        <v>0.65953730231987828</v>
      </c>
      <c r="M15" s="15">
        <f t="shared" si="5"/>
        <v>38404.706490720499</v>
      </c>
      <c r="N15" s="59"/>
      <c r="Q15" s="38"/>
      <c r="R15" s="85"/>
      <c r="U15" s="79"/>
    </row>
    <row r="16" spans="2:21">
      <c r="B16" s="18">
        <v>2034</v>
      </c>
      <c r="C16" s="19">
        <v>12</v>
      </c>
      <c r="D16" s="19">
        <v>76</v>
      </c>
      <c r="E16" s="20">
        <f t="shared" si="4"/>
        <v>86</v>
      </c>
      <c r="F16" s="21">
        <v>0.2</v>
      </c>
      <c r="G16" s="22">
        <f t="shared" si="2"/>
        <v>17</v>
      </c>
      <c r="H16" s="23">
        <f t="shared" si="0"/>
        <v>69</v>
      </c>
      <c r="I16" s="24">
        <v>110</v>
      </c>
      <c r="J16" s="25">
        <f t="shared" si="1"/>
        <v>9460</v>
      </c>
      <c r="K16" s="26">
        <v>4.2500000000000003E-2</v>
      </c>
      <c r="L16" s="28">
        <f t="shared" si="3"/>
        <v>0.63264969047470343</v>
      </c>
      <c r="M16" s="15">
        <f t="shared" si="5"/>
        <v>30576.906516576124</v>
      </c>
      <c r="N16" s="59"/>
      <c r="Q16" s="38"/>
      <c r="R16" s="85"/>
      <c r="U16" s="79"/>
    </row>
    <row r="17" spans="2:21">
      <c r="B17" s="18">
        <v>2035</v>
      </c>
      <c r="C17" s="19">
        <v>13</v>
      </c>
      <c r="D17" s="19">
        <v>77</v>
      </c>
      <c r="E17" s="20">
        <f t="shared" si="4"/>
        <v>69</v>
      </c>
      <c r="F17" s="21">
        <v>0.2</v>
      </c>
      <c r="G17" s="22">
        <f t="shared" si="2"/>
        <v>14</v>
      </c>
      <c r="H17" s="23">
        <f t="shared" si="0"/>
        <v>55</v>
      </c>
      <c r="I17" s="24">
        <v>110</v>
      </c>
      <c r="J17" s="25">
        <f t="shared" si="1"/>
        <v>7590</v>
      </c>
      <c r="K17" s="26">
        <v>4.2500000000000003E-2</v>
      </c>
      <c r="L17" s="28">
        <f t="shared" si="3"/>
        <v>0.6068582162826891</v>
      </c>
      <c r="M17" s="15">
        <f t="shared" si="5"/>
        <v>24286.425043530609</v>
      </c>
      <c r="N17" s="59"/>
      <c r="Q17" s="38"/>
      <c r="R17" s="85"/>
      <c r="U17" s="79"/>
    </row>
    <row r="18" spans="2:21">
      <c r="B18" s="18">
        <v>2036</v>
      </c>
      <c r="C18" s="19">
        <v>14</v>
      </c>
      <c r="D18" s="19">
        <v>78</v>
      </c>
      <c r="E18" s="20">
        <f t="shared" si="4"/>
        <v>55</v>
      </c>
      <c r="F18" s="21">
        <v>0.2</v>
      </c>
      <c r="G18" s="22">
        <f t="shared" si="2"/>
        <v>11</v>
      </c>
      <c r="H18" s="23">
        <f t="shared" si="0"/>
        <v>44</v>
      </c>
      <c r="I18" s="24">
        <v>110</v>
      </c>
      <c r="J18" s="25">
        <f t="shared" si="1"/>
        <v>6050</v>
      </c>
      <c r="K18" s="26">
        <v>4.2500000000000003E-2</v>
      </c>
      <c r="L18" s="28">
        <f t="shared" si="3"/>
        <v>0.58211819307692003</v>
      </c>
      <c r="M18" s="15">
        <f t="shared" si="5"/>
        <v>19268.598107880665</v>
      </c>
      <c r="N18" s="59"/>
      <c r="Q18" s="38"/>
      <c r="R18" s="85"/>
      <c r="U18" s="79"/>
    </row>
    <row r="19" spans="2:21">
      <c r="B19" s="18">
        <v>2037</v>
      </c>
      <c r="C19" s="19">
        <v>15</v>
      </c>
      <c r="D19" s="19">
        <v>79</v>
      </c>
      <c r="E19" s="20">
        <f t="shared" si="4"/>
        <v>44</v>
      </c>
      <c r="F19" s="21">
        <v>0.2</v>
      </c>
      <c r="G19" s="22">
        <f t="shared" si="2"/>
        <v>9</v>
      </c>
      <c r="H19" s="23">
        <f t="shared" si="0"/>
        <v>35</v>
      </c>
      <c r="I19" s="24">
        <v>110</v>
      </c>
      <c r="J19" s="25">
        <f t="shared" si="1"/>
        <v>4840</v>
      </c>
      <c r="K19" s="26">
        <v>4.2500000000000003E-2</v>
      </c>
      <c r="L19" s="28">
        <f t="shared" si="3"/>
        <v>0.55838675594908393</v>
      </c>
      <c r="M19" s="15">
        <f t="shared" si="5"/>
        <v>15247.513527465586</v>
      </c>
      <c r="N19" s="59"/>
      <c r="Q19" s="38"/>
      <c r="R19" s="85"/>
      <c r="U19" s="79"/>
    </row>
    <row r="20" spans="2:21">
      <c r="B20" s="18">
        <v>2038</v>
      </c>
      <c r="C20" s="19">
        <v>16</v>
      </c>
      <c r="D20" s="19">
        <v>80</v>
      </c>
      <c r="E20" s="20">
        <f t="shared" si="4"/>
        <v>35</v>
      </c>
      <c r="F20" s="21">
        <v>0.2</v>
      </c>
      <c r="G20" s="22">
        <f t="shared" si="2"/>
        <v>7</v>
      </c>
      <c r="H20" s="23">
        <f t="shared" si="0"/>
        <v>28</v>
      </c>
      <c r="I20" s="24">
        <v>110</v>
      </c>
      <c r="J20" s="25">
        <f t="shared" si="1"/>
        <v>3850</v>
      </c>
      <c r="K20" s="26">
        <v>4.2500000000000003E-2</v>
      </c>
      <c r="L20" s="28">
        <f t="shared" si="3"/>
        <v>0.53562278748113568</v>
      </c>
      <c r="M20" s="15">
        <f t="shared" si="5"/>
        <v>12045.532852382872</v>
      </c>
      <c r="N20" s="59"/>
      <c r="Q20" s="38"/>
      <c r="R20" s="85"/>
      <c r="U20" s="79"/>
    </row>
    <row r="21" spans="2:21">
      <c r="B21" s="18">
        <v>2039</v>
      </c>
      <c r="C21" s="19">
        <v>17</v>
      </c>
      <c r="D21" s="19">
        <v>81</v>
      </c>
      <c r="E21" s="20">
        <f t="shared" si="4"/>
        <v>28</v>
      </c>
      <c r="F21" s="21">
        <v>0.2</v>
      </c>
      <c r="G21" s="22">
        <f t="shared" si="2"/>
        <v>6</v>
      </c>
      <c r="H21" s="23">
        <f t="shared" si="0"/>
        <v>22</v>
      </c>
      <c r="I21" s="24">
        <v>110</v>
      </c>
      <c r="J21" s="25">
        <f t="shared" si="1"/>
        <v>3080</v>
      </c>
      <c r="K21" s="26">
        <v>4.2500000000000003E-2</v>
      </c>
      <c r="L21" s="28">
        <f t="shared" si="3"/>
        <v>0.51378684650468653</v>
      </c>
      <c r="M21" s="15">
        <f t="shared" si="5"/>
        <v>9477.4679986091433</v>
      </c>
      <c r="N21" s="59"/>
      <c r="Q21" s="38"/>
      <c r="R21" s="85"/>
      <c r="U21" s="79"/>
    </row>
    <row r="22" spans="2:21">
      <c r="B22" s="18">
        <v>2040</v>
      </c>
      <c r="C22" s="19">
        <v>18</v>
      </c>
      <c r="D22" s="19">
        <v>82</v>
      </c>
      <c r="E22" s="20">
        <f t="shared" si="4"/>
        <v>22</v>
      </c>
      <c r="F22" s="21">
        <v>0.2</v>
      </c>
      <c r="G22" s="22">
        <f t="shared" si="2"/>
        <v>4</v>
      </c>
      <c r="H22" s="23">
        <f t="shared" si="0"/>
        <v>18</v>
      </c>
      <c r="I22" s="24">
        <v>110</v>
      </c>
      <c r="J22" s="25">
        <f t="shared" si="1"/>
        <v>2420</v>
      </c>
      <c r="K22" s="26">
        <v>4.2500000000000003E-2</v>
      </c>
      <c r="L22" s="28">
        <f t="shared" si="3"/>
        <v>0.49284109976468732</v>
      </c>
      <c r="M22" s="15">
        <f t="shared" si="5"/>
        <v>7460.2603885500348</v>
      </c>
      <c r="N22" s="59"/>
      <c r="Q22" s="38"/>
      <c r="U22" s="79"/>
    </row>
    <row r="23" spans="2:21">
      <c r="B23" s="18">
        <v>2041</v>
      </c>
      <c r="C23" s="19">
        <v>19</v>
      </c>
      <c r="D23" s="19">
        <v>83</v>
      </c>
      <c r="E23" s="20">
        <f t="shared" si="4"/>
        <v>18</v>
      </c>
      <c r="F23" s="21">
        <v>0.2</v>
      </c>
      <c r="G23" s="22">
        <f t="shared" si="2"/>
        <v>4</v>
      </c>
      <c r="H23" s="23">
        <f t="shared" si="0"/>
        <v>14</v>
      </c>
      <c r="I23" s="24">
        <v>110</v>
      </c>
      <c r="J23" s="25">
        <f t="shared" si="1"/>
        <v>1980</v>
      </c>
      <c r="K23" s="26">
        <v>4.2500000000000003E-2</v>
      </c>
      <c r="L23" s="28">
        <f t="shared" si="3"/>
        <v>0.47274925636900461</v>
      </c>
      <c r="M23" s="15">
        <f t="shared" si="5"/>
        <v>5797.3214550634111</v>
      </c>
      <c r="N23" s="59"/>
      <c r="Q23" s="38"/>
      <c r="U23" s="79"/>
    </row>
    <row r="24" spans="2:21">
      <c r="B24" s="18">
        <v>2042</v>
      </c>
      <c r="C24" s="19">
        <v>20</v>
      </c>
      <c r="D24" s="19">
        <v>84</v>
      </c>
      <c r="E24" s="20">
        <f t="shared" si="4"/>
        <v>14</v>
      </c>
      <c r="F24" s="21">
        <v>0.2</v>
      </c>
      <c r="G24" s="22">
        <f t="shared" si="2"/>
        <v>3</v>
      </c>
      <c r="H24" s="23">
        <f t="shared" si="0"/>
        <v>11</v>
      </c>
      <c r="I24" s="24">
        <v>110</v>
      </c>
      <c r="J24" s="25">
        <f t="shared" si="1"/>
        <v>1540</v>
      </c>
      <c r="K24" s="26">
        <v>4.2500000000000003E-2</v>
      </c>
      <c r="L24" s="28">
        <f t="shared" si="3"/>
        <v>0.45347650491031616</v>
      </c>
      <c r="M24" s="15">
        <f t="shared" si="5"/>
        <v>4503.7076169036054</v>
      </c>
      <c r="N24" s="59"/>
      <c r="Q24" s="38"/>
      <c r="U24" s="79"/>
    </row>
    <row r="25" spans="2:21">
      <c r="B25" s="18">
        <v>2043</v>
      </c>
      <c r="C25" s="19">
        <v>21</v>
      </c>
      <c r="D25" s="19">
        <v>85</v>
      </c>
      <c r="E25" s="20">
        <f t="shared" si="4"/>
        <v>11</v>
      </c>
      <c r="F25" s="21">
        <v>0.2</v>
      </c>
      <c r="G25" s="22">
        <f t="shared" si="2"/>
        <v>2</v>
      </c>
      <c r="H25" s="23">
        <f t="shared" si="0"/>
        <v>9</v>
      </c>
      <c r="I25" s="24">
        <v>110</v>
      </c>
      <c r="J25" s="25">
        <f t="shared" si="1"/>
        <v>1210</v>
      </c>
      <c r="K25" s="26">
        <v>4.2500000000000003E-2</v>
      </c>
      <c r="L25" s="28">
        <f t="shared" si="3"/>
        <v>0.43498945315138243</v>
      </c>
      <c r="M25" s="15">
        <f t="shared" si="5"/>
        <v>3485.1151906220084</v>
      </c>
      <c r="N25" s="59"/>
      <c r="Q25" s="38"/>
      <c r="U25" s="79"/>
    </row>
    <row r="26" spans="2:21">
      <c r="B26" s="18">
        <v>2044</v>
      </c>
      <c r="C26" s="19">
        <v>22</v>
      </c>
      <c r="D26" s="19">
        <v>86</v>
      </c>
      <c r="E26" s="20">
        <f t="shared" si="4"/>
        <v>9</v>
      </c>
      <c r="F26" s="21">
        <v>0.2</v>
      </c>
      <c r="G26" s="22">
        <f t="shared" si="2"/>
        <v>2</v>
      </c>
      <c r="H26" s="23">
        <f t="shared" si="0"/>
        <v>7</v>
      </c>
      <c r="I26" s="24">
        <v>110</v>
      </c>
      <c r="J26" s="25">
        <f t="shared" si="1"/>
        <v>990</v>
      </c>
      <c r="K26" s="26">
        <v>4.2500000000000003E-2</v>
      </c>
      <c r="L26" s="28">
        <f t="shared" si="3"/>
        <v>0.41725607016919181</v>
      </c>
      <c r="M26" s="15">
        <f t="shared" si="5"/>
        <v>2643.2325862234434</v>
      </c>
      <c r="N26" s="59"/>
      <c r="Q26" s="38"/>
      <c r="U26" s="79"/>
    </row>
    <row r="27" spans="2:21">
      <c r="B27" s="18">
        <v>2045</v>
      </c>
      <c r="C27" s="19">
        <v>23</v>
      </c>
      <c r="D27" s="19">
        <v>87</v>
      </c>
      <c r="E27" s="20">
        <f t="shared" si="4"/>
        <v>7</v>
      </c>
      <c r="F27" s="21">
        <v>0.2</v>
      </c>
      <c r="G27" s="22">
        <f t="shared" si="2"/>
        <v>1</v>
      </c>
      <c r="H27" s="23">
        <f t="shared" si="0"/>
        <v>6</v>
      </c>
      <c r="I27" s="24">
        <v>110</v>
      </c>
      <c r="J27" s="25">
        <f t="shared" si="1"/>
        <v>770</v>
      </c>
      <c r="K27" s="26">
        <v>4.2500000000000003E-2</v>
      </c>
      <c r="L27" s="28">
        <f t="shared" si="3"/>
        <v>0.40024563085773796</v>
      </c>
      <c r="M27" s="15">
        <f t="shared" si="5"/>
        <v>1985.5699711379402</v>
      </c>
      <c r="N27" s="59"/>
      <c r="Q27" s="38"/>
      <c r="U27" s="79"/>
    </row>
    <row r="28" spans="2:21">
      <c r="B28" s="18">
        <v>2046</v>
      </c>
      <c r="C28" s="19">
        <v>24</v>
      </c>
      <c r="D28" s="19">
        <v>88</v>
      </c>
      <c r="E28" s="20">
        <f t="shared" si="4"/>
        <v>6</v>
      </c>
      <c r="F28" s="21">
        <v>0.2</v>
      </c>
      <c r="G28" s="22">
        <f t="shared" si="2"/>
        <v>1</v>
      </c>
      <c r="H28" s="23">
        <f t="shared" si="0"/>
        <v>5</v>
      </c>
      <c r="I28" s="24">
        <v>110</v>
      </c>
      <c r="J28" s="25">
        <f t="shared" si="1"/>
        <v>660</v>
      </c>
      <c r="K28" s="26">
        <v>4.2500000000000003E-2</v>
      </c>
      <c r="L28" s="28">
        <f t="shared" si="3"/>
        <v>0.3839286626932738</v>
      </c>
      <c r="M28" s="15">
        <f t="shared" si="5"/>
        <v>1409.9566949113027</v>
      </c>
      <c r="N28" s="59"/>
      <c r="Q28" s="38"/>
      <c r="U28" s="79"/>
    </row>
    <row r="29" spans="2:21">
      <c r="B29" s="18">
        <v>2047</v>
      </c>
      <c r="C29" s="19">
        <v>25</v>
      </c>
      <c r="D29" s="19">
        <v>89</v>
      </c>
      <c r="E29" s="20">
        <f t="shared" si="4"/>
        <v>5</v>
      </c>
      <c r="F29" s="21">
        <v>0.2</v>
      </c>
      <c r="G29" s="22">
        <f t="shared" si="2"/>
        <v>1</v>
      </c>
      <c r="H29" s="23">
        <f t="shared" si="0"/>
        <v>4</v>
      </c>
      <c r="I29" s="24">
        <v>110</v>
      </c>
      <c r="J29" s="25">
        <f t="shared" si="1"/>
        <v>550</v>
      </c>
      <c r="K29" s="26">
        <v>4.2500000000000003E-2</v>
      </c>
      <c r="L29" s="28">
        <f t="shared" si="3"/>
        <v>0.36827689466980701</v>
      </c>
      <c r="M29" s="15">
        <f t="shared" si="5"/>
        <v>919.87985444503295</v>
      </c>
      <c r="N29" s="59"/>
      <c r="Q29" s="38"/>
      <c r="U29" s="79"/>
    </row>
    <row r="30" spans="2:21">
      <c r="B30" s="18">
        <v>2048</v>
      </c>
      <c r="C30" s="19">
        <v>26</v>
      </c>
      <c r="D30" s="19">
        <v>90</v>
      </c>
      <c r="E30" s="20">
        <f t="shared" si="4"/>
        <v>4</v>
      </c>
      <c r="F30" s="21">
        <v>0.2</v>
      </c>
      <c r="G30" s="22">
        <f t="shared" si="2"/>
        <v>1</v>
      </c>
      <c r="H30" s="23">
        <f t="shared" si="0"/>
        <v>3</v>
      </c>
      <c r="I30" s="24">
        <v>110</v>
      </c>
      <c r="J30" s="25">
        <f t="shared" si="1"/>
        <v>440</v>
      </c>
      <c r="K30" s="26">
        <v>4.2500000000000003E-2</v>
      </c>
      <c r="L30" s="28">
        <f t="shared" si="3"/>
        <v>0.35326320831636165</v>
      </c>
      <c r="M30" s="15">
        <f t="shared" si="5"/>
        <v>518.97474825894676</v>
      </c>
      <c r="N30" s="59"/>
      <c r="Q30" s="38"/>
      <c r="U30" s="79"/>
    </row>
    <row r="31" spans="2:21">
      <c r="B31" s="18">
        <v>2049</v>
      </c>
      <c r="C31" s="19">
        <v>27</v>
      </c>
      <c r="D31" s="19">
        <v>91</v>
      </c>
      <c r="E31" s="20">
        <f t="shared" si="4"/>
        <v>3</v>
      </c>
      <c r="F31" s="21">
        <v>0.2</v>
      </c>
      <c r="G31" s="22">
        <f t="shared" si="2"/>
        <v>1</v>
      </c>
      <c r="H31" s="23">
        <f t="shared" si="0"/>
        <v>2</v>
      </c>
      <c r="I31" s="24">
        <v>110</v>
      </c>
      <c r="J31" s="25">
        <f t="shared" si="1"/>
        <v>330</v>
      </c>
      <c r="K31" s="26">
        <v>4.2500000000000003E-2</v>
      </c>
      <c r="L31" s="28">
        <f t="shared" si="3"/>
        <v>0.33886159071113831</v>
      </c>
      <c r="M31" s="15">
        <f>IFERROR(SUMPRODUCT(J32:J87,L33:L88)/L32,0)</f>
        <v>211.03117505995203</v>
      </c>
      <c r="N31" s="59"/>
      <c r="Q31" s="38"/>
      <c r="U31" s="79"/>
    </row>
    <row r="32" spans="2:21">
      <c r="B32" s="18">
        <v>2050</v>
      </c>
      <c r="C32" s="19">
        <v>28</v>
      </c>
      <c r="D32" s="19">
        <v>92</v>
      </c>
      <c r="E32" s="20">
        <f t="shared" si="4"/>
        <v>2</v>
      </c>
      <c r="F32" s="21">
        <v>1</v>
      </c>
      <c r="G32" s="22">
        <f t="shared" si="2"/>
        <v>2</v>
      </c>
      <c r="H32" s="23">
        <f t="shared" si="0"/>
        <v>0</v>
      </c>
      <c r="I32" s="24">
        <v>110</v>
      </c>
      <c r="J32" s="25">
        <f t="shared" si="1"/>
        <v>220</v>
      </c>
      <c r="K32" s="26">
        <v>4.2500000000000003E-2</v>
      </c>
      <c r="L32" s="28">
        <f t="shared" si="3"/>
        <v>0.32504708941116384</v>
      </c>
      <c r="M32" s="15">
        <f t="shared" si="5"/>
        <v>0</v>
      </c>
      <c r="N32" s="59"/>
      <c r="Q32" s="38"/>
      <c r="U32" s="79"/>
    </row>
    <row r="33" spans="2:17">
      <c r="B33" s="29"/>
      <c r="E33" s="30"/>
      <c r="F33" s="31"/>
      <c r="G33" s="32"/>
      <c r="H33" s="33"/>
      <c r="J33" s="35"/>
      <c r="K33" s="36"/>
      <c r="L33" s="91">
        <f>L32/(1+K32)</f>
        <v>0.31179576921934182</v>
      </c>
      <c r="M33" s="38"/>
      <c r="N33" s="89"/>
      <c r="Q33" s="38"/>
    </row>
    <row r="34" spans="2:17">
      <c r="B34" s="29"/>
      <c r="E34" s="30"/>
      <c r="F34" s="31"/>
      <c r="G34" s="32"/>
      <c r="H34" s="33"/>
      <c r="J34" s="35"/>
      <c r="K34" s="36"/>
      <c r="L34" s="37"/>
      <c r="M34" s="38"/>
      <c r="N34" s="89"/>
      <c r="Q34" s="38"/>
    </row>
    <row r="35" spans="2:17">
      <c r="B35" s="29"/>
      <c r="E35" s="30"/>
      <c r="F35" s="31"/>
      <c r="G35" s="32"/>
      <c r="H35" s="33"/>
      <c r="J35" s="35"/>
      <c r="K35" s="36"/>
      <c r="L35" s="37"/>
      <c r="M35" s="38"/>
      <c r="N35" s="89"/>
      <c r="Q35" s="38"/>
    </row>
    <row r="36" spans="2:17">
      <c r="B36" s="29"/>
      <c r="E36" s="30"/>
      <c r="F36" s="31"/>
      <c r="G36" s="32"/>
      <c r="H36" s="33"/>
      <c r="J36" s="35"/>
      <c r="K36" s="36"/>
      <c r="L36" s="37"/>
      <c r="M36" s="38"/>
      <c r="N36" s="89"/>
      <c r="Q36" s="38"/>
    </row>
    <row r="37" spans="2:17">
      <c r="B37" s="29"/>
      <c r="E37" s="30"/>
      <c r="F37" s="31"/>
      <c r="G37" s="32"/>
      <c r="H37" s="33"/>
      <c r="J37" s="35"/>
      <c r="K37" s="36"/>
      <c r="L37" s="37"/>
      <c r="M37" s="38"/>
      <c r="N37" s="89"/>
      <c r="Q37" s="38"/>
    </row>
    <row r="38" spans="2:17">
      <c r="B38" s="29"/>
      <c r="E38" s="30"/>
      <c r="F38" s="31"/>
      <c r="G38" s="32"/>
      <c r="H38" s="33"/>
      <c r="J38" s="35"/>
      <c r="K38" s="36"/>
      <c r="L38" s="37"/>
      <c r="M38" s="38"/>
      <c r="N38" s="89"/>
      <c r="Q38" s="38"/>
    </row>
    <row r="39" spans="2:17">
      <c r="B39" s="29"/>
      <c r="E39" s="30"/>
      <c r="F39" s="31"/>
      <c r="G39" s="32"/>
      <c r="H39" s="33"/>
      <c r="J39" s="35"/>
      <c r="K39" s="36"/>
      <c r="L39" s="37"/>
      <c r="M39" s="38"/>
      <c r="N39" s="89"/>
      <c r="Q39" s="38"/>
    </row>
    <row r="40" spans="2:17">
      <c r="B40" s="29"/>
      <c r="E40" s="30"/>
      <c r="F40" s="31"/>
      <c r="G40" s="32"/>
      <c r="H40" s="33"/>
      <c r="J40" s="35"/>
      <c r="K40" s="36"/>
      <c r="L40" s="37"/>
      <c r="M40" s="38"/>
      <c r="N40" s="89"/>
      <c r="Q40" s="38"/>
    </row>
    <row r="41" spans="2:17">
      <c r="B41" s="29"/>
      <c r="E41" s="30"/>
      <c r="F41" s="31"/>
      <c r="G41" s="32"/>
      <c r="H41" s="33"/>
      <c r="J41" s="35"/>
      <c r="K41" s="36"/>
      <c r="L41" s="37"/>
      <c r="M41" s="38"/>
      <c r="N41" s="89"/>
      <c r="Q41" s="38"/>
    </row>
    <row r="42" spans="2:17">
      <c r="B42" s="29"/>
      <c r="E42" s="30"/>
      <c r="F42" s="31"/>
      <c r="G42" s="32"/>
      <c r="H42" s="33"/>
      <c r="J42" s="35"/>
      <c r="K42" s="36"/>
      <c r="L42" s="37"/>
      <c r="M42" s="38"/>
      <c r="N42" s="89"/>
      <c r="Q42" s="38"/>
    </row>
    <row r="43" spans="2:17">
      <c r="B43" s="29"/>
      <c r="E43" s="30"/>
      <c r="F43" s="31"/>
      <c r="G43" s="32"/>
      <c r="H43" s="33"/>
      <c r="J43" s="35"/>
      <c r="K43" s="36"/>
      <c r="L43" s="37"/>
      <c r="M43" s="38"/>
      <c r="N43" s="89"/>
      <c r="Q43" s="38"/>
    </row>
    <row r="44" spans="2:17">
      <c r="B44" s="29"/>
      <c r="E44" s="30"/>
      <c r="F44" s="31"/>
      <c r="G44" s="32"/>
      <c r="H44" s="33"/>
      <c r="J44" s="35"/>
      <c r="K44" s="36"/>
      <c r="L44" s="37"/>
      <c r="M44" s="38"/>
      <c r="N44" s="89"/>
      <c r="Q44" s="38"/>
    </row>
    <row r="45" spans="2:17">
      <c r="B45" s="29"/>
      <c r="E45" s="30"/>
      <c r="F45" s="31"/>
      <c r="G45" s="32"/>
      <c r="H45" s="33"/>
      <c r="J45" s="35"/>
      <c r="K45" s="36"/>
      <c r="L45" s="37"/>
      <c r="M45" s="38"/>
      <c r="N45" s="89"/>
      <c r="Q45" s="38"/>
    </row>
    <row r="46" spans="2:17">
      <c r="B46" s="29"/>
      <c r="E46" s="30"/>
      <c r="F46" s="31"/>
      <c r="G46" s="32"/>
      <c r="H46" s="33"/>
      <c r="J46" s="35"/>
      <c r="K46" s="36"/>
      <c r="L46" s="37"/>
      <c r="M46" s="38"/>
      <c r="N46" s="89"/>
      <c r="Q46" s="38"/>
    </row>
    <row r="47" spans="2:17">
      <c r="B47" s="29"/>
      <c r="E47" s="30"/>
      <c r="F47" s="31"/>
      <c r="G47" s="32"/>
      <c r="H47" s="33"/>
      <c r="J47" s="35"/>
      <c r="K47" s="36"/>
      <c r="L47" s="37"/>
      <c r="M47" s="38"/>
      <c r="N47" s="89"/>
      <c r="Q47" s="38"/>
    </row>
    <row r="48" spans="2:17">
      <c r="B48" s="29"/>
      <c r="E48" s="30"/>
      <c r="F48" s="31"/>
      <c r="G48" s="32"/>
      <c r="H48" s="33"/>
      <c r="J48" s="35"/>
      <c r="K48" s="36"/>
      <c r="L48" s="37"/>
      <c r="M48" s="38"/>
      <c r="N48" s="89"/>
      <c r="Q48" s="38"/>
    </row>
    <row r="49" spans="2:17">
      <c r="B49" s="29"/>
      <c r="E49" s="30"/>
      <c r="F49" s="31"/>
      <c r="G49" s="32"/>
      <c r="H49" s="33"/>
      <c r="J49" s="35"/>
      <c r="K49" s="36"/>
      <c r="L49" s="37"/>
      <c r="M49" s="38"/>
      <c r="N49" s="89"/>
      <c r="Q49" s="38"/>
    </row>
    <row r="50" spans="2:17">
      <c r="B50" s="29"/>
      <c r="E50" s="30"/>
      <c r="F50" s="31"/>
      <c r="G50" s="32"/>
      <c r="H50" s="33"/>
      <c r="J50" s="35"/>
      <c r="K50" s="36"/>
      <c r="L50" s="37"/>
      <c r="M50" s="38"/>
      <c r="N50" s="89"/>
      <c r="Q50" s="38"/>
    </row>
    <row r="51" spans="2:17">
      <c r="B51" s="29"/>
      <c r="E51" s="30"/>
      <c r="F51" s="31"/>
      <c r="G51" s="32"/>
      <c r="H51" s="33"/>
      <c r="J51" s="35"/>
      <c r="K51" s="36"/>
      <c r="L51" s="37"/>
      <c r="M51" s="38"/>
      <c r="N51" s="89"/>
      <c r="Q51" s="38"/>
    </row>
    <row r="52" spans="2:17">
      <c r="B52" s="29"/>
      <c r="E52" s="30"/>
      <c r="F52" s="31"/>
      <c r="G52" s="32"/>
      <c r="H52" s="33"/>
      <c r="J52" s="35"/>
      <c r="K52" s="36"/>
      <c r="L52" s="37"/>
      <c r="M52" s="38"/>
      <c r="N52" s="89"/>
      <c r="Q52" s="38"/>
    </row>
    <row r="53" spans="2:17">
      <c r="B53" s="29"/>
      <c r="E53" s="30"/>
      <c r="F53" s="31"/>
      <c r="G53" s="32"/>
      <c r="H53" s="33"/>
      <c r="J53" s="35"/>
      <c r="K53" s="36"/>
      <c r="L53" s="37"/>
      <c r="M53" s="38"/>
      <c r="N53" s="89"/>
      <c r="Q53" s="38"/>
    </row>
    <row r="54" spans="2:17">
      <c r="B54" s="29"/>
      <c r="E54" s="30"/>
      <c r="F54" s="31"/>
      <c r="G54" s="32"/>
      <c r="H54" s="33"/>
      <c r="J54" s="35"/>
      <c r="K54" s="36"/>
      <c r="L54" s="37"/>
      <c r="M54" s="38"/>
      <c r="N54" s="89"/>
      <c r="Q54" s="38"/>
    </row>
    <row r="55" spans="2:17">
      <c r="B55" s="29"/>
      <c r="E55" s="30"/>
      <c r="F55" s="31"/>
      <c r="G55" s="32"/>
      <c r="H55" s="33"/>
      <c r="J55" s="35"/>
      <c r="K55" s="36"/>
      <c r="L55" s="37"/>
      <c r="M55" s="38"/>
      <c r="N55" s="89"/>
      <c r="Q55" s="38"/>
    </row>
    <row r="56" spans="2:17">
      <c r="B56" s="29"/>
      <c r="E56" s="30"/>
      <c r="F56" s="31"/>
      <c r="G56" s="32"/>
      <c r="H56" s="33"/>
      <c r="J56" s="35"/>
      <c r="K56" s="36"/>
      <c r="L56" s="37"/>
      <c r="M56" s="38"/>
      <c r="N56" s="89"/>
      <c r="Q56" s="38"/>
    </row>
    <row r="57" spans="2:17">
      <c r="B57" s="29"/>
      <c r="E57" s="30"/>
      <c r="F57" s="31"/>
      <c r="G57" s="32"/>
      <c r="H57" s="33"/>
      <c r="J57" s="35"/>
      <c r="K57" s="36"/>
      <c r="L57" s="37"/>
      <c r="M57" s="38"/>
      <c r="N57" s="89"/>
      <c r="Q57" s="38"/>
    </row>
    <row r="58" spans="2:17">
      <c r="B58" s="29"/>
      <c r="E58" s="30"/>
      <c r="F58" s="31"/>
      <c r="G58" s="32"/>
      <c r="H58" s="33"/>
      <c r="J58" s="35"/>
      <c r="K58" s="36"/>
      <c r="L58" s="37"/>
      <c r="M58" s="38"/>
      <c r="N58" s="89"/>
      <c r="Q58" s="38"/>
    </row>
    <row r="59" spans="2:17">
      <c r="B59" s="29"/>
      <c r="E59" s="30"/>
      <c r="F59" s="31"/>
      <c r="G59" s="32"/>
      <c r="H59" s="33"/>
      <c r="J59" s="35"/>
      <c r="K59" s="36"/>
      <c r="L59" s="37"/>
      <c r="M59" s="38"/>
      <c r="N59" s="89"/>
      <c r="Q59" s="38"/>
    </row>
    <row r="60" spans="2:17">
      <c r="B60" s="29"/>
      <c r="E60" s="30"/>
      <c r="F60" s="31"/>
      <c r="G60" s="32"/>
      <c r="H60" s="33"/>
      <c r="J60" s="35"/>
      <c r="K60" s="36"/>
      <c r="L60" s="37"/>
      <c r="M60" s="38"/>
      <c r="N60" s="89"/>
      <c r="Q60" s="78"/>
    </row>
    <row r="61" spans="2:17">
      <c r="L61" s="37"/>
      <c r="M61" s="41"/>
      <c r="N61" s="41"/>
    </row>
  </sheetData>
  <pageMargins left="0.7" right="0.7" top="0.75" bottom="0.75" header="0.3" footer="0.3"/>
  <pageSetup orientation="portrait" horizontalDpi="90" verticalDpi="90" r:id="rId1"/>
  <headerFooter>
    <oddFooter>&amp;C_x000D_&amp;1#&amp;"Calibri"&amp;10&amp;K000000 CONFIDENTIAL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6244-6AC3-4506-B5AE-248A39830D18}">
  <sheetPr>
    <tabColor theme="5" tint="0.79998168889431442"/>
  </sheetPr>
  <dimension ref="B2:O64"/>
  <sheetViews>
    <sheetView workbookViewId="0">
      <selection activeCell="F14" sqref="F14"/>
    </sheetView>
  </sheetViews>
  <sheetFormatPr defaultColWidth="9" defaultRowHeight="15"/>
  <cols>
    <col min="1" max="1" width="4" style="1" customWidth="1"/>
    <col min="2" max="4" width="8.42578125" style="1" customWidth="1"/>
    <col min="5" max="5" width="17" style="1" customWidth="1"/>
    <col min="6" max="6" width="12.42578125" style="1" bestFit="1" customWidth="1"/>
    <col min="7" max="7" width="13.42578125" style="1" customWidth="1"/>
    <col min="8" max="11" width="12" style="1" customWidth="1"/>
    <col min="12" max="16384" width="9" style="1"/>
  </cols>
  <sheetData>
    <row r="2" spans="2:15">
      <c r="E2" s="42" t="s">
        <v>14</v>
      </c>
    </row>
    <row r="3" spans="2:15">
      <c r="E3" s="1" t="s">
        <v>15</v>
      </c>
      <c r="F3" s="2"/>
    </row>
    <row r="4" spans="2:15">
      <c r="E4" s="1" t="s">
        <v>16</v>
      </c>
    </row>
    <row r="5" spans="2:15">
      <c r="E5" s="1" t="s">
        <v>17</v>
      </c>
    </row>
    <row r="6" spans="2:15" ht="30">
      <c r="B6" s="8" t="s">
        <v>2</v>
      </c>
      <c r="C6" s="8" t="s">
        <v>0</v>
      </c>
      <c r="D6" s="8" t="s">
        <v>1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24</v>
      </c>
      <c r="O6" s="43"/>
    </row>
    <row r="7" spans="2:15">
      <c r="B7" s="8"/>
      <c r="C7" s="8"/>
      <c r="D7" s="8"/>
      <c r="E7" s="44">
        <v>30000</v>
      </c>
      <c r="F7" s="44">
        <v>65000</v>
      </c>
      <c r="G7" s="44">
        <f>E7+F7</f>
        <v>95000</v>
      </c>
      <c r="H7" s="45">
        <v>110000</v>
      </c>
      <c r="I7" s="9"/>
      <c r="J7" s="9"/>
      <c r="K7" s="46">
        <f>G7</f>
        <v>95000</v>
      </c>
    </row>
    <row r="8" spans="2:15">
      <c r="B8" s="18">
        <v>2023</v>
      </c>
      <c r="C8" s="19">
        <v>1</v>
      </c>
      <c r="D8" s="19">
        <v>65</v>
      </c>
      <c r="E8" s="47"/>
      <c r="F8" s="47"/>
      <c r="G8" s="47"/>
      <c r="H8" s="45">
        <v>110000</v>
      </c>
      <c r="I8" s="48">
        <f t="shared" ref="I8:I35" si="0">IFERROR(H7/SUM(H7:H63),0)</f>
        <v>9.5011876484560567E-2</v>
      </c>
      <c r="J8" s="45">
        <f>K7*I8</f>
        <v>9026.1282660332545</v>
      </c>
      <c r="K8" s="45">
        <f t="shared" ref="K8:K35" si="1">K7-J8</f>
        <v>85973.871733966749</v>
      </c>
    </row>
    <row r="9" spans="2:15">
      <c r="B9" s="18">
        <v>2024</v>
      </c>
      <c r="C9" s="19">
        <v>2</v>
      </c>
      <c r="D9" s="19">
        <v>66</v>
      </c>
      <c r="E9" s="47"/>
      <c r="F9" s="47"/>
      <c r="G9" s="47"/>
      <c r="H9" s="45">
        <v>110000</v>
      </c>
      <c r="I9" s="48">
        <f t="shared" si="0"/>
        <v>0.10498687664041995</v>
      </c>
      <c r="J9" s="45">
        <f t="shared" ref="J9:J35" si="2">K8*I9</f>
        <v>9026.1282660332545</v>
      </c>
      <c r="K9" s="45">
        <f t="shared" si="1"/>
        <v>76947.743467933498</v>
      </c>
    </row>
    <row r="10" spans="2:15">
      <c r="B10" s="18">
        <v>2025</v>
      </c>
      <c r="C10" s="19">
        <v>3</v>
      </c>
      <c r="D10" s="19">
        <v>67</v>
      </c>
      <c r="E10" s="47"/>
      <c r="F10" s="47"/>
      <c r="G10" s="47"/>
      <c r="H10" s="45">
        <v>110000</v>
      </c>
      <c r="I10" s="48">
        <f t="shared" si="0"/>
        <v>0.11730205278592376</v>
      </c>
      <c r="J10" s="45">
        <f>K9*I10</f>
        <v>9026.1282660332563</v>
      </c>
      <c r="K10" s="63">
        <f t="shared" si="1"/>
        <v>67921.615201900247</v>
      </c>
      <c r="L10" s="65" t="s">
        <v>29</v>
      </c>
    </row>
    <row r="11" spans="2:15">
      <c r="B11" s="18">
        <v>2026</v>
      </c>
      <c r="C11" s="19">
        <v>4</v>
      </c>
      <c r="D11" s="19">
        <v>68</v>
      </c>
      <c r="E11" s="47"/>
      <c r="F11" s="47"/>
      <c r="G11" s="47"/>
      <c r="H11" s="45">
        <v>110000</v>
      </c>
      <c r="I11" s="48">
        <f t="shared" si="0"/>
        <v>0.13289036544850499</v>
      </c>
      <c r="J11" s="45">
        <f>K10*I11</f>
        <v>9026.1282660332563</v>
      </c>
      <c r="K11" s="45">
        <f t="shared" si="1"/>
        <v>58895.486935866989</v>
      </c>
    </row>
    <row r="12" spans="2:15">
      <c r="B12" s="18">
        <v>2027</v>
      </c>
      <c r="C12" s="19">
        <v>5</v>
      </c>
      <c r="D12" s="19">
        <v>69</v>
      </c>
      <c r="E12" s="47"/>
      <c r="F12" s="47"/>
      <c r="G12" s="47"/>
      <c r="H12" s="45">
        <v>110000</v>
      </c>
      <c r="I12" s="48">
        <f t="shared" si="0"/>
        <v>0.1532567049808429</v>
      </c>
      <c r="J12" s="45">
        <f t="shared" si="2"/>
        <v>9026.1282660332545</v>
      </c>
      <c r="K12" s="45">
        <f t="shared" si="1"/>
        <v>49869.358669833731</v>
      </c>
    </row>
    <row r="13" spans="2:15">
      <c r="B13" s="18">
        <v>2028</v>
      </c>
      <c r="C13" s="19">
        <v>6</v>
      </c>
      <c r="D13" s="19">
        <v>70</v>
      </c>
      <c r="E13" s="47"/>
      <c r="F13" s="47"/>
      <c r="G13" s="47"/>
      <c r="H13" s="45">
        <v>110000</v>
      </c>
      <c r="I13" s="48">
        <f t="shared" si="0"/>
        <v>0.18099547511312217</v>
      </c>
      <c r="J13" s="45">
        <f>K12*I13</f>
        <v>9026.1282660332545</v>
      </c>
      <c r="K13" s="45">
        <f t="shared" si="1"/>
        <v>40843.23040380048</v>
      </c>
    </row>
    <row r="14" spans="2:15">
      <c r="B14" s="18">
        <v>2029</v>
      </c>
      <c r="C14" s="19">
        <v>7</v>
      </c>
      <c r="D14" s="19">
        <v>71</v>
      </c>
      <c r="E14" s="47"/>
      <c r="F14" s="47"/>
      <c r="G14" s="47"/>
      <c r="H14" s="45">
        <v>110000</v>
      </c>
      <c r="I14" s="48">
        <f t="shared" si="0"/>
        <v>0.22099447513812154</v>
      </c>
      <c r="J14" s="45">
        <f t="shared" si="2"/>
        <v>9026.1282660332545</v>
      </c>
      <c r="K14" s="45">
        <f t="shared" si="1"/>
        <v>31817.102137767226</v>
      </c>
    </row>
    <row r="15" spans="2:15">
      <c r="B15" s="18">
        <v>2030</v>
      </c>
      <c r="C15" s="19">
        <v>8</v>
      </c>
      <c r="D15" s="19">
        <v>72</v>
      </c>
      <c r="E15" s="47"/>
      <c r="F15" s="47"/>
      <c r="G15" s="47"/>
      <c r="H15" s="45">
        <v>110000</v>
      </c>
      <c r="I15" s="48">
        <f t="shared" si="0"/>
        <v>0.28368794326241137</v>
      </c>
      <c r="J15" s="45">
        <f t="shared" si="2"/>
        <v>9026.1282660332563</v>
      </c>
      <c r="K15" s="45">
        <f t="shared" si="1"/>
        <v>22790.973871733971</v>
      </c>
    </row>
    <row r="16" spans="2:15">
      <c r="B16" s="18">
        <v>2031</v>
      </c>
      <c r="C16" s="19">
        <v>9</v>
      </c>
      <c r="D16" s="19">
        <v>73</v>
      </c>
      <c r="E16" s="47"/>
      <c r="F16" s="47"/>
      <c r="G16" s="47"/>
      <c r="H16" s="45">
        <v>110000</v>
      </c>
      <c r="I16" s="48">
        <f t="shared" si="0"/>
        <v>0.39603960396039606</v>
      </c>
      <c r="J16" s="45">
        <f t="shared" si="2"/>
        <v>9026.1282660332563</v>
      </c>
      <c r="K16" s="45">
        <f t="shared" si="1"/>
        <v>13764.845605700715</v>
      </c>
    </row>
    <row r="17" spans="2:11">
      <c r="B17" s="18">
        <v>2032</v>
      </c>
      <c r="C17" s="19">
        <v>10</v>
      </c>
      <c r="D17" s="19">
        <v>74</v>
      </c>
      <c r="E17" s="47"/>
      <c r="F17" s="47"/>
      <c r="G17" s="47"/>
      <c r="H17" s="45">
        <v>11770</v>
      </c>
      <c r="I17" s="48">
        <f t="shared" si="0"/>
        <v>0.65573770491803274</v>
      </c>
      <c r="J17" s="45">
        <f t="shared" si="2"/>
        <v>9026.1282660332545</v>
      </c>
      <c r="K17" s="45">
        <f t="shared" si="1"/>
        <v>4738.7173396674607</v>
      </c>
    </row>
    <row r="18" spans="2:11">
      <c r="B18" s="18">
        <v>2033</v>
      </c>
      <c r="C18" s="19">
        <v>11</v>
      </c>
      <c r="D18" s="19">
        <v>75</v>
      </c>
      <c r="E18" s="47"/>
      <c r="F18" s="47"/>
      <c r="G18" s="47"/>
      <c r="H18" s="45">
        <v>9460</v>
      </c>
      <c r="I18" s="48">
        <f t="shared" si="0"/>
        <v>0.2038095238095238</v>
      </c>
      <c r="J18" s="45">
        <f t="shared" si="2"/>
        <v>965.79572446555858</v>
      </c>
      <c r="K18" s="45">
        <f t="shared" si="1"/>
        <v>3772.9216152019021</v>
      </c>
    </row>
    <row r="19" spans="2:11">
      <c r="B19" s="18">
        <v>2034</v>
      </c>
      <c r="C19" s="19">
        <v>12</v>
      </c>
      <c r="D19" s="19">
        <v>76</v>
      </c>
      <c r="E19" s="47"/>
      <c r="F19" s="47"/>
      <c r="G19" s="47"/>
      <c r="H19" s="45">
        <v>7590</v>
      </c>
      <c r="I19" s="48">
        <f t="shared" si="0"/>
        <v>0.20574162679425836</v>
      </c>
      <c r="J19" s="45">
        <f t="shared" si="2"/>
        <v>776.24703087886019</v>
      </c>
      <c r="K19" s="45">
        <f t="shared" si="1"/>
        <v>2996.6745843230419</v>
      </c>
    </row>
    <row r="20" spans="2:11">
      <c r="B20" s="18">
        <v>2035</v>
      </c>
      <c r="C20" s="19">
        <v>13</v>
      </c>
      <c r="D20" s="19">
        <v>77</v>
      </c>
      <c r="E20" s="47"/>
      <c r="F20" s="47"/>
      <c r="G20" s="47"/>
      <c r="H20" s="45">
        <v>6050</v>
      </c>
      <c r="I20" s="48">
        <f t="shared" si="0"/>
        <v>0.20783132530120482</v>
      </c>
      <c r="J20" s="45">
        <f t="shared" si="2"/>
        <v>622.80285035629481</v>
      </c>
      <c r="K20" s="45">
        <f t="shared" si="1"/>
        <v>2373.8717339667473</v>
      </c>
    </row>
    <row r="21" spans="2:11">
      <c r="B21" s="18">
        <v>2036</v>
      </c>
      <c r="C21" s="19">
        <v>14</v>
      </c>
      <c r="D21" s="19">
        <v>78</v>
      </c>
      <c r="E21" s="47"/>
      <c r="F21" s="47"/>
      <c r="G21" s="47"/>
      <c r="H21" s="45">
        <v>4840</v>
      </c>
      <c r="I21" s="48">
        <f t="shared" si="0"/>
        <v>0.20912547528517111</v>
      </c>
      <c r="J21" s="45">
        <f t="shared" si="2"/>
        <v>496.43705463182931</v>
      </c>
      <c r="K21" s="45">
        <f t="shared" si="1"/>
        <v>1877.434679334918</v>
      </c>
    </row>
    <row r="22" spans="2:11">
      <c r="B22" s="18">
        <v>2037</v>
      </c>
      <c r="C22" s="19">
        <v>15</v>
      </c>
      <c r="D22" s="19">
        <v>79</v>
      </c>
      <c r="E22" s="47"/>
      <c r="F22" s="47"/>
      <c r="G22" s="47"/>
      <c r="H22" s="45">
        <v>3850</v>
      </c>
      <c r="I22" s="48">
        <f t="shared" si="0"/>
        <v>0.21153846153846154</v>
      </c>
      <c r="J22" s="45">
        <f t="shared" si="2"/>
        <v>397.1496437054634</v>
      </c>
      <c r="K22" s="45">
        <f t="shared" si="1"/>
        <v>1480.2850356294546</v>
      </c>
    </row>
    <row r="23" spans="2:11">
      <c r="B23" s="18">
        <v>2038</v>
      </c>
      <c r="C23" s="19">
        <v>16</v>
      </c>
      <c r="D23" s="19">
        <v>80</v>
      </c>
      <c r="E23" s="47"/>
      <c r="F23" s="47"/>
      <c r="G23" s="47"/>
      <c r="H23" s="45">
        <v>3080</v>
      </c>
      <c r="I23" s="48">
        <f t="shared" si="0"/>
        <v>0.21341463414634146</v>
      </c>
      <c r="J23" s="45">
        <f t="shared" si="2"/>
        <v>315.91448931116406</v>
      </c>
      <c r="K23" s="45">
        <f t="shared" si="1"/>
        <v>1164.3705463182905</v>
      </c>
    </row>
    <row r="24" spans="2:11">
      <c r="B24" s="18">
        <v>2039</v>
      </c>
      <c r="C24" s="19">
        <v>17</v>
      </c>
      <c r="D24" s="19">
        <v>81</v>
      </c>
      <c r="E24" s="47"/>
      <c r="F24" s="47"/>
      <c r="G24" s="47"/>
      <c r="H24" s="45">
        <v>2420</v>
      </c>
      <c r="I24" s="48">
        <f t="shared" si="0"/>
        <v>0.21705426356589147</v>
      </c>
      <c r="J24" s="45">
        <f t="shared" si="2"/>
        <v>252.73159144893128</v>
      </c>
      <c r="K24" s="45">
        <f t="shared" si="1"/>
        <v>911.63895486935917</v>
      </c>
    </row>
    <row r="25" spans="2:11">
      <c r="B25" s="18">
        <v>2040</v>
      </c>
      <c r="C25" s="19">
        <v>18</v>
      </c>
      <c r="D25" s="19">
        <v>82</v>
      </c>
      <c r="E25" s="47"/>
      <c r="F25" s="47"/>
      <c r="G25" s="47"/>
      <c r="H25" s="45">
        <v>1980</v>
      </c>
      <c r="I25" s="48">
        <f t="shared" si="0"/>
        <v>0.21782178217821782</v>
      </c>
      <c r="J25" s="45">
        <f t="shared" si="2"/>
        <v>198.5748218527317</v>
      </c>
      <c r="K25" s="45">
        <f t="shared" si="1"/>
        <v>713.06413301662747</v>
      </c>
    </row>
    <row r="26" spans="2:11">
      <c r="B26" s="18">
        <v>2041</v>
      </c>
      <c r="C26" s="19">
        <v>19</v>
      </c>
      <c r="D26" s="19">
        <v>83</v>
      </c>
      <c r="E26" s="47"/>
      <c r="F26" s="47"/>
      <c r="G26" s="47"/>
      <c r="H26" s="45">
        <v>1540</v>
      </c>
      <c r="I26" s="48">
        <f t="shared" si="0"/>
        <v>0.22784810126582278</v>
      </c>
      <c r="J26" s="45">
        <f t="shared" si="2"/>
        <v>162.47030878859866</v>
      </c>
      <c r="K26" s="45">
        <f t="shared" si="1"/>
        <v>550.59382422802878</v>
      </c>
    </row>
    <row r="27" spans="2:11">
      <c r="B27" s="18">
        <v>2042</v>
      </c>
      <c r="C27" s="19">
        <v>20</v>
      </c>
      <c r="D27" s="19">
        <v>84</v>
      </c>
      <c r="E27" s="47"/>
      <c r="F27" s="47"/>
      <c r="G27" s="47"/>
      <c r="H27" s="45">
        <v>1210</v>
      </c>
      <c r="I27" s="48">
        <f t="shared" si="0"/>
        <v>0.22950819672131148</v>
      </c>
      <c r="J27" s="45">
        <f t="shared" si="2"/>
        <v>126.36579572446563</v>
      </c>
      <c r="K27" s="45">
        <f t="shared" si="1"/>
        <v>424.22802850356317</v>
      </c>
    </row>
    <row r="28" spans="2:11">
      <c r="B28" s="18">
        <v>2043</v>
      </c>
      <c r="C28" s="19">
        <v>21</v>
      </c>
      <c r="D28" s="19">
        <v>85</v>
      </c>
      <c r="E28" s="47"/>
      <c r="F28" s="47"/>
      <c r="G28" s="47"/>
      <c r="H28" s="45">
        <v>990</v>
      </c>
      <c r="I28" s="48">
        <f t="shared" si="0"/>
        <v>0.23404255319148937</v>
      </c>
      <c r="J28" s="45">
        <f t="shared" si="2"/>
        <v>99.287410926365851</v>
      </c>
      <c r="K28" s="45">
        <f t="shared" si="1"/>
        <v>324.94061757719732</v>
      </c>
    </row>
    <row r="29" spans="2:11">
      <c r="B29" s="18">
        <v>2044</v>
      </c>
      <c r="C29" s="19">
        <v>22</v>
      </c>
      <c r="D29" s="19">
        <v>86</v>
      </c>
      <c r="E29" s="47"/>
      <c r="F29" s="47"/>
      <c r="G29" s="47"/>
      <c r="H29" s="45">
        <v>770</v>
      </c>
      <c r="I29" s="48">
        <f t="shared" si="0"/>
        <v>0.25</v>
      </c>
      <c r="J29" s="45">
        <f t="shared" si="2"/>
        <v>81.235154394299329</v>
      </c>
      <c r="K29" s="45">
        <f t="shared" si="1"/>
        <v>243.70546318289797</v>
      </c>
    </row>
    <row r="30" spans="2:11">
      <c r="B30" s="18">
        <v>2045</v>
      </c>
      <c r="C30" s="19">
        <v>23</v>
      </c>
      <c r="D30" s="19">
        <v>87</v>
      </c>
      <c r="E30" s="47"/>
      <c r="F30" s="47"/>
      <c r="G30" s="47"/>
      <c r="H30" s="45">
        <v>660</v>
      </c>
      <c r="I30" s="48">
        <f t="shared" si="0"/>
        <v>0.25925925925925924</v>
      </c>
      <c r="J30" s="45">
        <f t="shared" si="2"/>
        <v>63.182897862232807</v>
      </c>
      <c r="K30" s="45">
        <f t="shared" si="1"/>
        <v>180.52256532066517</v>
      </c>
    </row>
    <row r="31" spans="2:11">
      <c r="B31" s="18">
        <v>2046</v>
      </c>
      <c r="C31" s="19">
        <v>24</v>
      </c>
      <c r="D31" s="19">
        <v>88</v>
      </c>
      <c r="E31" s="47"/>
      <c r="F31" s="47"/>
      <c r="G31" s="47"/>
      <c r="H31" s="45">
        <v>550</v>
      </c>
      <c r="I31" s="48">
        <f t="shared" si="0"/>
        <v>0.3</v>
      </c>
      <c r="J31" s="45">
        <f t="shared" si="2"/>
        <v>54.156769596199545</v>
      </c>
      <c r="K31" s="45">
        <f t="shared" si="1"/>
        <v>126.36579572446561</v>
      </c>
    </row>
    <row r="32" spans="2:11">
      <c r="B32" s="18">
        <v>2047</v>
      </c>
      <c r="C32" s="19">
        <v>25</v>
      </c>
      <c r="D32" s="19">
        <v>89</v>
      </c>
      <c r="E32" s="47"/>
      <c r="F32" s="47"/>
      <c r="G32" s="47"/>
      <c r="H32" s="45">
        <v>440</v>
      </c>
      <c r="I32" s="48">
        <f t="shared" si="0"/>
        <v>0.35714285714285715</v>
      </c>
      <c r="J32" s="45">
        <f t="shared" si="2"/>
        <v>45.130641330166291</v>
      </c>
      <c r="K32" s="45">
        <f t="shared" si="1"/>
        <v>81.235154394299315</v>
      </c>
    </row>
    <row r="33" spans="2:11">
      <c r="B33" s="18">
        <v>2048</v>
      </c>
      <c r="C33" s="19">
        <v>26</v>
      </c>
      <c r="D33" s="19">
        <v>90</v>
      </c>
      <c r="E33" s="47"/>
      <c r="F33" s="47"/>
      <c r="G33" s="47"/>
      <c r="H33" s="45">
        <v>330</v>
      </c>
      <c r="I33" s="48">
        <f t="shared" si="0"/>
        <v>0.44444444444444442</v>
      </c>
      <c r="J33" s="45">
        <f t="shared" si="2"/>
        <v>36.104513064133023</v>
      </c>
      <c r="K33" s="45">
        <f t="shared" si="1"/>
        <v>45.130641330166291</v>
      </c>
    </row>
    <row r="34" spans="2:11">
      <c r="B34" s="18">
        <v>2049</v>
      </c>
      <c r="C34" s="19">
        <v>27</v>
      </c>
      <c r="D34" s="19">
        <v>91</v>
      </c>
      <c r="E34" s="47"/>
      <c r="F34" s="47"/>
      <c r="G34" s="47"/>
      <c r="H34" s="45">
        <v>220</v>
      </c>
      <c r="I34" s="48">
        <f t="shared" si="0"/>
        <v>0.6</v>
      </c>
      <c r="J34" s="45">
        <f t="shared" si="2"/>
        <v>27.078384798099773</v>
      </c>
      <c r="K34" s="45">
        <f t="shared" si="1"/>
        <v>18.052256532066519</v>
      </c>
    </row>
    <row r="35" spans="2:11">
      <c r="B35" s="18">
        <v>2050</v>
      </c>
      <c r="C35" s="19">
        <v>28</v>
      </c>
      <c r="D35" s="19">
        <v>92</v>
      </c>
      <c r="E35" s="90"/>
      <c r="F35" s="90"/>
      <c r="G35" s="90"/>
      <c r="H35" s="45">
        <v>0</v>
      </c>
      <c r="I35" s="48">
        <f t="shared" si="0"/>
        <v>1</v>
      </c>
      <c r="J35" s="45">
        <f t="shared" si="2"/>
        <v>18.052256532066519</v>
      </c>
      <c r="K35" s="45">
        <f t="shared" si="1"/>
        <v>0</v>
      </c>
    </row>
    <row r="36" spans="2:11">
      <c r="B36" s="29"/>
      <c r="E36" s="35"/>
      <c r="F36" s="35"/>
      <c r="G36" s="35"/>
      <c r="H36" s="49"/>
      <c r="I36" s="50"/>
      <c r="J36" s="49"/>
      <c r="K36" s="49"/>
    </row>
    <row r="37" spans="2:11">
      <c r="B37" s="29"/>
      <c r="E37" s="35"/>
      <c r="F37" s="35"/>
      <c r="G37" s="35"/>
      <c r="H37" s="49"/>
      <c r="I37" s="50"/>
      <c r="J37" s="49"/>
      <c r="K37" s="49"/>
    </row>
    <row r="38" spans="2:11">
      <c r="B38" s="29"/>
      <c r="E38" s="35"/>
      <c r="F38" s="35"/>
      <c r="G38" s="35"/>
      <c r="H38" s="49"/>
      <c r="I38" s="50"/>
      <c r="J38" s="49"/>
      <c r="K38" s="49"/>
    </row>
    <row r="39" spans="2:11">
      <c r="B39" s="29"/>
      <c r="E39" s="35"/>
      <c r="F39" s="35"/>
      <c r="G39" s="35"/>
      <c r="H39" s="49"/>
      <c r="I39" s="50"/>
      <c r="J39" s="49"/>
      <c r="K39" s="49"/>
    </row>
    <row r="40" spans="2:11">
      <c r="B40" s="29"/>
      <c r="E40" s="35"/>
      <c r="F40" s="35"/>
      <c r="G40" s="35"/>
      <c r="H40" s="49"/>
      <c r="I40" s="50"/>
      <c r="J40" s="49"/>
      <c r="K40" s="49"/>
    </row>
    <row r="41" spans="2:11">
      <c r="B41" s="29"/>
      <c r="E41" s="35"/>
      <c r="F41" s="35"/>
      <c r="G41" s="35"/>
      <c r="H41" s="49"/>
      <c r="I41" s="50"/>
      <c r="J41" s="49"/>
      <c r="K41" s="49"/>
    </row>
    <row r="42" spans="2:11">
      <c r="B42" s="29"/>
      <c r="E42" s="35"/>
      <c r="F42" s="35"/>
      <c r="G42" s="35"/>
      <c r="H42" s="49"/>
      <c r="I42" s="50"/>
      <c r="J42" s="49"/>
      <c r="K42" s="49"/>
    </row>
    <row r="43" spans="2:11">
      <c r="B43" s="29"/>
      <c r="E43" s="35"/>
      <c r="F43" s="35"/>
      <c r="G43" s="35"/>
      <c r="H43" s="49"/>
      <c r="I43" s="50"/>
      <c r="J43" s="49"/>
      <c r="K43" s="49"/>
    </row>
    <row r="44" spans="2:11">
      <c r="B44" s="29"/>
      <c r="E44" s="35"/>
      <c r="F44" s="35"/>
      <c r="G44" s="35"/>
      <c r="H44" s="49"/>
      <c r="I44" s="50"/>
      <c r="J44" s="49"/>
      <c r="K44" s="49"/>
    </row>
    <row r="45" spans="2:11">
      <c r="B45" s="29"/>
      <c r="E45" s="35"/>
      <c r="F45" s="35"/>
      <c r="G45" s="35"/>
      <c r="H45" s="49"/>
      <c r="I45" s="50"/>
      <c r="J45" s="49"/>
      <c r="K45" s="49"/>
    </row>
    <row r="46" spans="2:11">
      <c r="B46" s="29"/>
      <c r="E46" s="35"/>
      <c r="F46" s="35"/>
      <c r="G46" s="35"/>
      <c r="H46" s="49"/>
      <c r="I46" s="50"/>
      <c r="J46" s="49"/>
      <c r="K46" s="49"/>
    </row>
    <row r="47" spans="2:11">
      <c r="B47" s="29"/>
      <c r="E47" s="35"/>
      <c r="F47" s="35"/>
      <c r="G47" s="35"/>
      <c r="H47" s="49"/>
      <c r="I47" s="50"/>
      <c r="J47" s="49"/>
      <c r="K47" s="49"/>
    </row>
    <row r="48" spans="2:11">
      <c r="B48" s="29"/>
      <c r="E48" s="35"/>
      <c r="F48" s="35"/>
      <c r="G48" s="35"/>
      <c r="H48" s="49"/>
      <c r="I48" s="50"/>
      <c r="J48" s="49"/>
      <c r="K48" s="49"/>
    </row>
    <row r="49" spans="2:11">
      <c r="B49" s="29"/>
      <c r="E49" s="35"/>
      <c r="F49" s="35"/>
      <c r="G49" s="35"/>
      <c r="H49" s="49"/>
      <c r="I49" s="50"/>
      <c r="J49" s="49"/>
      <c r="K49" s="49"/>
    </row>
    <row r="50" spans="2:11">
      <c r="B50" s="29"/>
      <c r="E50" s="35"/>
      <c r="F50" s="35"/>
      <c r="G50" s="35"/>
      <c r="H50" s="49"/>
      <c r="I50" s="50"/>
      <c r="J50" s="49"/>
      <c r="K50" s="49"/>
    </row>
    <row r="51" spans="2:11">
      <c r="B51" s="29"/>
      <c r="E51" s="35"/>
      <c r="F51" s="35"/>
      <c r="G51" s="35"/>
      <c r="H51" s="49"/>
      <c r="I51" s="50"/>
      <c r="J51" s="49"/>
      <c r="K51" s="49"/>
    </row>
    <row r="52" spans="2:11">
      <c r="B52" s="29"/>
      <c r="E52" s="35"/>
      <c r="F52" s="35"/>
      <c r="G52" s="35"/>
      <c r="H52" s="49"/>
      <c r="I52" s="50"/>
      <c r="J52" s="49"/>
      <c r="K52" s="49"/>
    </row>
    <row r="53" spans="2:11">
      <c r="B53" s="29"/>
      <c r="E53" s="35"/>
      <c r="F53" s="35"/>
      <c r="G53" s="35"/>
      <c r="H53" s="49"/>
      <c r="I53" s="50"/>
      <c r="J53" s="49"/>
      <c r="K53" s="49"/>
    </row>
    <row r="54" spans="2:11">
      <c r="B54" s="29"/>
      <c r="E54" s="35"/>
      <c r="F54" s="35"/>
      <c r="G54" s="35"/>
      <c r="H54" s="49"/>
      <c r="I54" s="50"/>
      <c r="J54" s="49"/>
      <c r="K54" s="49"/>
    </row>
    <row r="55" spans="2:11">
      <c r="B55" s="29"/>
      <c r="E55" s="35"/>
      <c r="F55" s="35"/>
      <c r="G55" s="35"/>
      <c r="H55" s="49"/>
      <c r="I55" s="50"/>
      <c r="J55" s="49"/>
      <c r="K55" s="49"/>
    </row>
    <row r="56" spans="2:11">
      <c r="B56" s="29"/>
      <c r="E56" s="35"/>
      <c r="F56" s="35"/>
      <c r="G56" s="35"/>
      <c r="H56" s="49"/>
      <c r="I56" s="50"/>
      <c r="J56" s="49"/>
      <c r="K56" s="49"/>
    </row>
    <row r="57" spans="2:11">
      <c r="B57" s="29"/>
      <c r="E57" s="35"/>
      <c r="F57" s="35"/>
      <c r="G57" s="35"/>
      <c r="H57" s="49"/>
      <c r="I57" s="50"/>
      <c r="J57" s="49"/>
      <c r="K57" s="49"/>
    </row>
    <row r="58" spans="2:11">
      <c r="B58" s="29"/>
      <c r="E58" s="35"/>
      <c r="F58" s="35"/>
      <c r="G58" s="35"/>
      <c r="H58" s="49"/>
      <c r="I58" s="50"/>
      <c r="J58" s="49"/>
      <c r="K58" s="49"/>
    </row>
    <row r="59" spans="2:11">
      <c r="B59" s="29"/>
      <c r="E59" s="35"/>
      <c r="F59" s="35"/>
      <c r="G59" s="35"/>
      <c r="H59" s="49"/>
      <c r="I59" s="50"/>
      <c r="J59" s="49"/>
      <c r="K59" s="49"/>
    </row>
    <row r="60" spans="2:11">
      <c r="B60" s="29"/>
      <c r="E60" s="35"/>
      <c r="F60" s="35"/>
      <c r="G60" s="35"/>
      <c r="H60" s="49"/>
      <c r="I60" s="50"/>
      <c r="J60" s="49"/>
      <c r="K60" s="49"/>
    </row>
    <row r="61" spans="2:11">
      <c r="B61" s="29"/>
      <c r="E61" s="35"/>
      <c r="F61" s="35"/>
      <c r="G61" s="35"/>
      <c r="H61" s="49"/>
      <c r="I61" s="50"/>
      <c r="J61" s="49"/>
      <c r="K61" s="49"/>
    </row>
    <row r="62" spans="2:11">
      <c r="B62" s="29"/>
      <c r="E62" s="35"/>
      <c r="F62" s="35"/>
      <c r="G62" s="35"/>
      <c r="H62" s="49"/>
      <c r="I62" s="50"/>
      <c r="J62" s="49"/>
      <c r="K62" s="49"/>
    </row>
    <row r="63" spans="2:11">
      <c r="B63" s="29"/>
      <c r="E63" s="35"/>
      <c r="F63" s="35"/>
      <c r="G63" s="35"/>
      <c r="H63" s="49"/>
      <c r="I63" s="50"/>
      <c r="J63" s="49"/>
      <c r="K63" s="49"/>
    </row>
    <row r="64" spans="2:11">
      <c r="H64" s="49"/>
      <c r="I64" s="50"/>
      <c r="J64" s="49"/>
      <c r="K64" s="49"/>
    </row>
  </sheetData>
  <pageMargins left="0.7" right="0.7" top="0.75" bottom="0.75" header="0.3" footer="0.3"/>
  <pageSetup orientation="portrait" horizontalDpi="90" verticalDpi="90" r:id="rId1"/>
  <headerFooter>
    <oddFooter>&amp;C_x000D_&amp;1#&amp;"Calibri"&amp;10&amp;K000000 CONFIDENTIAL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CBAE-35D9-44AE-80A0-DC1F8F8325E4}">
  <sheetPr>
    <tabColor theme="5" tint="0.79998168889431442"/>
  </sheetPr>
  <dimension ref="B1:O68"/>
  <sheetViews>
    <sheetView workbookViewId="0">
      <selection activeCell="M13" sqref="M13"/>
    </sheetView>
  </sheetViews>
  <sheetFormatPr defaultColWidth="9" defaultRowHeight="15"/>
  <cols>
    <col min="1" max="1" width="3.28515625" style="1" customWidth="1"/>
    <col min="2" max="4" width="8.42578125" style="1" customWidth="1"/>
    <col min="5" max="5" width="26.42578125" style="1" customWidth="1"/>
    <col min="6" max="6" width="12.42578125" style="1" bestFit="1" customWidth="1"/>
    <col min="7" max="7" width="13.42578125" style="1" customWidth="1"/>
    <col min="8" max="8" width="12" style="1" customWidth="1"/>
    <col min="9" max="9" width="15" style="3" customWidth="1"/>
    <col min="10" max="10" width="25.28515625" style="1" customWidth="1"/>
    <col min="11" max="11" width="9" style="1"/>
    <col min="12" max="12" width="15.42578125" style="1" customWidth="1"/>
    <col min="13" max="13" width="21" style="4" bestFit="1" customWidth="1"/>
    <col min="14" max="14" width="12.42578125" style="4" bestFit="1" customWidth="1"/>
    <col min="15" max="15" width="18" style="4" bestFit="1" customWidth="1"/>
    <col min="16" max="16384" width="9" style="1"/>
  </cols>
  <sheetData>
    <row r="1" spans="2:15">
      <c r="I1" s="1"/>
      <c r="M1" s="1"/>
      <c r="N1" s="1"/>
      <c r="O1" s="5"/>
    </row>
    <row r="2" spans="2:15">
      <c r="E2" s="51"/>
      <c r="F2" s="51" t="s">
        <v>25</v>
      </c>
      <c r="G2" s="52" t="s">
        <v>3</v>
      </c>
      <c r="H2" s="51" t="s">
        <v>26</v>
      </c>
      <c r="I2" s="53"/>
      <c r="N2" s="6"/>
      <c r="O2" s="5"/>
    </row>
    <row r="3" spans="2:15">
      <c r="E3" s="51"/>
      <c r="F3" s="54"/>
      <c r="G3" s="55"/>
      <c r="H3" s="56"/>
      <c r="I3" s="57"/>
      <c r="N3" s="6"/>
      <c r="O3" s="5"/>
    </row>
    <row r="4" spans="2:15">
      <c r="E4" s="51" t="s">
        <v>27</v>
      </c>
      <c r="F4" s="54">
        <f>'Part 3(a)'!M8</f>
        <v>609464.58977829979</v>
      </c>
      <c r="G4" s="76">
        <f>M15</f>
        <v>590835.1061355843</v>
      </c>
      <c r="H4" s="75">
        <f>G4-F4</f>
        <v>-18629.483642715495</v>
      </c>
      <c r="N4" s="6"/>
      <c r="O4" s="5"/>
    </row>
    <row r="5" spans="2:15">
      <c r="E5" s="74" t="s">
        <v>28</v>
      </c>
      <c r="F5" s="64">
        <f>F4-F4</f>
        <v>0</v>
      </c>
      <c r="G5" s="64">
        <f>F4-G4</f>
        <v>18629.483642715495</v>
      </c>
      <c r="H5" s="64">
        <f>G5-F5</f>
        <v>18629.483642715495</v>
      </c>
      <c r="I5" s="72" t="s">
        <v>30</v>
      </c>
      <c r="N5" s="6"/>
      <c r="O5" s="5"/>
    </row>
    <row r="6" spans="2:15">
      <c r="E6" s="66"/>
      <c r="F6" s="67"/>
      <c r="G6" s="67"/>
      <c r="H6" s="67"/>
      <c r="I6" s="57"/>
      <c r="N6" s="6"/>
      <c r="O6" s="5"/>
    </row>
    <row r="7" spans="2:15">
      <c r="E7" s="68"/>
      <c r="F7" s="69"/>
      <c r="G7" s="69"/>
      <c r="H7" s="69"/>
      <c r="I7" s="57"/>
      <c r="N7" s="5"/>
      <c r="O7" s="5"/>
    </row>
    <row r="8" spans="2:15">
      <c r="E8" s="70"/>
      <c r="F8" s="71"/>
      <c r="G8" s="71"/>
      <c r="H8" s="71"/>
      <c r="I8" s="57"/>
      <c r="J8" s="57"/>
      <c r="M8" s="6"/>
      <c r="N8" s="5"/>
      <c r="O8" s="5"/>
    </row>
    <row r="9" spans="2:15">
      <c r="J9" s="7"/>
      <c r="L9" s="1" t="s">
        <v>4</v>
      </c>
      <c r="M9" s="6">
        <v>1000000</v>
      </c>
    </row>
    <row r="10" spans="2:15" ht="45">
      <c r="B10" s="8" t="s">
        <v>2</v>
      </c>
      <c r="C10" s="8" t="s">
        <v>0</v>
      </c>
      <c r="D10" s="8" t="s">
        <v>1</v>
      </c>
      <c r="E10" s="9" t="s">
        <v>5</v>
      </c>
      <c r="F10" s="10" t="s">
        <v>6</v>
      </c>
      <c r="G10" s="9" t="s">
        <v>7</v>
      </c>
      <c r="H10" s="9" t="s">
        <v>8</v>
      </c>
      <c r="I10" s="11" t="s">
        <v>9</v>
      </c>
      <c r="J10" s="9" t="s">
        <v>10</v>
      </c>
      <c r="K10" s="10" t="s">
        <v>11</v>
      </c>
      <c r="L10" s="9" t="s">
        <v>12</v>
      </c>
      <c r="M10" s="12" t="s">
        <v>13</v>
      </c>
      <c r="N10" s="13"/>
      <c r="O10" s="58"/>
    </row>
    <row r="11" spans="2:15">
      <c r="B11" s="8"/>
      <c r="C11" s="8"/>
      <c r="D11" s="8"/>
      <c r="E11" s="9"/>
      <c r="F11" s="10"/>
      <c r="G11" s="9"/>
      <c r="H11" s="9"/>
      <c r="I11" s="11"/>
      <c r="J11" s="9"/>
      <c r="K11" s="10"/>
      <c r="L11" s="9"/>
      <c r="M11" s="15">
        <f>SUMPRODUCT(J12:J67,L13:L68)/L12</f>
        <v>897168.22728712065</v>
      </c>
      <c r="N11" s="16"/>
      <c r="O11" s="17"/>
    </row>
    <row r="12" spans="2:15">
      <c r="B12" s="18">
        <v>2023</v>
      </c>
      <c r="C12" s="19">
        <v>1</v>
      </c>
      <c r="D12" s="19">
        <v>65</v>
      </c>
      <c r="E12" s="20">
        <v>1000</v>
      </c>
      <c r="F12" s="21">
        <v>0.2</v>
      </c>
      <c r="G12" s="22">
        <f>ROUND(E12*F12,0)</f>
        <v>200</v>
      </c>
      <c r="H12" s="23">
        <f>E13</f>
        <v>800</v>
      </c>
      <c r="I12" s="24">
        <v>110</v>
      </c>
      <c r="J12" s="25">
        <f>IF(C12&lt;=10,I12*$E$12,I12*E12)</f>
        <v>110000</v>
      </c>
      <c r="K12" s="26">
        <v>4.2500000000000003E-2</v>
      </c>
      <c r="L12" s="27">
        <v>1</v>
      </c>
      <c r="M12" s="15">
        <f t="shared" ref="M12:M67" si="0">SUMPRODUCT(J13:J68,L14:L69)/L13</f>
        <v>825297.87694682332</v>
      </c>
      <c r="N12" s="16"/>
      <c r="O12" s="59"/>
    </row>
    <row r="13" spans="2:15">
      <c r="B13" s="18">
        <v>2024</v>
      </c>
      <c r="C13" s="19">
        <v>2</v>
      </c>
      <c r="D13" s="19">
        <v>66</v>
      </c>
      <c r="E13" s="20">
        <f>ROUND(E12-G12,0)</f>
        <v>800</v>
      </c>
      <c r="F13" s="21">
        <v>0.2</v>
      </c>
      <c r="G13" s="22">
        <f t="shared" ref="G13:G67" si="1">ROUND(E13*F13,0)</f>
        <v>160</v>
      </c>
      <c r="H13" s="23">
        <f t="shared" ref="H13:H67" si="2">E14</f>
        <v>640</v>
      </c>
      <c r="I13" s="24">
        <v>110</v>
      </c>
      <c r="J13" s="25">
        <f t="shared" ref="J13:J67" si="3">IF(C13&lt;=10,I13*$E$12,I13*E13)</f>
        <v>110000</v>
      </c>
      <c r="K13" s="26">
        <v>4.2500000000000003E-2</v>
      </c>
      <c r="L13" s="28">
        <f>L12/(1+K12)</f>
        <v>0.95923261390887293</v>
      </c>
      <c r="M13" s="15">
        <f t="shared" si="0"/>
        <v>750373.0367170634</v>
      </c>
      <c r="N13" s="16"/>
      <c r="O13" s="59"/>
    </row>
    <row r="14" spans="2:15">
      <c r="B14" s="18">
        <v>2025</v>
      </c>
      <c r="C14" s="19">
        <v>3</v>
      </c>
      <c r="D14" s="19">
        <v>67</v>
      </c>
      <c r="E14" s="20">
        <f t="shared" ref="E14:E67" si="4">ROUND(E13-G13,0)</f>
        <v>640</v>
      </c>
      <c r="F14" s="21">
        <v>0.2</v>
      </c>
      <c r="G14" s="22">
        <f t="shared" si="1"/>
        <v>128</v>
      </c>
      <c r="H14" s="23">
        <f t="shared" si="2"/>
        <v>512</v>
      </c>
      <c r="I14" s="24">
        <v>110</v>
      </c>
      <c r="J14" s="25">
        <f>IF(C14&lt;=10,I14*$E$12,I14*E14)</f>
        <v>110000</v>
      </c>
      <c r="K14" s="26">
        <v>4.2500000000000003E-2</v>
      </c>
      <c r="L14" s="28">
        <f t="shared" ref="L14:L68" si="5">L13/(1+K13)</f>
        <v>0.92012720758644884</v>
      </c>
      <c r="M14" s="15">
        <f t="shared" si="0"/>
        <v>672263.89077753853</v>
      </c>
      <c r="N14" s="16"/>
      <c r="O14" s="59"/>
    </row>
    <row r="15" spans="2:15">
      <c r="B15" s="18">
        <v>2026</v>
      </c>
      <c r="C15" s="19">
        <v>4</v>
      </c>
      <c r="D15" s="19">
        <v>68</v>
      </c>
      <c r="E15" s="20">
        <f t="shared" si="4"/>
        <v>512</v>
      </c>
      <c r="F15" s="73">
        <v>0.6</v>
      </c>
      <c r="G15" s="22">
        <f t="shared" si="1"/>
        <v>307</v>
      </c>
      <c r="H15" s="23">
        <f t="shared" si="2"/>
        <v>205</v>
      </c>
      <c r="I15" s="24">
        <v>110</v>
      </c>
      <c r="J15" s="25">
        <f t="shared" si="3"/>
        <v>110000</v>
      </c>
      <c r="K15" s="26">
        <v>4.2500000000000003E-2</v>
      </c>
      <c r="L15" s="28">
        <f t="shared" si="5"/>
        <v>0.88261602646182147</v>
      </c>
      <c r="M15" s="77">
        <f t="shared" si="0"/>
        <v>590835.1061355843</v>
      </c>
      <c r="N15" s="16"/>
      <c r="O15" s="59"/>
    </row>
    <row r="16" spans="2:15">
      <c r="B16" s="18">
        <v>2027</v>
      </c>
      <c r="C16" s="19">
        <v>5</v>
      </c>
      <c r="D16" s="19">
        <v>69</v>
      </c>
      <c r="E16" s="20">
        <f t="shared" si="4"/>
        <v>205</v>
      </c>
      <c r="F16" s="21">
        <v>0.2</v>
      </c>
      <c r="G16" s="22">
        <f t="shared" si="1"/>
        <v>41</v>
      </c>
      <c r="H16" s="23">
        <f t="shared" si="2"/>
        <v>164</v>
      </c>
      <c r="I16" s="24">
        <v>110</v>
      </c>
      <c r="J16" s="25">
        <f t="shared" si="3"/>
        <v>110000</v>
      </c>
      <c r="K16" s="26">
        <v>4.2500000000000003E-2</v>
      </c>
      <c r="L16" s="28">
        <f t="shared" si="5"/>
        <v>0.84663407814083591</v>
      </c>
      <c r="M16" s="15">
        <f t="shared" si="0"/>
        <v>505945.59814634675</v>
      </c>
      <c r="N16" s="16"/>
      <c r="O16" s="59"/>
    </row>
    <row r="17" spans="2:15">
      <c r="B17" s="18">
        <v>2028</v>
      </c>
      <c r="C17" s="19">
        <v>6</v>
      </c>
      <c r="D17" s="19">
        <v>70</v>
      </c>
      <c r="E17" s="20">
        <f t="shared" si="4"/>
        <v>164</v>
      </c>
      <c r="F17" s="21">
        <v>0.2</v>
      </c>
      <c r="G17" s="22">
        <f t="shared" si="1"/>
        <v>33</v>
      </c>
      <c r="H17" s="23">
        <f t="shared" si="2"/>
        <v>131</v>
      </c>
      <c r="I17" s="24">
        <v>110</v>
      </c>
      <c r="J17" s="25">
        <f t="shared" si="3"/>
        <v>110000</v>
      </c>
      <c r="K17" s="26">
        <v>4.2500000000000003E-2</v>
      </c>
      <c r="L17" s="28">
        <f t="shared" si="5"/>
        <v>0.81211901979936296</v>
      </c>
      <c r="M17" s="15">
        <f t="shared" si="0"/>
        <v>417448.28606756643</v>
      </c>
      <c r="N17" s="16"/>
      <c r="O17" s="59"/>
    </row>
    <row r="18" spans="2:15">
      <c r="B18" s="18">
        <v>2029</v>
      </c>
      <c r="C18" s="19">
        <v>7</v>
      </c>
      <c r="D18" s="19">
        <v>71</v>
      </c>
      <c r="E18" s="20">
        <f t="shared" si="4"/>
        <v>131</v>
      </c>
      <c r="F18" s="21">
        <v>0.2</v>
      </c>
      <c r="G18" s="22">
        <f t="shared" si="1"/>
        <v>26</v>
      </c>
      <c r="H18" s="23">
        <f t="shared" si="2"/>
        <v>105</v>
      </c>
      <c r="I18" s="24">
        <v>110</v>
      </c>
      <c r="J18" s="25">
        <f t="shared" si="3"/>
        <v>110000</v>
      </c>
      <c r="K18" s="26">
        <v>4.2500000000000003E-2</v>
      </c>
      <c r="L18" s="28">
        <f t="shared" si="5"/>
        <v>0.77901105016725469</v>
      </c>
      <c r="M18" s="15">
        <f t="shared" si="0"/>
        <v>325189.83822543785</v>
      </c>
      <c r="N18" s="16"/>
      <c r="O18" s="59"/>
    </row>
    <row r="19" spans="2:15">
      <c r="B19" s="18">
        <v>2030</v>
      </c>
      <c r="C19" s="19">
        <v>8</v>
      </c>
      <c r="D19" s="19">
        <v>72</v>
      </c>
      <c r="E19" s="20">
        <f t="shared" si="4"/>
        <v>105</v>
      </c>
      <c r="F19" s="21">
        <v>0.2</v>
      </c>
      <c r="G19" s="22">
        <f t="shared" si="1"/>
        <v>21</v>
      </c>
      <c r="H19" s="23">
        <f t="shared" si="2"/>
        <v>84</v>
      </c>
      <c r="I19" s="24">
        <v>110</v>
      </c>
      <c r="J19" s="25">
        <f t="shared" si="3"/>
        <v>110000</v>
      </c>
      <c r="K19" s="26">
        <v>4.2500000000000003E-2</v>
      </c>
      <c r="L19" s="28">
        <f t="shared" si="5"/>
        <v>0.74725280591583187</v>
      </c>
      <c r="M19" s="15">
        <f t="shared" si="0"/>
        <v>229010.40635001895</v>
      </c>
      <c r="N19" s="16"/>
      <c r="O19" s="59"/>
    </row>
    <row r="20" spans="2:15">
      <c r="B20" s="18">
        <v>2031</v>
      </c>
      <c r="C20" s="19">
        <v>9</v>
      </c>
      <c r="D20" s="19">
        <v>73</v>
      </c>
      <c r="E20" s="20">
        <f t="shared" si="4"/>
        <v>84</v>
      </c>
      <c r="F20" s="21">
        <v>0.2</v>
      </c>
      <c r="G20" s="22">
        <f t="shared" si="1"/>
        <v>17</v>
      </c>
      <c r="H20" s="23">
        <f t="shared" si="2"/>
        <v>67</v>
      </c>
      <c r="I20" s="24">
        <v>110</v>
      </c>
      <c r="J20" s="25">
        <f t="shared" si="3"/>
        <v>110000</v>
      </c>
      <c r="K20" s="26">
        <v>4.2500000000000003E-2</v>
      </c>
      <c r="L20" s="28">
        <f t="shared" si="5"/>
        <v>0.71678926226938311</v>
      </c>
      <c r="M20" s="15">
        <f t="shared" si="0"/>
        <v>128743.34861989476</v>
      </c>
      <c r="N20" s="16"/>
      <c r="O20" s="59"/>
    </row>
    <row r="21" spans="2:15">
      <c r="B21" s="18">
        <v>2032</v>
      </c>
      <c r="C21" s="19">
        <v>10</v>
      </c>
      <c r="D21" s="19">
        <v>74</v>
      </c>
      <c r="E21" s="20">
        <f t="shared" si="4"/>
        <v>67</v>
      </c>
      <c r="F21" s="21">
        <v>0.2</v>
      </c>
      <c r="G21" s="22">
        <f t="shared" si="1"/>
        <v>13</v>
      </c>
      <c r="H21" s="23">
        <f t="shared" si="2"/>
        <v>54</v>
      </c>
      <c r="I21" s="24">
        <v>110</v>
      </c>
      <c r="J21" s="25">
        <f t="shared" si="3"/>
        <v>110000</v>
      </c>
      <c r="K21" s="26">
        <v>4.2500000000000003E-2</v>
      </c>
      <c r="L21" s="28">
        <f t="shared" si="5"/>
        <v>0.68756763766847306</v>
      </c>
      <c r="M21" s="15">
        <f t="shared" si="0"/>
        <v>24214.940936240273</v>
      </c>
      <c r="N21" s="16"/>
      <c r="O21" s="59"/>
    </row>
    <row r="22" spans="2:15">
      <c r="B22" s="18">
        <v>2033</v>
      </c>
      <c r="C22" s="19">
        <v>11</v>
      </c>
      <c r="D22" s="19">
        <v>75</v>
      </c>
      <c r="E22" s="20">
        <f t="shared" si="4"/>
        <v>54</v>
      </c>
      <c r="F22" s="21">
        <v>0.2</v>
      </c>
      <c r="G22" s="22">
        <f t="shared" si="1"/>
        <v>11</v>
      </c>
      <c r="H22" s="23">
        <f t="shared" si="2"/>
        <v>43</v>
      </c>
      <c r="I22" s="24">
        <v>110</v>
      </c>
      <c r="J22" s="25">
        <f t="shared" si="3"/>
        <v>5940</v>
      </c>
      <c r="K22" s="26">
        <v>4.2500000000000003E-2</v>
      </c>
      <c r="L22" s="28">
        <f t="shared" si="5"/>
        <v>0.65953730231987828</v>
      </c>
      <c r="M22" s="15">
        <f t="shared" si="0"/>
        <v>19304.075926030484</v>
      </c>
      <c r="N22" s="16"/>
      <c r="O22" s="59"/>
    </row>
    <row r="23" spans="2:15">
      <c r="B23" s="18">
        <v>2034</v>
      </c>
      <c r="C23" s="19">
        <v>12</v>
      </c>
      <c r="D23" s="19">
        <v>76</v>
      </c>
      <c r="E23" s="20">
        <f t="shared" si="4"/>
        <v>43</v>
      </c>
      <c r="F23" s="21">
        <v>0.2</v>
      </c>
      <c r="G23" s="22">
        <f t="shared" si="1"/>
        <v>9</v>
      </c>
      <c r="H23" s="23">
        <f t="shared" si="2"/>
        <v>34</v>
      </c>
      <c r="I23" s="24">
        <v>110</v>
      </c>
      <c r="J23" s="25">
        <f t="shared" si="3"/>
        <v>4730</v>
      </c>
      <c r="K23" s="26">
        <v>4.2500000000000003E-2</v>
      </c>
      <c r="L23" s="28">
        <f t="shared" si="5"/>
        <v>0.63264969047470343</v>
      </c>
      <c r="M23" s="15">
        <f t="shared" si="0"/>
        <v>15394.499152886781</v>
      </c>
      <c r="N23" s="16"/>
      <c r="O23" s="59"/>
    </row>
    <row r="24" spans="2:15">
      <c r="B24" s="18">
        <v>2035</v>
      </c>
      <c r="C24" s="19">
        <v>13</v>
      </c>
      <c r="D24" s="19">
        <v>77</v>
      </c>
      <c r="E24" s="20">
        <f t="shared" si="4"/>
        <v>34</v>
      </c>
      <c r="F24" s="21">
        <v>0.2</v>
      </c>
      <c r="G24" s="22">
        <f t="shared" si="1"/>
        <v>7</v>
      </c>
      <c r="H24" s="23">
        <f t="shared" si="2"/>
        <v>27</v>
      </c>
      <c r="I24" s="24">
        <v>110</v>
      </c>
      <c r="J24" s="25">
        <f t="shared" si="3"/>
        <v>3740</v>
      </c>
      <c r="K24" s="26">
        <v>4.2500000000000003E-2</v>
      </c>
      <c r="L24" s="28">
        <f t="shared" si="5"/>
        <v>0.6068582162826891</v>
      </c>
      <c r="M24" s="15">
        <f t="shared" si="0"/>
        <v>12308.765366884467</v>
      </c>
      <c r="N24" s="16"/>
      <c r="O24" s="59"/>
    </row>
    <row r="25" spans="2:15">
      <c r="B25" s="18">
        <v>2036</v>
      </c>
      <c r="C25" s="19">
        <v>14</v>
      </c>
      <c r="D25" s="19">
        <v>78</v>
      </c>
      <c r="E25" s="20">
        <f t="shared" si="4"/>
        <v>27</v>
      </c>
      <c r="F25" s="21">
        <v>0.2</v>
      </c>
      <c r="G25" s="22">
        <f t="shared" si="1"/>
        <v>5</v>
      </c>
      <c r="H25" s="23">
        <f t="shared" si="2"/>
        <v>22</v>
      </c>
      <c r="I25" s="24">
        <v>110</v>
      </c>
      <c r="J25" s="25">
        <f t="shared" si="3"/>
        <v>2970</v>
      </c>
      <c r="K25" s="26">
        <v>4.2500000000000003E-2</v>
      </c>
      <c r="L25" s="28">
        <f t="shared" si="5"/>
        <v>0.58211819307692003</v>
      </c>
      <c r="M25" s="15">
        <f t="shared" si="0"/>
        <v>9861.8878949770569</v>
      </c>
      <c r="N25" s="16"/>
      <c r="O25" s="59"/>
    </row>
    <row r="26" spans="2:15">
      <c r="B26" s="18">
        <v>2037</v>
      </c>
      <c r="C26" s="19">
        <v>15</v>
      </c>
      <c r="D26" s="19">
        <v>79</v>
      </c>
      <c r="E26" s="20">
        <f t="shared" si="4"/>
        <v>22</v>
      </c>
      <c r="F26" s="21">
        <v>0.2</v>
      </c>
      <c r="G26" s="22">
        <f t="shared" si="1"/>
        <v>4</v>
      </c>
      <c r="H26" s="23">
        <f t="shared" si="2"/>
        <v>18</v>
      </c>
      <c r="I26" s="24">
        <v>110</v>
      </c>
      <c r="J26" s="25">
        <f t="shared" si="3"/>
        <v>2420</v>
      </c>
      <c r="K26" s="26">
        <v>4.2500000000000003E-2</v>
      </c>
      <c r="L26" s="28">
        <f t="shared" si="5"/>
        <v>0.55838675594908393</v>
      </c>
      <c r="M26" s="15">
        <f t="shared" si="0"/>
        <v>7861.018130513582</v>
      </c>
      <c r="N26" s="16"/>
      <c r="O26" s="59"/>
    </row>
    <row r="27" spans="2:15">
      <c r="B27" s="18">
        <v>2038</v>
      </c>
      <c r="C27" s="19">
        <v>16</v>
      </c>
      <c r="D27" s="19">
        <v>80</v>
      </c>
      <c r="E27" s="20">
        <f t="shared" si="4"/>
        <v>18</v>
      </c>
      <c r="F27" s="21">
        <v>0.2</v>
      </c>
      <c r="G27" s="22">
        <f t="shared" si="1"/>
        <v>4</v>
      </c>
      <c r="H27" s="23">
        <f t="shared" si="2"/>
        <v>14</v>
      </c>
      <c r="I27" s="24">
        <v>110</v>
      </c>
      <c r="J27" s="25">
        <f t="shared" si="3"/>
        <v>1980</v>
      </c>
      <c r="K27" s="26">
        <v>4.2500000000000003E-2</v>
      </c>
      <c r="L27" s="28">
        <f t="shared" si="5"/>
        <v>0.53562278748113568</v>
      </c>
      <c r="M27" s="15">
        <f t="shared" si="0"/>
        <v>6215.1114010604106</v>
      </c>
      <c r="N27" s="16"/>
      <c r="O27" s="59"/>
    </row>
    <row r="28" spans="2:15">
      <c r="B28" s="18">
        <v>2039</v>
      </c>
      <c r="C28" s="19">
        <v>17</v>
      </c>
      <c r="D28" s="19">
        <v>81</v>
      </c>
      <c r="E28" s="20">
        <f t="shared" si="4"/>
        <v>14</v>
      </c>
      <c r="F28" s="21">
        <v>0.2</v>
      </c>
      <c r="G28" s="22">
        <f t="shared" si="1"/>
        <v>3</v>
      </c>
      <c r="H28" s="23">
        <f t="shared" si="2"/>
        <v>11</v>
      </c>
      <c r="I28" s="24">
        <v>110</v>
      </c>
      <c r="J28" s="25">
        <f t="shared" si="3"/>
        <v>1540</v>
      </c>
      <c r="K28" s="26">
        <v>4.2500000000000003E-2</v>
      </c>
      <c r="L28" s="28">
        <f t="shared" si="5"/>
        <v>0.51378684650468653</v>
      </c>
      <c r="M28" s="15">
        <f t="shared" si="0"/>
        <v>4939.2536356054779</v>
      </c>
      <c r="N28" s="16"/>
      <c r="O28" s="59"/>
    </row>
    <row r="29" spans="2:15">
      <c r="B29" s="18">
        <v>2040</v>
      </c>
      <c r="C29" s="19">
        <v>18</v>
      </c>
      <c r="D29" s="19">
        <v>82</v>
      </c>
      <c r="E29" s="20">
        <f t="shared" si="4"/>
        <v>11</v>
      </c>
      <c r="F29" s="21">
        <v>0.2</v>
      </c>
      <c r="G29" s="22">
        <f t="shared" si="1"/>
        <v>2</v>
      </c>
      <c r="H29" s="23">
        <f t="shared" si="2"/>
        <v>9</v>
      </c>
      <c r="I29" s="24">
        <v>110</v>
      </c>
      <c r="J29" s="25">
        <f t="shared" si="3"/>
        <v>1210</v>
      </c>
      <c r="K29" s="26">
        <v>4.2500000000000003E-2</v>
      </c>
      <c r="L29" s="28">
        <f t="shared" si="5"/>
        <v>0.49284109976468732</v>
      </c>
      <c r="M29" s="15">
        <f t="shared" si="0"/>
        <v>3939.1719151187108</v>
      </c>
      <c r="N29" s="16"/>
      <c r="O29" s="59"/>
    </row>
    <row r="30" spans="2:15">
      <c r="B30" s="18">
        <v>2041</v>
      </c>
      <c r="C30" s="19">
        <v>19</v>
      </c>
      <c r="D30" s="19">
        <v>83</v>
      </c>
      <c r="E30" s="20">
        <f t="shared" si="4"/>
        <v>9</v>
      </c>
      <c r="F30" s="21">
        <v>0.2</v>
      </c>
      <c r="G30" s="22">
        <f t="shared" si="1"/>
        <v>2</v>
      </c>
      <c r="H30" s="23">
        <f t="shared" si="2"/>
        <v>7</v>
      </c>
      <c r="I30" s="24">
        <v>110</v>
      </c>
      <c r="J30" s="25">
        <f t="shared" si="3"/>
        <v>990</v>
      </c>
      <c r="K30" s="26">
        <v>4.2500000000000003E-2</v>
      </c>
      <c r="L30" s="28">
        <f t="shared" si="5"/>
        <v>0.47274925636900461</v>
      </c>
      <c r="M30" s="15">
        <f t="shared" si="0"/>
        <v>3116.5867215112553</v>
      </c>
      <c r="N30" s="16"/>
      <c r="O30" s="59"/>
    </row>
    <row r="31" spans="2:15">
      <c r="B31" s="18">
        <v>2042</v>
      </c>
      <c r="C31" s="19">
        <v>20</v>
      </c>
      <c r="D31" s="19">
        <v>84</v>
      </c>
      <c r="E31" s="20">
        <f t="shared" si="4"/>
        <v>7</v>
      </c>
      <c r="F31" s="21">
        <v>0.2</v>
      </c>
      <c r="G31" s="22">
        <f t="shared" si="1"/>
        <v>1</v>
      </c>
      <c r="H31" s="23">
        <f t="shared" si="2"/>
        <v>6</v>
      </c>
      <c r="I31" s="24">
        <v>110</v>
      </c>
      <c r="J31" s="25">
        <f t="shared" si="3"/>
        <v>770</v>
      </c>
      <c r="K31" s="26">
        <v>4.2500000000000003E-2</v>
      </c>
      <c r="L31" s="28">
        <f t="shared" si="5"/>
        <v>0.45347650491031616</v>
      </c>
      <c r="M31" s="15">
        <f t="shared" si="0"/>
        <v>2479.041657175484</v>
      </c>
      <c r="N31" s="16"/>
      <c r="O31" s="59"/>
    </row>
    <row r="32" spans="2:15">
      <c r="B32" s="18">
        <v>2043</v>
      </c>
      <c r="C32" s="19">
        <v>21</v>
      </c>
      <c r="D32" s="19">
        <v>85</v>
      </c>
      <c r="E32" s="20">
        <f t="shared" si="4"/>
        <v>6</v>
      </c>
      <c r="F32" s="21">
        <v>0.2</v>
      </c>
      <c r="G32" s="22">
        <f t="shared" si="1"/>
        <v>1</v>
      </c>
      <c r="H32" s="23">
        <f t="shared" si="2"/>
        <v>5</v>
      </c>
      <c r="I32" s="24">
        <v>110</v>
      </c>
      <c r="J32" s="25">
        <f t="shared" si="3"/>
        <v>660</v>
      </c>
      <c r="K32" s="26">
        <v>4.2500000000000003E-2</v>
      </c>
      <c r="L32" s="28">
        <f t="shared" si="5"/>
        <v>0.43498945315138243</v>
      </c>
      <c r="M32" s="15">
        <f t="shared" si="0"/>
        <v>1924.4009276054414</v>
      </c>
      <c r="N32" s="16"/>
      <c r="O32" s="59"/>
    </row>
    <row r="33" spans="2:15">
      <c r="B33" s="18">
        <v>2044</v>
      </c>
      <c r="C33" s="19">
        <v>22</v>
      </c>
      <c r="D33" s="19">
        <v>86</v>
      </c>
      <c r="E33" s="20">
        <f t="shared" si="4"/>
        <v>5</v>
      </c>
      <c r="F33" s="21">
        <v>0.2</v>
      </c>
      <c r="G33" s="22">
        <f t="shared" si="1"/>
        <v>1</v>
      </c>
      <c r="H33" s="23">
        <f t="shared" si="2"/>
        <v>4</v>
      </c>
      <c r="I33" s="24">
        <v>110</v>
      </c>
      <c r="J33" s="25">
        <f t="shared" si="3"/>
        <v>550</v>
      </c>
      <c r="K33" s="26">
        <v>4.2500000000000003E-2</v>
      </c>
      <c r="L33" s="28">
        <f t="shared" si="5"/>
        <v>0.41725607016919181</v>
      </c>
      <c r="M33" s="15">
        <f t="shared" si="0"/>
        <v>1456.1879670286726</v>
      </c>
      <c r="N33" s="16"/>
      <c r="O33" s="59"/>
    </row>
    <row r="34" spans="2:15">
      <c r="B34" s="18">
        <v>2045</v>
      </c>
      <c r="C34" s="19">
        <v>23</v>
      </c>
      <c r="D34" s="19">
        <v>87</v>
      </c>
      <c r="E34" s="20">
        <f t="shared" si="4"/>
        <v>4</v>
      </c>
      <c r="F34" s="21">
        <v>0.2</v>
      </c>
      <c r="G34" s="22">
        <f t="shared" si="1"/>
        <v>1</v>
      </c>
      <c r="H34" s="23">
        <f t="shared" si="2"/>
        <v>3</v>
      </c>
      <c r="I34" s="24">
        <v>110</v>
      </c>
      <c r="J34" s="25">
        <f t="shared" si="3"/>
        <v>440</v>
      </c>
      <c r="K34" s="26">
        <v>4.2500000000000003E-2</v>
      </c>
      <c r="L34" s="28">
        <f t="shared" si="5"/>
        <v>0.40024563085773796</v>
      </c>
      <c r="M34" s="15">
        <f t="shared" si="0"/>
        <v>1078.0759556273913</v>
      </c>
      <c r="N34" s="16"/>
      <c r="O34" s="59"/>
    </row>
    <row r="35" spans="2:15">
      <c r="B35" s="18">
        <v>2046</v>
      </c>
      <c r="C35" s="19">
        <v>24</v>
      </c>
      <c r="D35" s="19">
        <v>88</v>
      </c>
      <c r="E35" s="20">
        <f t="shared" si="4"/>
        <v>3</v>
      </c>
      <c r="F35" s="21">
        <v>0.2</v>
      </c>
      <c r="G35" s="22">
        <f t="shared" si="1"/>
        <v>1</v>
      </c>
      <c r="H35" s="23">
        <f t="shared" si="2"/>
        <v>2</v>
      </c>
      <c r="I35" s="24">
        <v>110</v>
      </c>
      <c r="J35" s="25">
        <f t="shared" si="3"/>
        <v>330</v>
      </c>
      <c r="K35" s="26">
        <v>4.2500000000000003E-2</v>
      </c>
      <c r="L35" s="28">
        <f t="shared" si="5"/>
        <v>0.3839286626932738</v>
      </c>
      <c r="M35" s="15">
        <f t="shared" si="0"/>
        <v>793.89418374155548</v>
      </c>
      <c r="N35" s="16"/>
      <c r="O35" s="59"/>
    </row>
    <row r="36" spans="2:15">
      <c r="B36" s="18">
        <v>2047</v>
      </c>
      <c r="C36" s="19">
        <v>25</v>
      </c>
      <c r="D36" s="19">
        <v>89</v>
      </c>
      <c r="E36" s="20">
        <f t="shared" si="4"/>
        <v>2</v>
      </c>
      <c r="F36" s="21">
        <v>0.2</v>
      </c>
      <c r="G36" s="22">
        <f>ROUND(E36*F36,0)</f>
        <v>0</v>
      </c>
      <c r="H36" s="23">
        <f t="shared" si="2"/>
        <v>2</v>
      </c>
      <c r="I36" s="24">
        <v>110</v>
      </c>
      <c r="J36" s="25">
        <f t="shared" si="3"/>
        <v>220</v>
      </c>
      <c r="K36" s="26">
        <v>4.2500000000000003E-2</v>
      </c>
      <c r="L36" s="28">
        <f t="shared" si="5"/>
        <v>0.36827689466980701</v>
      </c>
      <c r="M36" s="15">
        <f t="shared" si="0"/>
        <v>607.63468655057147</v>
      </c>
      <c r="N36" s="16"/>
      <c r="O36" s="59"/>
    </row>
    <row r="37" spans="2:15">
      <c r="B37" s="18">
        <v>2048</v>
      </c>
      <c r="C37" s="19">
        <v>26</v>
      </c>
      <c r="D37" s="19">
        <v>90</v>
      </c>
      <c r="E37" s="20">
        <f t="shared" si="4"/>
        <v>2</v>
      </c>
      <c r="F37" s="21">
        <v>0.2</v>
      </c>
      <c r="G37" s="22">
        <f t="shared" si="1"/>
        <v>0</v>
      </c>
      <c r="H37" s="23">
        <f t="shared" si="2"/>
        <v>2</v>
      </c>
      <c r="I37" s="24">
        <v>110</v>
      </c>
      <c r="J37" s="25">
        <f t="shared" si="3"/>
        <v>220</v>
      </c>
      <c r="K37" s="26">
        <v>4.2500000000000003E-2</v>
      </c>
      <c r="L37" s="28">
        <f t="shared" si="5"/>
        <v>0.35326320831636165</v>
      </c>
      <c r="M37" s="15">
        <f t="shared" si="0"/>
        <v>413.45916072897074</v>
      </c>
      <c r="N37" s="16"/>
      <c r="O37" s="59"/>
    </row>
    <row r="38" spans="2:15">
      <c r="B38" s="18">
        <v>2049</v>
      </c>
      <c r="C38" s="19">
        <v>27</v>
      </c>
      <c r="D38" s="19">
        <v>91</v>
      </c>
      <c r="E38" s="20">
        <f t="shared" si="4"/>
        <v>2</v>
      </c>
      <c r="F38" s="21">
        <v>0.2</v>
      </c>
      <c r="G38" s="22">
        <f t="shared" si="1"/>
        <v>0</v>
      </c>
      <c r="H38" s="23">
        <f t="shared" si="2"/>
        <v>2</v>
      </c>
      <c r="I38" s="24">
        <v>110</v>
      </c>
      <c r="J38" s="25">
        <f t="shared" si="3"/>
        <v>220</v>
      </c>
      <c r="K38" s="26">
        <v>4.2500000000000003E-2</v>
      </c>
      <c r="L38" s="28">
        <f t="shared" si="5"/>
        <v>0.33886159071113831</v>
      </c>
      <c r="M38" s="15">
        <f t="shared" si="0"/>
        <v>211.03117505995203</v>
      </c>
      <c r="N38" s="16"/>
      <c r="O38" s="59"/>
    </row>
    <row r="39" spans="2:15">
      <c r="B39" s="18">
        <v>2050</v>
      </c>
      <c r="C39" s="19">
        <v>28</v>
      </c>
      <c r="D39" s="19">
        <v>92</v>
      </c>
      <c r="E39" s="20">
        <f t="shared" si="4"/>
        <v>2</v>
      </c>
      <c r="F39" s="21">
        <v>1</v>
      </c>
      <c r="G39" s="22">
        <f t="shared" si="1"/>
        <v>2</v>
      </c>
      <c r="H39" s="23">
        <f t="shared" si="2"/>
        <v>0</v>
      </c>
      <c r="I39" s="24">
        <v>110</v>
      </c>
      <c r="J39" s="25">
        <f t="shared" si="3"/>
        <v>220</v>
      </c>
      <c r="K39" s="26">
        <v>4.2500000000000003E-2</v>
      </c>
      <c r="L39" s="28">
        <f t="shared" si="5"/>
        <v>0.32504708941116384</v>
      </c>
      <c r="M39" s="15">
        <f t="shared" si="0"/>
        <v>0</v>
      </c>
      <c r="N39" s="16"/>
      <c r="O39" s="59"/>
    </row>
    <row r="40" spans="2:15">
      <c r="B40" s="18">
        <v>0</v>
      </c>
      <c r="C40" s="19">
        <v>29</v>
      </c>
      <c r="D40" s="19">
        <v>93</v>
      </c>
      <c r="E40" s="20">
        <f t="shared" si="4"/>
        <v>0</v>
      </c>
      <c r="F40" s="21">
        <v>1</v>
      </c>
      <c r="G40" s="22">
        <f t="shared" si="1"/>
        <v>0</v>
      </c>
      <c r="H40" s="23">
        <f t="shared" si="2"/>
        <v>0</v>
      </c>
      <c r="I40" s="24">
        <v>110</v>
      </c>
      <c r="J40" s="25">
        <f t="shared" si="3"/>
        <v>0</v>
      </c>
      <c r="K40" s="26">
        <v>4.2500000000000003E-2</v>
      </c>
      <c r="L40" s="28">
        <f t="shared" si="5"/>
        <v>0.31179576921934182</v>
      </c>
      <c r="M40" s="15">
        <f t="shared" si="0"/>
        <v>0</v>
      </c>
      <c r="N40" s="16"/>
      <c r="O40" s="59"/>
    </row>
    <row r="41" spans="2:15">
      <c r="B41" s="18">
        <v>0</v>
      </c>
      <c r="C41" s="19">
        <v>30</v>
      </c>
      <c r="D41" s="19">
        <v>94</v>
      </c>
      <c r="E41" s="20">
        <f t="shared" si="4"/>
        <v>0</v>
      </c>
      <c r="F41" s="21">
        <v>1</v>
      </c>
      <c r="G41" s="22">
        <f t="shared" si="1"/>
        <v>0</v>
      </c>
      <c r="H41" s="23">
        <f t="shared" si="2"/>
        <v>0</v>
      </c>
      <c r="I41" s="24">
        <v>110</v>
      </c>
      <c r="J41" s="25">
        <f t="shared" si="3"/>
        <v>0</v>
      </c>
      <c r="K41" s="26">
        <v>4.2500000000000003E-2</v>
      </c>
      <c r="L41" s="28">
        <f t="shared" si="5"/>
        <v>0.29908467071399697</v>
      </c>
      <c r="M41" s="15">
        <f t="shared" si="0"/>
        <v>0</v>
      </c>
      <c r="N41" s="16"/>
      <c r="O41" s="59"/>
    </row>
    <row r="42" spans="2:15">
      <c r="B42" s="18">
        <v>0</v>
      </c>
      <c r="C42" s="19">
        <v>31</v>
      </c>
      <c r="D42" s="19">
        <v>95</v>
      </c>
      <c r="E42" s="20">
        <f t="shared" si="4"/>
        <v>0</v>
      </c>
      <c r="F42" s="21">
        <v>1</v>
      </c>
      <c r="G42" s="22">
        <f t="shared" si="1"/>
        <v>0</v>
      </c>
      <c r="H42" s="23">
        <f t="shared" si="2"/>
        <v>0</v>
      </c>
      <c r="I42" s="24">
        <v>110</v>
      </c>
      <c r="J42" s="25">
        <f t="shared" si="3"/>
        <v>0</v>
      </c>
      <c r="K42" s="26">
        <v>4.2500000000000003E-2</v>
      </c>
      <c r="L42" s="28">
        <f t="shared" si="5"/>
        <v>0.28689177046906184</v>
      </c>
      <c r="M42" s="15">
        <f t="shared" si="0"/>
        <v>0</v>
      </c>
      <c r="N42" s="16"/>
      <c r="O42" s="59"/>
    </row>
    <row r="43" spans="2:15">
      <c r="B43" s="18">
        <v>0</v>
      </c>
      <c r="C43" s="19">
        <v>32</v>
      </c>
      <c r="D43" s="19">
        <v>96</v>
      </c>
      <c r="E43" s="20">
        <f t="shared" si="4"/>
        <v>0</v>
      </c>
      <c r="F43" s="21">
        <v>1</v>
      </c>
      <c r="G43" s="22">
        <f t="shared" si="1"/>
        <v>0</v>
      </c>
      <c r="H43" s="23">
        <f t="shared" si="2"/>
        <v>0</v>
      </c>
      <c r="I43" s="24">
        <v>110</v>
      </c>
      <c r="J43" s="25">
        <f t="shared" si="3"/>
        <v>0</v>
      </c>
      <c r="K43" s="26">
        <v>4.2500000000000003E-2</v>
      </c>
      <c r="L43" s="28">
        <f t="shared" si="5"/>
        <v>0.27519594289598259</v>
      </c>
      <c r="M43" s="15">
        <f t="shared" si="0"/>
        <v>0</v>
      </c>
      <c r="N43" s="16"/>
      <c r="O43" s="59"/>
    </row>
    <row r="44" spans="2:15">
      <c r="B44" s="18">
        <v>0</v>
      </c>
      <c r="C44" s="19">
        <v>33</v>
      </c>
      <c r="D44" s="19">
        <v>97</v>
      </c>
      <c r="E44" s="20">
        <f t="shared" si="4"/>
        <v>0</v>
      </c>
      <c r="F44" s="21">
        <v>1</v>
      </c>
      <c r="G44" s="22">
        <f t="shared" si="1"/>
        <v>0</v>
      </c>
      <c r="H44" s="23">
        <f t="shared" si="2"/>
        <v>0</v>
      </c>
      <c r="I44" s="24">
        <v>110</v>
      </c>
      <c r="J44" s="25">
        <f t="shared" si="3"/>
        <v>0</v>
      </c>
      <c r="K44" s="26">
        <v>4.2500000000000003E-2</v>
      </c>
      <c r="L44" s="28">
        <f t="shared" si="5"/>
        <v>0.26397692364123032</v>
      </c>
      <c r="M44" s="15">
        <f t="shared" si="0"/>
        <v>0</v>
      </c>
      <c r="N44" s="16"/>
      <c r="O44" s="59"/>
    </row>
    <row r="45" spans="2:15">
      <c r="B45" s="18">
        <v>0</v>
      </c>
      <c r="C45" s="19">
        <v>34</v>
      </c>
      <c r="D45" s="19">
        <v>98</v>
      </c>
      <c r="E45" s="20">
        <f t="shared" si="4"/>
        <v>0</v>
      </c>
      <c r="F45" s="21">
        <v>1</v>
      </c>
      <c r="G45" s="22">
        <f t="shared" si="1"/>
        <v>0</v>
      </c>
      <c r="H45" s="23">
        <f t="shared" si="2"/>
        <v>0</v>
      </c>
      <c r="I45" s="24">
        <v>110</v>
      </c>
      <c r="J45" s="25">
        <f t="shared" si="3"/>
        <v>0</v>
      </c>
      <c r="K45" s="26">
        <v>4.2500000000000003E-2</v>
      </c>
      <c r="L45" s="28">
        <f t="shared" si="5"/>
        <v>0.25321527447600028</v>
      </c>
      <c r="M45" s="15">
        <f t="shared" si="0"/>
        <v>0</v>
      </c>
      <c r="N45" s="16"/>
      <c r="O45" s="59"/>
    </row>
    <row r="46" spans="2:15">
      <c r="B46" s="18">
        <v>0</v>
      </c>
      <c r="C46" s="19">
        <v>35</v>
      </c>
      <c r="D46" s="19">
        <v>99</v>
      </c>
      <c r="E46" s="20">
        <f t="shared" si="4"/>
        <v>0</v>
      </c>
      <c r="F46" s="21">
        <v>1</v>
      </c>
      <c r="G46" s="22">
        <f t="shared" si="1"/>
        <v>0</v>
      </c>
      <c r="H46" s="23">
        <f t="shared" si="2"/>
        <v>0</v>
      </c>
      <c r="I46" s="24">
        <v>110</v>
      </c>
      <c r="J46" s="25">
        <f t="shared" si="3"/>
        <v>0</v>
      </c>
      <c r="K46" s="26">
        <v>4.2500000000000003E-2</v>
      </c>
      <c r="L46" s="28">
        <f t="shared" si="5"/>
        <v>0.24289234961726647</v>
      </c>
      <c r="M46" s="15">
        <f t="shared" si="0"/>
        <v>0</v>
      </c>
      <c r="N46" s="16"/>
      <c r="O46" s="59"/>
    </row>
    <row r="47" spans="2:15">
      <c r="B47" s="18">
        <v>0</v>
      </c>
      <c r="C47" s="19">
        <v>36</v>
      </c>
      <c r="D47" s="19">
        <v>100</v>
      </c>
      <c r="E47" s="20">
        <f t="shared" si="4"/>
        <v>0</v>
      </c>
      <c r="F47" s="21">
        <v>1</v>
      </c>
      <c r="G47" s="22">
        <f t="shared" si="1"/>
        <v>0</v>
      </c>
      <c r="H47" s="23">
        <f t="shared" si="2"/>
        <v>0</v>
      </c>
      <c r="I47" s="24">
        <v>110</v>
      </c>
      <c r="J47" s="25">
        <f t="shared" si="3"/>
        <v>0</v>
      </c>
      <c r="K47" s="26">
        <v>4.2500000000000003E-2</v>
      </c>
      <c r="L47" s="28">
        <f t="shared" si="5"/>
        <v>0.23299026342183835</v>
      </c>
      <c r="M47" s="15">
        <f t="shared" si="0"/>
        <v>0</v>
      </c>
      <c r="N47" s="16"/>
      <c r="O47" s="59"/>
    </row>
    <row r="48" spans="2:15">
      <c r="B48" s="18">
        <v>0</v>
      </c>
      <c r="C48" s="19">
        <v>37</v>
      </c>
      <c r="D48" s="19">
        <v>101</v>
      </c>
      <c r="E48" s="20">
        <f t="shared" si="4"/>
        <v>0</v>
      </c>
      <c r="F48" s="21">
        <v>1</v>
      </c>
      <c r="G48" s="22">
        <f t="shared" si="1"/>
        <v>0</v>
      </c>
      <c r="H48" s="23">
        <f t="shared" si="2"/>
        <v>0</v>
      </c>
      <c r="I48" s="24">
        <v>110</v>
      </c>
      <c r="J48" s="25">
        <f t="shared" si="3"/>
        <v>0</v>
      </c>
      <c r="K48" s="26">
        <v>4.2500000000000003E-2</v>
      </c>
      <c r="L48" s="28">
        <f t="shared" si="5"/>
        <v>0.22349185939744687</v>
      </c>
      <c r="M48" s="15">
        <f t="shared" si="0"/>
        <v>0</v>
      </c>
      <c r="N48" s="16"/>
      <c r="O48" s="59"/>
    </row>
    <row r="49" spans="2:15">
      <c r="B49" s="18">
        <v>0</v>
      </c>
      <c r="C49" s="19">
        <v>38</v>
      </c>
      <c r="D49" s="19">
        <v>102</v>
      </c>
      <c r="E49" s="20">
        <f t="shared" si="4"/>
        <v>0</v>
      </c>
      <c r="F49" s="21">
        <v>1</v>
      </c>
      <c r="G49" s="22">
        <f t="shared" si="1"/>
        <v>0</v>
      </c>
      <c r="H49" s="23">
        <f t="shared" si="2"/>
        <v>0</v>
      </c>
      <c r="I49" s="24">
        <v>110</v>
      </c>
      <c r="J49" s="25">
        <f t="shared" si="3"/>
        <v>0</v>
      </c>
      <c r="K49" s="26">
        <v>4.2500000000000003E-2</v>
      </c>
      <c r="L49" s="28">
        <f t="shared" si="5"/>
        <v>0.21438068047716727</v>
      </c>
      <c r="M49" s="15">
        <f t="shared" si="0"/>
        <v>0</v>
      </c>
      <c r="N49" s="16"/>
      <c r="O49" s="59"/>
    </row>
    <row r="50" spans="2:15">
      <c r="B50" s="18">
        <v>0</v>
      </c>
      <c r="C50" s="19">
        <v>39</v>
      </c>
      <c r="D50" s="19">
        <v>103</v>
      </c>
      <c r="E50" s="20">
        <f t="shared" si="4"/>
        <v>0</v>
      </c>
      <c r="F50" s="21">
        <v>1</v>
      </c>
      <c r="G50" s="22">
        <f t="shared" si="1"/>
        <v>0</v>
      </c>
      <c r="H50" s="23">
        <f t="shared" si="2"/>
        <v>0</v>
      </c>
      <c r="I50" s="24">
        <v>110</v>
      </c>
      <c r="J50" s="25">
        <f t="shared" si="3"/>
        <v>0</v>
      </c>
      <c r="K50" s="26">
        <v>4.2500000000000003E-2</v>
      </c>
      <c r="L50" s="28">
        <f t="shared" si="5"/>
        <v>0.20564094050567605</v>
      </c>
      <c r="M50" s="15">
        <f t="shared" si="0"/>
        <v>0</v>
      </c>
      <c r="N50" s="16"/>
      <c r="O50" s="59"/>
    </row>
    <row r="51" spans="2:15">
      <c r="B51" s="18">
        <v>0</v>
      </c>
      <c r="C51" s="19">
        <v>40</v>
      </c>
      <c r="D51" s="19">
        <v>104</v>
      </c>
      <c r="E51" s="20">
        <f t="shared" si="4"/>
        <v>0</v>
      </c>
      <c r="F51" s="21">
        <v>1</v>
      </c>
      <c r="G51" s="22">
        <f t="shared" si="1"/>
        <v>0</v>
      </c>
      <c r="H51" s="23">
        <f t="shared" si="2"/>
        <v>0</v>
      </c>
      <c r="I51" s="24">
        <v>110</v>
      </c>
      <c r="J51" s="25">
        <f t="shared" si="3"/>
        <v>0</v>
      </c>
      <c r="K51" s="26">
        <v>4.2500000000000003E-2</v>
      </c>
      <c r="L51" s="28">
        <f t="shared" si="5"/>
        <v>0.19725749688793867</v>
      </c>
      <c r="M51" s="15">
        <f t="shared" si="0"/>
        <v>0</v>
      </c>
      <c r="N51" s="16"/>
      <c r="O51" s="59"/>
    </row>
    <row r="52" spans="2:15">
      <c r="B52" s="18">
        <v>0</v>
      </c>
      <c r="C52" s="19">
        <v>41</v>
      </c>
      <c r="D52" s="19">
        <v>105</v>
      </c>
      <c r="E52" s="20">
        <f t="shared" si="4"/>
        <v>0</v>
      </c>
      <c r="F52" s="21">
        <v>1</v>
      </c>
      <c r="G52" s="22">
        <f t="shared" si="1"/>
        <v>0</v>
      </c>
      <c r="H52" s="23">
        <f t="shared" si="2"/>
        <v>0</v>
      </c>
      <c r="I52" s="24">
        <v>110</v>
      </c>
      <c r="J52" s="25">
        <f t="shared" si="3"/>
        <v>0</v>
      </c>
      <c r="K52" s="26">
        <v>4.2500000000000003E-2</v>
      </c>
      <c r="L52" s="28">
        <f t="shared" si="5"/>
        <v>0.18921582435293877</v>
      </c>
      <c r="M52" s="15">
        <f t="shared" si="0"/>
        <v>0</v>
      </c>
      <c r="N52" s="16"/>
      <c r="O52" s="59"/>
    </row>
    <row r="53" spans="2:15">
      <c r="B53" s="18">
        <v>0</v>
      </c>
      <c r="C53" s="19">
        <v>42</v>
      </c>
      <c r="D53" s="19">
        <v>106</v>
      </c>
      <c r="E53" s="20">
        <f t="shared" si="4"/>
        <v>0</v>
      </c>
      <c r="F53" s="21">
        <v>1</v>
      </c>
      <c r="G53" s="22">
        <f t="shared" si="1"/>
        <v>0</v>
      </c>
      <c r="H53" s="23">
        <f t="shared" si="2"/>
        <v>0</v>
      </c>
      <c r="I53" s="24">
        <v>110</v>
      </c>
      <c r="J53" s="25">
        <f t="shared" si="3"/>
        <v>0</v>
      </c>
      <c r="K53" s="26">
        <v>4.2500000000000003E-2</v>
      </c>
      <c r="L53" s="28">
        <f t="shared" si="5"/>
        <v>0.18150198978699161</v>
      </c>
      <c r="M53" s="15">
        <f t="shared" si="0"/>
        <v>0</v>
      </c>
      <c r="N53" s="16"/>
      <c r="O53" s="59"/>
    </row>
    <row r="54" spans="2:15">
      <c r="B54" s="18">
        <v>0</v>
      </c>
      <c r="C54" s="19">
        <v>43</v>
      </c>
      <c r="D54" s="19">
        <v>107</v>
      </c>
      <c r="E54" s="20">
        <f t="shared" si="4"/>
        <v>0</v>
      </c>
      <c r="F54" s="21">
        <v>1</v>
      </c>
      <c r="G54" s="22">
        <f t="shared" si="1"/>
        <v>0</v>
      </c>
      <c r="H54" s="23">
        <f t="shared" si="2"/>
        <v>0</v>
      </c>
      <c r="I54" s="24">
        <v>110</v>
      </c>
      <c r="J54" s="25">
        <f t="shared" si="3"/>
        <v>0</v>
      </c>
      <c r="K54" s="26">
        <v>4.2500000000000003E-2</v>
      </c>
      <c r="L54" s="28">
        <f t="shared" si="5"/>
        <v>0.17410262809303753</v>
      </c>
      <c r="M54" s="15">
        <f t="shared" si="0"/>
        <v>0</v>
      </c>
      <c r="N54" s="16"/>
      <c r="O54" s="59"/>
    </row>
    <row r="55" spans="2:15">
      <c r="B55" s="18">
        <v>0</v>
      </c>
      <c r="C55" s="19">
        <v>44</v>
      </c>
      <c r="D55" s="19">
        <v>108</v>
      </c>
      <c r="E55" s="20">
        <f t="shared" si="4"/>
        <v>0</v>
      </c>
      <c r="F55" s="21">
        <v>1</v>
      </c>
      <c r="G55" s="22">
        <f t="shared" si="1"/>
        <v>0</v>
      </c>
      <c r="H55" s="23">
        <f t="shared" si="2"/>
        <v>0</v>
      </c>
      <c r="I55" s="24">
        <v>110</v>
      </c>
      <c r="J55" s="25">
        <f t="shared" si="3"/>
        <v>0</v>
      </c>
      <c r="K55" s="26">
        <v>4.2500000000000003E-2</v>
      </c>
      <c r="L55" s="28">
        <f t="shared" si="5"/>
        <v>0.16700491903408876</v>
      </c>
      <c r="M55" s="15">
        <f t="shared" si="0"/>
        <v>0</v>
      </c>
      <c r="N55" s="16"/>
      <c r="O55" s="59"/>
    </row>
    <row r="56" spans="2:15">
      <c r="B56" s="18">
        <v>0</v>
      </c>
      <c r="C56" s="19">
        <v>45</v>
      </c>
      <c r="D56" s="19">
        <v>109</v>
      </c>
      <c r="E56" s="20">
        <f t="shared" si="4"/>
        <v>0</v>
      </c>
      <c r="F56" s="21">
        <v>1</v>
      </c>
      <c r="G56" s="22">
        <f t="shared" si="1"/>
        <v>0</v>
      </c>
      <c r="H56" s="23">
        <f t="shared" si="2"/>
        <v>0</v>
      </c>
      <c r="I56" s="24">
        <v>110</v>
      </c>
      <c r="J56" s="25">
        <f t="shared" si="3"/>
        <v>0</v>
      </c>
      <c r="K56" s="26">
        <v>4.2500000000000003E-2</v>
      </c>
      <c r="L56" s="28">
        <f t="shared" si="5"/>
        <v>0.16019656502070864</v>
      </c>
      <c r="M56" s="15">
        <f t="shared" si="0"/>
        <v>0</v>
      </c>
      <c r="N56" s="16"/>
      <c r="O56" s="59"/>
    </row>
    <row r="57" spans="2:15">
      <c r="B57" s="18">
        <v>0</v>
      </c>
      <c r="C57" s="19">
        <v>46</v>
      </c>
      <c r="D57" s="19">
        <v>110</v>
      </c>
      <c r="E57" s="20">
        <f t="shared" si="4"/>
        <v>0</v>
      </c>
      <c r="F57" s="21">
        <v>1</v>
      </c>
      <c r="G57" s="22">
        <f t="shared" si="1"/>
        <v>0</v>
      </c>
      <c r="H57" s="23">
        <f t="shared" si="2"/>
        <v>0</v>
      </c>
      <c r="I57" s="24">
        <v>110</v>
      </c>
      <c r="J57" s="25">
        <f t="shared" si="3"/>
        <v>0</v>
      </c>
      <c r="K57" s="26">
        <v>4.2500000000000003E-2</v>
      </c>
      <c r="L57" s="28">
        <f t="shared" si="5"/>
        <v>0.15366576980403707</v>
      </c>
      <c r="M57" s="15">
        <f t="shared" si="0"/>
        <v>0</v>
      </c>
      <c r="N57" s="16"/>
      <c r="O57" s="59"/>
    </row>
    <row r="58" spans="2:15">
      <c r="B58" s="18">
        <v>0</v>
      </c>
      <c r="C58" s="19">
        <v>47</v>
      </c>
      <c r="D58" s="19">
        <v>111</v>
      </c>
      <c r="E58" s="20">
        <f t="shared" si="4"/>
        <v>0</v>
      </c>
      <c r="F58" s="21">
        <v>1</v>
      </c>
      <c r="G58" s="22">
        <f t="shared" si="1"/>
        <v>0</v>
      </c>
      <c r="H58" s="23">
        <f t="shared" si="2"/>
        <v>0</v>
      </c>
      <c r="I58" s="24">
        <v>110</v>
      </c>
      <c r="J58" s="25">
        <f t="shared" si="3"/>
        <v>0</v>
      </c>
      <c r="K58" s="26">
        <v>4.2500000000000003E-2</v>
      </c>
      <c r="L58" s="28">
        <f t="shared" si="5"/>
        <v>0.14740121803744563</v>
      </c>
      <c r="M58" s="15">
        <f t="shared" si="0"/>
        <v>0</v>
      </c>
      <c r="N58" s="16"/>
      <c r="O58" s="59"/>
    </row>
    <row r="59" spans="2:15">
      <c r="B59" s="18">
        <v>0</v>
      </c>
      <c r="C59" s="19">
        <v>48</v>
      </c>
      <c r="D59" s="19">
        <v>112</v>
      </c>
      <c r="E59" s="20">
        <f t="shared" si="4"/>
        <v>0</v>
      </c>
      <c r="F59" s="21">
        <v>1</v>
      </c>
      <c r="G59" s="22">
        <f t="shared" si="1"/>
        <v>0</v>
      </c>
      <c r="H59" s="23">
        <f t="shared" si="2"/>
        <v>0</v>
      </c>
      <c r="I59" s="24">
        <v>110</v>
      </c>
      <c r="J59" s="25">
        <f t="shared" si="3"/>
        <v>0</v>
      </c>
      <c r="K59" s="26">
        <v>4.2500000000000003E-2</v>
      </c>
      <c r="L59" s="28">
        <f t="shared" si="5"/>
        <v>0.14139205567141067</v>
      </c>
      <c r="M59" s="15">
        <f t="shared" si="0"/>
        <v>0</v>
      </c>
      <c r="N59" s="16"/>
      <c r="O59" s="59"/>
    </row>
    <row r="60" spans="2:15">
      <c r="B60" s="18">
        <v>0</v>
      </c>
      <c r="C60" s="19">
        <v>49</v>
      </c>
      <c r="D60" s="19">
        <v>113</v>
      </c>
      <c r="E60" s="20">
        <f t="shared" si="4"/>
        <v>0</v>
      </c>
      <c r="F60" s="21">
        <v>1</v>
      </c>
      <c r="G60" s="22">
        <f t="shared" si="1"/>
        <v>0</v>
      </c>
      <c r="H60" s="23">
        <f t="shared" si="2"/>
        <v>0</v>
      </c>
      <c r="I60" s="24">
        <v>110</v>
      </c>
      <c r="J60" s="25">
        <f t="shared" si="3"/>
        <v>0</v>
      </c>
      <c r="K60" s="26">
        <v>4.2500000000000003E-2</v>
      </c>
      <c r="L60" s="28">
        <f t="shared" si="5"/>
        <v>0.13562787114763614</v>
      </c>
      <c r="M60" s="15">
        <f t="shared" si="0"/>
        <v>0</v>
      </c>
      <c r="N60" s="16"/>
      <c r="O60" s="59"/>
    </row>
    <row r="61" spans="2:15">
      <c r="B61" s="18">
        <v>0</v>
      </c>
      <c r="C61" s="19">
        <v>50</v>
      </c>
      <c r="D61" s="19">
        <v>114</v>
      </c>
      <c r="E61" s="20">
        <f t="shared" si="4"/>
        <v>0</v>
      </c>
      <c r="F61" s="21">
        <v>1</v>
      </c>
      <c r="G61" s="22">
        <f t="shared" si="1"/>
        <v>0</v>
      </c>
      <c r="H61" s="23">
        <f t="shared" si="2"/>
        <v>0</v>
      </c>
      <c r="I61" s="24">
        <v>110</v>
      </c>
      <c r="J61" s="25">
        <f t="shared" si="3"/>
        <v>0</v>
      </c>
      <c r="K61" s="26">
        <v>4.2500000000000003E-2</v>
      </c>
      <c r="L61" s="28">
        <f t="shared" si="5"/>
        <v>0.13009867735984282</v>
      </c>
      <c r="M61" s="15">
        <f t="shared" si="0"/>
        <v>0</v>
      </c>
      <c r="N61" s="16"/>
      <c r="O61" s="59"/>
    </row>
    <row r="62" spans="2:15">
      <c r="B62" s="18">
        <v>0</v>
      </c>
      <c r="C62" s="19">
        <v>51</v>
      </c>
      <c r="D62" s="19">
        <v>115</v>
      </c>
      <c r="E62" s="20">
        <f t="shared" si="4"/>
        <v>0</v>
      </c>
      <c r="F62" s="21">
        <v>1</v>
      </c>
      <c r="G62" s="22">
        <f t="shared" si="1"/>
        <v>0</v>
      </c>
      <c r="H62" s="23">
        <f t="shared" si="2"/>
        <v>0</v>
      </c>
      <c r="I62" s="24">
        <v>110</v>
      </c>
      <c r="J62" s="25">
        <f t="shared" si="3"/>
        <v>0</v>
      </c>
      <c r="K62" s="26">
        <v>4.2500000000000003E-2</v>
      </c>
      <c r="L62" s="28">
        <f t="shared" si="5"/>
        <v>0.12479489434996913</v>
      </c>
      <c r="M62" s="15">
        <f t="shared" si="0"/>
        <v>0</v>
      </c>
      <c r="N62" s="16"/>
      <c r="O62" s="59"/>
    </row>
    <row r="63" spans="2:15">
      <c r="B63" s="18">
        <v>0</v>
      </c>
      <c r="C63" s="19">
        <v>52</v>
      </c>
      <c r="D63" s="19">
        <v>116</v>
      </c>
      <c r="E63" s="20">
        <f t="shared" si="4"/>
        <v>0</v>
      </c>
      <c r="F63" s="21">
        <v>1</v>
      </c>
      <c r="G63" s="22">
        <f t="shared" si="1"/>
        <v>0</v>
      </c>
      <c r="H63" s="23">
        <f t="shared" si="2"/>
        <v>0</v>
      </c>
      <c r="I63" s="24">
        <v>110</v>
      </c>
      <c r="J63" s="25">
        <f t="shared" si="3"/>
        <v>0</v>
      </c>
      <c r="K63" s="26">
        <v>4.2500000000000003E-2</v>
      </c>
      <c r="L63" s="28">
        <f t="shared" si="5"/>
        <v>0.11970733270980252</v>
      </c>
      <c r="M63" s="15">
        <f t="shared" si="0"/>
        <v>0</v>
      </c>
      <c r="N63" s="16"/>
      <c r="O63" s="59"/>
    </row>
    <row r="64" spans="2:15">
      <c r="B64" s="18">
        <v>0</v>
      </c>
      <c r="C64" s="19">
        <v>53</v>
      </c>
      <c r="D64" s="19">
        <v>117</v>
      </c>
      <c r="E64" s="20">
        <f t="shared" si="4"/>
        <v>0</v>
      </c>
      <c r="F64" s="21">
        <v>1</v>
      </c>
      <c r="G64" s="22">
        <f t="shared" si="1"/>
        <v>0</v>
      </c>
      <c r="H64" s="23">
        <f t="shared" si="2"/>
        <v>0</v>
      </c>
      <c r="I64" s="24">
        <v>110</v>
      </c>
      <c r="J64" s="25">
        <f t="shared" si="3"/>
        <v>0</v>
      </c>
      <c r="K64" s="26">
        <v>4.2500000000000003E-2</v>
      </c>
      <c r="L64" s="28">
        <f t="shared" si="5"/>
        <v>0.11482717765928299</v>
      </c>
      <c r="M64" s="15">
        <f t="shared" si="0"/>
        <v>0</v>
      </c>
      <c r="N64" s="16"/>
      <c r="O64" s="59"/>
    </row>
    <row r="65" spans="2:15">
      <c r="B65" s="18">
        <v>0</v>
      </c>
      <c r="C65" s="19">
        <v>54</v>
      </c>
      <c r="D65" s="19">
        <v>118</v>
      </c>
      <c r="E65" s="20">
        <f t="shared" si="4"/>
        <v>0</v>
      </c>
      <c r="F65" s="21">
        <v>1</v>
      </c>
      <c r="G65" s="22">
        <f t="shared" si="1"/>
        <v>0</v>
      </c>
      <c r="H65" s="23">
        <f t="shared" si="2"/>
        <v>0</v>
      </c>
      <c r="I65" s="24">
        <v>110</v>
      </c>
      <c r="J65" s="25">
        <f t="shared" si="3"/>
        <v>0</v>
      </c>
      <c r="K65" s="26">
        <v>4.2500000000000003E-2</v>
      </c>
      <c r="L65" s="28">
        <f t="shared" si="5"/>
        <v>0.11014597377389256</v>
      </c>
      <c r="M65" s="15">
        <f t="shared" si="0"/>
        <v>0</v>
      </c>
      <c r="N65" s="16"/>
      <c r="O65" s="59"/>
    </row>
    <row r="66" spans="2:15">
      <c r="B66" s="18">
        <v>0</v>
      </c>
      <c r="C66" s="19">
        <v>55</v>
      </c>
      <c r="D66" s="19">
        <v>119</v>
      </c>
      <c r="E66" s="20">
        <f t="shared" si="4"/>
        <v>0</v>
      </c>
      <c r="F66" s="21">
        <v>1</v>
      </c>
      <c r="G66" s="22">
        <f t="shared" si="1"/>
        <v>0</v>
      </c>
      <c r="H66" s="23">
        <f t="shared" si="2"/>
        <v>0</v>
      </c>
      <c r="I66" s="24">
        <v>110</v>
      </c>
      <c r="J66" s="25">
        <f t="shared" si="3"/>
        <v>0</v>
      </c>
      <c r="K66" s="26">
        <v>4.2500000000000003E-2</v>
      </c>
      <c r="L66" s="28">
        <f t="shared" si="5"/>
        <v>0.10565561033466912</v>
      </c>
      <c r="M66" s="15">
        <f t="shared" si="0"/>
        <v>0</v>
      </c>
      <c r="N66" s="16"/>
      <c r="O66" s="59"/>
    </row>
    <row r="67" spans="2:15">
      <c r="B67" s="18">
        <v>0</v>
      </c>
      <c r="C67" s="19">
        <v>56</v>
      </c>
      <c r="D67" s="19">
        <v>120</v>
      </c>
      <c r="E67" s="20">
        <f t="shared" si="4"/>
        <v>0</v>
      </c>
      <c r="F67" s="21">
        <v>1</v>
      </c>
      <c r="G67" s="22">
        <f t="shared" si="1"/>
        <v>0</v>
      </c>
      <c r="H67" s="23">
        <f t="shared" si="2"/>
        <v>0</v>
      </c>
      <c r="I67" s="24">
        <v>110</v>
      </c>
      <c r="J67" s="25">
        <f t="shared" si="3"/>
        <v>0</v>
      </c>
      <c r="K67" s="26">
        <v>4.2500000000000003E-2</v>
      </c>
      <c r="L67" s="28">
        <f t="shared" si="5"/>
        <v>0.10134830727546199</v>
      </c>
      <c r="M67" s="15">
        <f t="shared" si="0"/>
        <v>0</v>
      </c>
      <c r="N67" s="16"/>
      <c r="O67" s="59"/>
    </row>
    <row r="68" spans="2:15">
      <c r="L68" s="60">
        <f t="shared" si="5"/>
        <v>9.7216601703081038E-2</v>
      </c>
      <c r="M68" s="61"/>
      <c r="N68" s="62"/>
      <c r="O68" s="41"/>
    </row>
  </sheetData>
  <pageMargins left="0.7" right="0.7" top="0.75" bottom="0.75" header="0.3" footer="0.3"/>
  <pageSetup orientation="portrait" horizontalDpi="90" verticalDpi="90" r:id="rId1"/>
  <headerFooter>
    <oddFooter>&amp;C_x000D_&amp;1#&amp;"Calibri"&amp;10&amp;K000000 CONFIDENTIAL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86E6-941E-4C51-94A0-F714632A7C5C}">
  <dimension ref="A1:R144"/>
  <sheetViews>
    <sheetView workbookViewId="0">
      <selection activeCell="B91" sqref="B91"/>
    </sheetView>
  </sheetViews>
  <sheetFormatPr defaultColWidth="8.85546875" defaultRowHeight="15"/>
  <cols>
    <col min="1" max="1" width="23.28515625" style="92" customWidth="1"/>
    <col min="2" max="2" width="12" style="92" customWidth="1"/>
    <col min="3" max="3" width="10.85546875" style="92" customWidth="1"/>
    <col min="4" max="4" width="10.85546875" style="92" bestFit="1" customWidth="1"/>
    <col min="5" max="5" width="12.42578125" style="92" customWidth="1"/>
    <col min="6" max="6" width="13.140625" style="92" customWidth="1"/>
    <col min="7" max="7" width="12.140625" style="92" customWidth="1"/>
    <col min="8" max="8" width="11" style="92" customWidth="1"/>
    <col min="9" max="9" width="14.28515625" style="92" customWidth="1"/>
    <col min="10" max="10" width="12" style="92" customWidth="1"/>
    <col min="11" max="11" width="14.7109375" style="92" customWidth="1"/>
    <col min="12" max="12" width="16.140625" style="92" customWidth="1"/>
    <col min="13" max="13" width="11.7109375" style="92" customWidth="1"/>
    <col min="14" max="14" width="11.42578125" style="92" customWidth="1"/>
    <col min="15" max="16" width="10.85546875" style="92" customWidth="1"/>
    <col min="17" max="17" width="11.42578125" style="92" customWidth="1"/>
    <col min="18" max="18" width="12.42578125" style="92" customWidth="1"/>
    <col min="19" max="16384" width="8.85546875" style="92"/>
  </cols>
  <sheetData>
    <row r="1" spans="1:7" ht="18.75">
      <c r="A1" s="150" t="s">
        <v>154</v>
      </c>
      <c r="B1" s="125"/>
      <c r="C1" s="125"/>
      <c r="D1" s="125"/>
      <c r="E1" s="125"/>
      <c r="F1" s="125"/>
      <c r="G1" s="125"/>
    </row>
    <row r="2" spans="1:7" ht="15.75">
      <c r="A2" s="149" t="s">
        <v>153</v>
      </c>
      <c r="B2" s="125"/>
      <c r="C2" s="125"/>
      <c r="D2" s="125"/>
      <c r="E2" s="125"/>
      <c r="F2" s="125"/>
      <c r="G2" s="125"/>
    </row>
    <row r="3" spans="1:7" ht="15.75">
      <c r="A3" s="149" t="s">
        <v>152</v>
      </c>
      <c r="B3" s="125"/>
      <c r="C3" s="125"/>
      <c r="D3" s="125"/>
      <c r="E3" s="125"/>
      <c r="F3" s="125"/>
      <c r="G3" s="125"/>
    </row>
    <row r="4" spans="1:7">
      <c r="A4" s="125"/>
      <c r="B4" s="125"/>
      <c r="C4" s="125"/>
      <c r="D4" s="125"/>
      <c r="E4" s="125"/>
      <c r="F4" s="125"/>
      <c r="G4" s="125"/>
    </row>
    <row r="5" spans="1:7" ht="15.75">
      <c r="A5" s="129" t="s">
        <v>151</v>
      </c>
      <c r="B5" s="125"/>
      <c r="C5" s="125"/>
      <c r="D5" s="125"/>
      <c r="E5" s="125"/>
      <c r="F5" s="125"/>
      <c r="G5" s="125"/>
    </row>
    <row r="6" spans="1:7" ht="16.5" thickBot="1">
      <c r="A6" s="129"/>
      <c r="B6" s="125"/>
      <c r="C6" s="125"/>
      <c r="D6" s="125"/>
      <c r="E6" s="125"/>
      <c r="F6" s="125"/>
      <c r="G6" s="125"/>
    </row>
    <row r="7" spans="1:7" ht="16.5" thickBot="1">
      <c r="A7" s="148" t="s">
        <v>150</v>
      </c>
      <c r="B7" s="147">
        <v>55</v>
      </c>
      <c r="C7" s="125"/>
      <c r="D7" s="125"/>
      <c r="E7" s="125"/>
      <c r="F7" s="125"/>
      <c r="G7" s="125"/>
    </row>
    <row r="8" spans="1:7" ht="24.6" customHeight="1" thickBot="1">
      <c r="A8" s="144" t="s">
        <v>149</v>
      </c>
      <c r="B8" s="146">
        <v>1000000</v>
      </c>
      <c r="C8" s="125"/>
      <c r="D8" s="125"/>
      <c r="E8" s="125"/>
      <c r="F8" s="125"/>
      <c r="G8" s="125"/>
    </row>
    <row r="9" spans="1:7" ht="30" customHeight="1" thickBot="1">
      <c r="A9" s="144" t="s">
        <v>148</v>
      </c>
      <c r="B9" s="145" t="s">
        <v>147</v>
      </c>
      <c r="C9" s="125"/>
      <c r="D9" s="125"/>
      <c r="E9" s="125"/>
      <c r="F9" s="125"/>
      <c r="G9" s="125"/>
    </row>
    <row r="10" spans="1:7" ht="33.950000000000003" customHeight="1" thickBot="1">
      <c r="A10" s="144" t="s">
        <v>146</v>
      </c>
      <c r="B10" s="143">
        <v>1.7500000000000002E-2</v>
      </c>
      <c r="C10" s="125"/>
      <c r="D10" s="125"/>
      <c r="E10" s="125"/>
      <c r="F10" s="125"/>
      <c r="G10" s="125"/>
    </row>
    <row r="11" spans="1:7" ht="24.95" customHeight="1" thickBot="1">
      <c r="A11" s="144" t="s">
        <v>145</v>
      </c>
      <c r="B11" s="143">
        <v>3.5000000000000003E-2</v>
      </c>
      <c r="C11" s="125"/>
      <c r="D11" s="125"/>
      <c r="E11" s="125"/>
      <c r="F11" s="125"/>
      <c r="G11" s="125"/>
    </row>
    <row r="12" spans="1:7" ht="23.45" customHeight="1" thickBot="1">
      <c r="A12" s="144" t="s">
        <v>144</v>
      </c>
      <c r="B12" s="143">
        <v>0.03</v>
      </c>
      <c r="C12" s="125"/>
      <c r="D12" s="125"/>
      <c r="E12" s="125"/>
      <c r="F12" s="125"/>
      <c r="G12" s="125"/>
    </row>
    <row r="13" spans="1:7" ht="36.6" customHeight="1" thickBot="1">
      <c r="A13" s="144" t="s">
        <v>143</v>
      </c>
      <c r="B13" s="143">
        <v>4.4999999999999998E-2</v>
      </c>
      <c r="C13" s="125"/>
      <c r="D13" s="125"/>
      <c r="E13" s="125"/>
      <c r="F13" s="125"/>
      <c r="G13" s="125"/>
    </row>
    <row r="14" spans="1:7" ht="15.75">
      <c r="A14" s="129"/>
      <c r="B14" s="125"/>
      <c r="C14" s="125"/>
      <c r="D14" s="125"/>
      <c r="E14" s="125"/>
      <c r="F14" s="125"/>
      <c r="G14" s="125"/>
    </row>
    <row r="15" spans="1:7" ht="15.75">
      <c r="A15" s="129" t="s">
        <v>142</v>
      </c>
      <c r="B15" s="125"/>
      <c r="C15" s="125"/>
      <c r="D15" s="125"/>
      <c r="E15" s="125"/>
      <c r="F15" s="125"/>
      <c r="G15" s="125"/>
    </row>
    <row r="16" spans="1:7" ht="15.75">
      <c r="A16" s="140" t="s">
        <v>141</v>
      </c>
      <c r="B16" s="125"/>
      <c r="C16" s="125"/>
      <c r="D16" s="125"/>
      <c r="E16" s="125"/>
      <c r="F16" s="125"/>
      <c r="G16" s="125"/>
    </row>
    <row r="17" spans="1:7" ht="15.75">
      <c r="A17" s="140" t="s">
        <v>140</v>
      </c>
      <c r="B17" s="125"/>
      <c r="C17" s="125"/>
      <c r="D17" s="125"/>
      <c r="E17" s="125"/>
      <c r="F17" s="125"/>
      <c r="G17" s="125"/>
    </row>
    <row r="18" spans="1:7" ht="15.75">
      <c r="A18" s="141" t="s">
        <v>139</v>
      </c>
      <c r="B18" s="125"/>
      <c r="C18" s="125"/>
      <c r="D18" s="125"/>
      <c r="E18" s="125"/>
      <c r="F18" s="125"/>
      <c r="G18" s="125"/>
    </row>
    <row r="19" spans="1:7" ht="15.75">
      <c r="A19" s="142" t="s">
        <v>138</v>
      </c>
      <c r="B19" s="125"/>
      <c r="C19" s="125"/>
      <c r="D19" s="125"/>
      <c r="E19" s="125"/>
      <c r="F19" s="125"/>
      <c r="G19" s="125"/>
    </row>
    <row r="20" spans="1:7" ht="15.75">
      <c r="A20" s="141" t="s">
        <v>137</v>
      </c>
      <c r="B20" s="125"/>
      <c r="C20" s="125"/>
      <c r="D20" s="125"/>
      <c r="E20" s="125"/>
      <c r="F20" s="125"/>
      <c r="G20" s="125"/>
    </row>
    <row r="21" spans="1:7" ht="15.75">
      <c r="A21" s="140" t="s">
        <v>136</v>
      </c>
      <c r="B21" s="125"/>
      <c r="C21" s="125"/>
      <c r="D21" s="125"/>
      <c r="E21" s="125"/>
      <c r="F21" s="125"/>
      <c r="G21" s="125"/>
    </row>
    <row r="22" spans="1:7" ht="15.75" thickBot="1">
      <c r="A22" s="139"/>
      <c r="B22" s="125"/>
      <c r="C22" s="125"/>
      <c r="D22" s="125"/>
      <c r="E22" s="125"/>
      <c r="F22" s="125"/>
      <c r="G22" s="125"/>
    </row>
    <row r="23" spans="1:7" ht="16.5" thickBot="1">
      <c r="A23" s="135" t="s">
        <v>135</v>
      </c>
      <c r="B23" s="138" t="s">
        <v>134</v>
      </c>
      <c r="C23" s="137"/>
      <c r="D23" s="137"/>
      <c r="E23" s="136"/>
      <c r="F23" s="130"/>
      <c r="G23" s="125"/>
    </row>
    <row r="24" spans="1:7" ht="15.75">
      <c r="A24" s="133" t="s">
        <v>1</v>
      </c>
      <c r="B24" s="160" t="s">
        <v>133</v>
      </c>
      <c r="C24" s="160" t="s">
        <v>59</v>
      </c>
      <c r="D24" s="160" t="s">
        <v>56</v>
      </c>
      <c r="E24" s="160" t="s">
        <v>44</v>
      </c>
      <c r="F24" s="130"/>
      <c r="G24" s="125"/>
    </row>
    <row r="25" spans="1:7" ht="15.75" thickBot="1">
      <c r="A25" s="134"/>
      <c r="B25" s="161"/>
      <c r="C25" s="161"/>
      <c r="D25" s="161"/>
      <c r="E25" s="161"/>
      <c r="F25" s="130"/>
      <c r="G25" s="125"/>
    </row>
    <row r="26" spans="1:7" ht="16.5" thickBot="1">
      <c r="A26" s="132">
        <v>55</v>
      </c>
      <c r="B26" s="131">
        <v>28.545000000000002</v>
      </c>
      <c r="C26" s="131">
        <v>57.09</v>
      </c>
      <c r="D26" s="131">
        <v>42.817999999999998</v>
      </c>
      <c r="E26" s="131">
        <v>45.671999999999997</v>
      </c>
      <c r="F26" s="130"/>
      <c r="G26" s="125"/>
    </row>
    <row r="27" spans="1:7" ht="16.5" thickBot="1">
      <c r="A27" s="132">
        <v>56</v>
      </c>
      <c r="B27" s="131">
        <v>33.384999999999998</v>
      </c>
      <c r="C27" s="131">
        <v>63.59</v>
      </c>
      <c r="D27" s="131">
        <v>48.328000000000003</v>
      </c>
      <c r="E27" s="131">
        <v>51.508000000000003</v>
      </c>
      <c r="F27" s="130"/>
      <c r="G27" s="125"/>
    </row>
    <row r="28" spans="1:7" ht="16.5" thickBot="1">
      <c r="A28" s="132">
        <v>57</v>
      </c>
      <c r="B28" s="131">
        <v>39.039000000000001</v>
      </c>
      <c r="C28" s="131">
        <v>70.98</v>
      </c>
      <c r="D28" s="131">
        <v>54.655000000000001</v>
      </c>
      <c r="E28" s="131">
        <v>58.204000000000001</v>
      </c>
      <c r="F28" s="130"/>
      <c r="G28" s="125"/>
    </row>
    <row r="29" spans="1:7" ht="16.5" thickBot="1">
      <c r="A29" s="132">
        <v>58</v>
      </c>
      <c r="B29" s="131">
        <v>45.207000000000001</v>
      </c>
      <c r="C29" s="131">
        <v>78.62</v>
      </c>
      <c r="D29" s="131">
        <v>61.323999999999998</v>
      </c>
      <c r="E29" s="131">
        <v>65.254999999999995</v>
      </c>
      <c r="F29" s="130"/>
      <c r="G29" s="125"/>
    </row>
    <row r="30" spans="1:7" ht="16.5" thickBot="1">
      <c r="A30" s="132">
        <v>59</v>
      </c>
      <c r="B30" s="131">
        <v>52.073999999999998</v>
      </c>
      <c r="C30" s="131">
        <v>86.79</v>
      </c>
      <c r="D30" s="131">
        <v>68.563999999999993</v>
      </c>
      <c r="E30" s="131">
        <v>72.903999999999996</v>
      </c>
      <c r="F30" s="130"/>
      <c r="G30" s="125"/>
    </row>
    <row r="31" spans="1:7" ht="16.5" thickBot="1">
      <c r="A31" s="132">
        <v>60</v>
      </c>
      <c r="B31" s="131">
        <v>59.893999999999998</v>
      </c>
      <c r="C31" s="131">
        <v>95.83</v>
      </c>
      <c r="D31" s="131">
        <v>76.664000000000001</v>
      </c>
      <c r="E31" s="131">
        <v>81.456000000000003</v>
      </c>
      <c r="F31" s="130"/>
      <c r="G31" s="125"/>
    </row>
    <row r="32" spans="1:7" ht="16.5" thickBot="1">
      <c r="A32" s="132">
        <v>61</v>
      </c>
      <c r="B32" s="131">
        <v>68.894000000000005</v>
      </c>
      <c r="C32" s="131">
        <v>105.99</v>
      </c>
      <c r="D32" s="131">
        <v>85.852000000000004</v>
      </c>
      <c r="E32" s="131">
        <v>91.150999999999996</v>
      </c>
      <c r="F32" s="130"/>
      <c r="G32" s="125"/>
    </row>
    <row r="33" spans="1:7" ht="16.5" thickBot="1">
      <c r="A33" s="132">
        <v>62</v>
      </c>
      <c r="B33" s="131">
        <v>79.137</v>
      </c>
      <c r="C33" s="131">
        <v>117.24</v>
      </c>
      <c r="D33" s="131">
        <v>96.137</v>
      </c>
      <c r="E33" s="131">
        <v>101.999</v>
      </c>
      <c r="F33" s="130"/>
      <c r="G33" s="125"/>
    </row>
    <row r="34" spans="1:7" ht="16.5" thickBot="1">
      <c r="A34" s="132">
        <v>63</v>
      </c>
      <c r="B34" s="131">
        <v>90.635999999999996</v>
      </c>
      <c r="C34" s="131">
        <v>129.47999999999999</v>
      </c>
      <c r="D34" s="131">
        <v>107.468</v>
      </c>
      <c r="E34" s="131">
        <v>113.94199999999999</v>
      </c>
      <c r="F34" s="130"/>
      <c r="G34" s="125"/>
    </row>
    <row r="35" spans="1:7" ht="16.5" thickBot="1">
      <c r="A35" s="132">
        <v>64</v>
      </c>
      <c r="B35" s="131">
        <v>103.349</v>
      </c>
      <c r="C35" s="131">
        <v>142.55000000000001</v>
      </c>
      <c r="D35" s="131">
        <v>119.742</v>
      </c>
      <c r="E35" s="131">
        <v>126.87</v>
      </c>
      <c r="F35" s="130"/>
      <c r="G35" s="125"/>
    </row>
    <row r="36" spans="1:7" ht="16.5" thickBot="1">
      <c r="A36" s="132">
        <v>65</v>
      </c>
      <c r="B36" s="131">
        <v>117.21</v>
      </c>
      <c r="C36" s="131">
        <v>156.28</v>
      </c>
      <c r="D36" s="131">
        <v>132.83799999999999</v>
      </c>
      <c r="E36" s="131">
        <v>140.65199999999999</v>
      </c>
      <c r="F36" s="130"/>
      <c r="G36" s="125"/>
    </row>
    <row r="37" spans="1:7" ht="15.75">
      <c r="A37" s="129"/>
      <c r="B37" s="125"/>
      <c r="C37" s="125"/>
      <c r="D37" s="125"/>
      <c r="E37" s="125"/>
      <c r="F37" s="125"/>
      <c r="G37" s="125"/>
    </row>
    <row r="38" spans="1:7" ht="15.75">
      <c r="A38" s="129" t="s">
        <v>132</v>
      </c>
      <c r="B38" s="125"/>
      <c r="C38" s="125"/>
      <c r="D38" s="125"/>
      <c r="E38" s="125"/>
      <c r="F38" s="125"/>
      <c r="G38" s="125"/>
    </row>
    <row r="39" spans="1:7" ht="15.75">
      <c r="A39" s="128"/>
      <c r="B39" s="125"/>
      <c r="C39" s="125"/>
      <c r="D39" s="125"/>
      <c r="E39" s="125"/>
      <c r="F39" s="125"/>
      <c r="G39" s="125"/>
    </row>
    <row r="40" spans="1:7" ht="15.75">
      <c r="A40" s="126" t="s">
        <v>131</v>
      </c>
      <c r="B40" s="125"/>
      <c r="C40" s="125"/>
      <c r="D40" s="125"/>
      <c r="E40" s="125"/>
      <c r="F40" s="125"/>
      <c r="G40" s="125"/>
    </row>
    <row r="41" spans="1:7" ht="15.75">
      <c r="A41" s="124" t="s">
        <v>97</v>
      </c>
      <c r="B41" s="94"/>
      <c r="C41" s="94"/>
      <c r="D41" s="94"/>
      <c r="E41" s="94"/>
      <c r="F41" s="94"/>
      <c r="G41" s="94"/>
    </row>
    <row r="42" spans="1:7" ht="15.75">
      <c r="A42" s="127"/>
      <c r="B42" s="94" t="s">
        <v>130</v>
      </c>
      <c r="C42" s="94"/>
      <c r="D42" s="94"/>
      <c r="E42" s="94"/>
      <c r="F42" s="94"/>
      <c r="G42" s="94"/>
    </row>
    <row r="43" spans="1:7" ht="15.75">
      <c r="A43" s="127"/>
      <c r="B43" s="94" t="s">
        <v>129</v>
      </c>
      <c r="C43" s="94"/>
      <c r="D43" s="94"/>
      <c r="E43" s="94"/>
      <c r="F43" s="94"/>
      <c r="G43" s="94"/>
    </row>
    <row r="44" spans="1:7" ht="15.75">
      <c r="A44" s="127"/>
      <c r="B44" s="94" t="s">
        <v>128</v>
      </c>
      <c r="C44" s="94"/>
      <c r="D44" s="94"/>
      <c r="E44" s="94"/>
      <c r="F44" s="94"/>
      <c r="G44" s="94"/>
    </row>
    <row r="45" spans="1:7" ht="15.75">
      <c r="A45" s="127"/>
      <c r="B45" s="94"/>
      <c r="C45" s="94"/>
      <c r="D45" s="94"/>
      <c r="E45" s="94"/>
      <c r="F45" s="94"/>
      <c r="G45" s="94"/>
    </row>
    <row r="46" spans="1:7" ht="15.75">
      <c r="A46" s="127"/>
      <c r="B46" s="94" t="s">
        <v>127</v>
      </c>
      <c r="C46" s="94"/>
      <c r="D46" s="94"/>
      <c r="E46" s="94"/>
      <c r="F46" s="94"/>
      <c r="G46" s="94"/>
    </row>
    <row r="47" spans="1:7" ht="15.75">
      <c r="A47" s="127"/>
      <c r="B47" s="94"/>
      <c r="C47" s="94"/>
      <c r="D47" s="94"/>
      <c r="E47" s="94"/>
      <c r="F47" s="94"/>
      <c r="G47" s="94"/>
    </row>
    <row r="48" spans="1:7" ht="15.75">
      <c r="A48" s="127"/>
      <c r="B48" s="94" t="s">
        <v>126</v>
      </c>
      <c r="C48" s="94"/>
      <c r="D48" s="94"/>
      <c r="E48" s="94"/>
      <c r="F48" s="94"/>
      <c r="G48" s="94"/>
    </row>
    <row r="49" spans="1:18" ht="15.75">
      <c r="A49" s="127"/>
      <c r="B49" s="94" t="s">
        <v>125</v>
      </c>
      <c r="C49" s="94"/>
      <c r="D49" s="94"/>
      <c r="E49" s="94"/>
      <c r="F49" s="94"/>
      <c r="G49" s="94"/>
    </row>
    <row r="50" spans="1:18" ht="15.75">
      <c r="A50" s="127"/>
      <c r="B50" s="94" t="s">
        <v>124</v>
      </c>
      <c r="C50" s="94"/>
      <c r="D50" s="94"/>
      <c r="E50" s="94"/>
      <c r="F50" s="94"/>
      <c r="G50" s="94"/>
    </row>
    <row r="51" spans="1:18" ht="15.75">
      <c r="A51" s="127"/>
      <c r="B51" s="94" t="s">
        <v>123</v>
      </c>
      <c r="C51" s="94"/>
      <c r="D51" s="94"/>
      <c r="E51" s="94"/>
      <c r="F51" s="94"/>
      <c r="G51" s="94"/>
    </row>
    <row r="52" spans="1:18" ht="15.75">
      <c r="A52" s="127"/>
      <c r="B52" s="94"/>
      <c r="C52" s="94"/>
      <c r="D52" s="94"/>
      <c r="E52" s="94"/>
      <c r="F52" s="94"/>
      <c r="G52" s="94"/>
    </row>
    <row r="53" spans="1:18" ht="15.75">
      <c r="A53" s="127"/>
      <c r="B53" s="94" t="s">
        <v>122</v>
      </c>
      <c r="C53" s="94"/>
      <c r="D53" s="94"/>
      <c r="E53" s="94"/>
      <c r="F53" s="94"/>
      <c r="G53" s="94"/>
    </row>
    <row r="54" spans="1:18" ht="15.75">
      <c r="A54" s="127"/>
      <c r="B54" s="94" t="s">
        <v>121</v>
      </c>
      <c r="C54" s="94"/>
      <c r="D54" s="94"/>
      <c r="E54" s="94"/>
      <c r="F54" s="94"/>
      <c r="G54" s="94"/>
    </row>
    <row r="55" spans="1:18" ht="15.75">
      <c r="A55" s="127"/>
      <c r="B55" s="94"/>
      <c r="C55" s="94"/>
      <c r="D55" s="94"/>
      <c r="E55" s="94"/>
      <c r="F55" s="94"/>
      <c r="G55" s="94"/>
    </row>
    <row r="56" spans="1:18" ht="15.75">
      <c r="A56" s="127"/>
      <c r="B56" s="94" t="s">
        <v>120</v>
      </c>
      <c r="C56" s="94"/>
      <c r="D56" s="94"/>
      <c r="E56" s="94"/>
      <c r="F56" s="94"/>
      <c r="G56" s="94"/>
    </row>
    <row r="57" spans="1:18" ht="15.75">
      <c r="A57" s="127"/>
      <c r="B57" s="94" t="s">
        <v>119</v>
      </c>
      <c r="C57" s="94"/>
      <c r="D57" s="94"/>
      <c r="E57" s="94"/>
      <c r="F57" s="94"/>
      <c r="G57" s="94"/>
    </row>
    <row r="58" spans="1:18" ht="15.75">
      <c r="A58" s="127"/>
      <c r="B58" s="94" t="s">
        <v>118</v>
      </c>
      <c r="C58" s="94"/>
      <c r="D58" s="94"/>
      <c r="E58" s="94"/>
      <c r="F58" s="94"/>
      <c r="G58" s="94"/>
    </row>
    <row r="59" spans="1:18" ht="15.75">
      <c r="A59" s="127"/>
      <c r="B59" s="94"/>
      <c r="C59" s="94"/>
      <c r="D59" s="94"/>
      <c r="E59" s="94"/>
      <c r="F59" s="94"/>
      <c r="G59" s="94"/>
    </row>
    <row r="60" spans="1:18" ht="15.75">
      <c r="A60" s="127"/>
      <c r="B60" s="94" t="s">
        <v>117</v>
      </c>
      <c r="C60" s="94"/>
      <c r="D60" s="94"/>
      <c r="E60" s="94"/>
      <c r="F60" s="94"/>
      <c r="G60" s="94"/>
    </row>
    <row r="61" spans="1:18" ht="15.75">
      <c r="A61" s="127"/>
      <c r="B61" s="94"/>
      <c r="C61" s="94"/>
      <c r="D61" s="94"/>
      <c r="E61" s="94"/>
      <c r="F61" s="94"/>
      <c r="G61" s="94"/>
      <c r="Q61" s="103" t="s">
        <v>116</v>
      </c>
      <c r="R61" s="103" t="s">
        <v>116</v>
      </c>
    </row>
    <row r="62" spans="1:18" ht="15.75">
      <c r="A62" s="127"/>
      <c r="B62" s="92" t="s">
        <v>115</v>
      </c>
      <c r="G62" s="103" t="s">
        <v>44</v>
      </c>
      <c r="H62" s="103" t="s">
        <v>59</v>
      </c>
      <c r="O62" s="103" t="s">
        <v>75</v>
      </c>
      <c r="P62" s="103" t="s">
        <v>75</v>
      </c>
      <c r="Q62" s="103" t="s">
        <v>114</v>
      </c>
      <c r="R62" s="103" t="s">
        <v>114</v>
      </c>
    </row>
    <row r="63" spans="1:18" ht="15.75">
      <c r="A63" s="127"/>
      <c r="F63" s="103" t="s">
        <v>56</v>
      </c>
      <c r="G63" s="103" t="s">
        <v>113</v>
      </c>
      <c r="H63" s="103" t="s">
        <v>36</v>
      </c>
      <c r="J63" s="103" t="s">
        <v>108</v>
      </c>
      <c r="K63" s="103" t="s">
        <v>108</v>
      </c>
      <c r="M63" s="103" t="s">
        <v>75</v>
      </c>
      <c r="N63" s="103" t="s">
        <v>75</v>
      </c>
      <c r="O63" s="103" t="s">
        <v>71</v>
      </c>
      <c r="P63" s="103" t="s">
        <v>71</v>
      </c>
      <c r="Q63" s="103" t="s">
        <v>112</v>
      </c>
      <c r="R63" s="103" t="s">
        <v>111</v>
      </c>
    </row>
    <row r="64" spans="1:18" ht="15.75">
      <c r="A64" s="127"/>
      <c r="B64" s="103"/>
      <c r="C64" s="103" t="s">
        <v>110</v>
      </c>
      <c r="D64" s="103" t="s">
        <v>109</v>
      </c>
      <c r="F64" s="103" t="s">
        <v>50</v>
      </c>
      <c r="G64" s="103" t="s">
        <v>39</v>
      </c>
      <c r="H64" s="103" t="s">
        <v>48</v>
      </c>
      <c r="I64" s="103" t="s">
        <v>47</v>
      </c>
      <c r="J64" s="103" t="s">
        <v>110</v>
      </c>
      <c r="K64" s="103" t="s">
        <v>109</v>
      </c>
      <c r="L64" s="103" t="s">
        <v>108</v>
      </c>
      <c r="M64" s="103" t="s">
        <v>71</v>
      </c>
      <c r="N64" s="103" t="s">
        <v>71</v>
      </c>
      <c r="O64" s="103" t="s">
        <v>107</v>
      </c>
      <c r="P64" s="103" t="s">
        <v>107</v>
      </c>
      <c r="Q64" s="103" t="s">
        <v>106</v>
      </c>
      <c r="R64" s="103" t="s">
        <v>106</v>
      </c>
    </row>
    <row r="65" spans="1:18" ht="15.75">
      <c r="A65" s="127"/>
      <c r="B65" s="103" t="s">
        <v>38</v>
      </c>
      <c r="C65" s="103" t="s">
        <v>105</v>
      </c>
      <c r="D65" s="103" t="s">
        <v>105</v>
      </c>
      <c r="E65" s="103" t="s">
        <v>104</v>
      </c>
      <c r="F65" s="103" t="s">
        <v>42</v>
      </c>
      <c r="G65" s="103" t="s">
        <v>41</v>
      </c>
      <c r="H65" s="103" t="s">
        <v>40</v>
      </c>
      <c r="I65" s="103" t="s">
        <v>39</v>
      </c>
      <c r="J65" s="103" t="s">
        <v>103</v>
      </c>
      <c r="K65" s="103" t="s">
        <v>103</v>
      </c>
      <c r="L65" s="103" t="s">
        <v>102</v>
      </c>
      <c r="M65" s="103" t="s">
        <v>103</v>
      </c>
      <c r="N65" s="103" t="s">
        <v>102</v>
      </c>
      <c r="O65" s="103" t="s">
        <v>103</v>
      </c>
      <c r="P65" s="92" t="s">
        <v>102</v>
      </c>
      <c r="Q65" s="103" t="s">
        <v>101</v>
      </c>
      <c r="R65" s="103" t="s">
        <v>101</v>
      </c>
    </row>
    <row r="66" spans="1:18" ht="15.75">
      <c r="A66" s="127"/>
      <c r="B66" s="94">
        <f>1</f>
        <v>1</v>
      </c>
      <c r="C66" s="101">
        <f>B8</f>
        <v>1000000</v>
      </c>
      <c r="D66" s="94">
        <f>0</f>
        <v>0</v>
      </c>
      <c r="E66" s="101">
        <f>20000</f>
        <v>20000</v>
      </c>
      <c r="F66" s="94">
        <f t="shared" ref="F66:F75" si="0">D26</f>
        <v>42.817999999999998</v>
      </c>
      <c r="G66" s="99">
        <f>B10</f>
        <v>1.7500000000000002E-2</v>
      </c>
      <c r="H66" s="92">
        <f>1</f>
        <v>1</v>
      </c>
      <c r="I66" s="92">
        <f>1</f>
        <v>1</v>
      </c>
      <c r="J66" s="93">
        <f t="shared" ref="J66:J75" si="1">C66*H66*F66/1000</f>
        <v>42818</v>
      </c>
      <c r="K66" s="93">
        <f t="shared" ref="K66:K75" si="2">D66*H66*(1-F66/1000)</f>
        <v>0</v>
      </c>
      <c r="L66" s="93">
        <f t="shared" ref="L66:L75" si="3">E66*H66</f>
        <v>20000</v>
      </c>
      <c r="M66" s="93">
        <f t="shared" ref="M66:M75" si="4">(J66+K66)*I66/(1+G66)</f>
        <v>42081.572481572475</v>
      </c>
      <c r="N66" s="93">
        <f t="shared" ref="N66:N75" si="5">L66*I66</f>
        <v>20000</v>
      </c>
      <c r="O66" s="93">
        <f>SUM(M66:M$75)</f>
        <v>875988.99819400324</v>
      </c>
      <c r="P66" s="93">
        <f>SUM(N66:N$75)</f>
        <v>144207.07924297301</v>
      </c>
      <c r="Q66" s="93">
        <f t="shared" ref="Q66:Q75" si="6">O66-N$77*P66</f>
        <v>0</v>
      </c>
      <c r="R66" s="93">
        <f t="shared" ref="R66:R75" si="7">O66-N$78*P66</f>
        <v>731781.91895103024</v>
      </c>
    </row>
    <row r="67" spans="1:18" ht="15.75">
      <c r="A67" s="127"/>
      <c r="B67" s="94">
        <f t="shared" ref="B67:B75" si="8">B66+1</f>
        <v>2</v>
      </c>
      <c r="C67" s="101">
        <f t="shared" ref="C67:C75" si="9">C66</f>
        <v>1000000</v>
      </c>
      <c r="D67" s="94">
        <f>0</f>
        <v>0</v>
      </c>
      <c r="E67" s="101">
        <f>20000</f>
        <v>20000</v>
      </c>
      <c r="F67" s="94">
        <f t="shared" si="0"/>
        <v>48.328000000000003</v>
      </c>
      <c r="G67" s="99">
        <f t="shared" ref="G67:G75" si="10">G66</f>
        <v>1.7500000000000002E-2</v>
      </c>
      <c r="H67" s="92">
        <f t="shared" ref="H67:H75" si="11">H66*(1-F66/1000)</f>
        <v>0.95718199999999998</v>
      </c>
      <c r="I67" s="92">
        <f t="shared" ref="I67:I75" si="12">I66/(1+G66)</f>
        <v>0.98280098280098271</v>
      </c>
      <c r="J67" s="93">
        <f t="shared" si="1"/>
        <v>46258.691696000002</v>
      </c>
      <c r="K67" s="93">
        <f t="shared" si="2"/>
        <v>0</v>
      </c>
      <c r="L67" s="93">
        <f t="shared" si="3"/>
        <v>19143.64</v>
      </c>
      <c r="M67" s="93">
        <f t="shared" si="4"/>
        <v>44681.16723529873</v>
      </c>
      <c r="N67" s="93">
        <f t="shared" si="5"/>
        <v>18814.388206388205</v>
      </c>
      <c r="O67" s="93">
        <f>SUM(M67:M$75)</f>
        <v>833907.42571243073</v>
      </c>
      <c r="P67" s="93">
        <f>SUM(N67:N$75)</f>
        <v>124207.07924297298</v>
      </c>
      <c r="Q67" s="93">
        <f t="shared" si="6"/>
        <v>79408.856808387674</v>
      </c>
      <c r="R67" s="93">
        <f t="shared" si="7"/>
        <v>709700.34646945773</v>
      </c>
    </row>
    <row r="68" spans="1:18" ht="15.75">
      <c r="A68" s="127"/>
      <c r="B68" s="94">
        <f t="shared" si="8"/>
        <v>3</v>
      </c>
      <c r="C68" s="101">
        <f t="shared" si="9"/>
        <v>1000000</v>
      </c>
      <c r="D68" s="94">
        <f>0</f>
        <v>0</v>
      </c>
      <c r="E68" s="101">
        <f>20000</f>
        <v>20000</v>
      </c>
      <c r="F68" s="94">
        <f t="shared" si="0"/>
        <v>54.655000000000001</v>
      </c>
      <c r="G68" s="99">
        <f t="shared" si="10"/>
        <v>1.7500000000000002E-2</v>
      </c>
      <c r="H68" s="92">
        <f t="shared" si="11"/>
        <v>0.91092330830399992</v>
      </c>
      <c r="I68" s="92">
        <f t="shared" si="12"/>
        <v>0.96589777179457759</v>
      </c>
      <c r="J68" s="93">
        <f t="shared" si="1"/>
        <v>49786.513415355119</v>
      </c>
      <c r="K68" s="93">
        <f t="shared" si="2"/>
        <v>0</v>
      </c>
      <c r="L68" s="93">
        <f t="shared" si="3"/>
        <v>18218.466166079997</v>
      </c>
      <c r="M68" s="93">
        <f t="shared" si="4"/>
        <v>47261.604298095677</v>
      </c>
      <c r="N68" s="93">
        <f t="shared" si="5"/>
        <v>17597.17587533157</v>
      </c>
      <c r="O68" s="93">
        <f>SUM(M68:M$75)</f>
        <v>789226.25847713195</v>
      </c>
      <c r="P68" s="93">
        <f>SUM(N68:N$75)</f>
        <v>105392.69103658479</v>
      </c>
      <c r="Q68" s="93">
        <f t="shared" si="6"/>
        <v>149016.09457419184</v>
      </c>
      <c r="R68" s="93">
        <f t="shared" si="7"/>
        <v>683833.56744054717</v>
      </c>
    </row>
    <row r="69" spans="1:18" ht="15.75">
      <c r="A69" s="127"/>
      <c r="B69" s="94">
        <f t="shared" si="8"/>
        <v>4</v>
      </c>
      <c r="C69" s="101">
        <f t="shared" si="9"/>
        <v>1000000</v>
      </c>
      <c r="D69" s="94">
        <f>0</f>
        <v>0</v>
      </c>
      <c r="E69" s="101">
        <f>20000</f>
        <v>20000</v>
      </c>
      <c r="F69" s="94">
        <f t="shared" si="0"/>
        <v>61.323999999999998</v>
      </c>
      <c r="G69" s="99">
        <f t="shared" si="10"/>
        <v>1.7500000000000002E-2</v>
      </c>
      <c r="H69" s="92">
        <f t="shared" si="11"/>
        <v>0.86113679488864481</v>
      </c>
      <c r="I69" s="92">
        <f t="shared" si="12"/>
        <v>0.94928527940499019</v>
      </c>
      <c r="J69" s="93">
        <f t="shared" si="1"/>
        <v>52808.352809751261</v>
      </c>
      <c r="K69" s="93">
        <f t="shared" si="2"/>
        <v>0</v>
      </c>
      <c r="L69" s="93">
        <f t="shared" si="3"/>
        <v>17222.735897772895</v>
      </c>
      <c r="M69" s="93">
        <f t="shared" si="4"/>
        <v>49268.001918350878</v>
      </c>
      <c r="N69" s="93">
        <f t="shared" si="5"/>
        <v>16349.289658835696</v>
      </c>
      <c r="O69" s="93">
        <f>SUM(M69:M$75)</f>
        <v>741964.65417903627</v>
      </c>
      <c r="P69" s="93">
        <f>SUM(N69:N$75)</f>
        <v>87795.515161253221</v>
      </c>
      <c r="Q69" s="102">
        <f t="shared" si="6"/>
        <v>208648.91284534417</v>
      </c>
      <c r="R69" s="102">
        <f t="shared" si="7"/>
        <v>654169.13901778311</v>
      </c>
    </row>
    <row r="70" spans="1:18" ht="15.75">
      <c r="A70" s="127"/>
      <c r="B70" s="94">
        <f t="shared" si="8"/>
        <v>5</v>
      </c>
      <c r="C70" s="101">
        <f t="shared" si="9"/>
        <v>1000000</v>
      </c>
      <c r="D70" s="94">
        <f>0</f>
        <v>0</v>
      </c>
      <c r="E70" s="101">
        <f>20000</f>
        <v>20000</v>
      </c>
      <c r="F70" s="94">
        <f t="shared" si="0"/>
        <v>68.563999999999993</v>
      </c>
      <c r="G70" s="99">
        <f t="shared" si="10"/>
        <v>1.7500000000000002E-2</v>
      </c>
      <c r="H70" s="92">
        <f t="shared" si="11"/>
        <v>0.80832844207889354</v>
      </c>
      <c r="I70" s="92">
        <f t="shared" si="12"/>
        <v>0.93295850555772986</v>
      </c>
      <c r="J70" s="93">
        <f t="shared" si="1"/>
        <v>55422.231302697248</v>
      </c>
      <c r="K70" s="93">
        <f t="shared" si="2"/>
        <v>0</v>
      </c>
      <c r="L70" s="93">
        <f t="shared" si="3"/>
        <v>16166.568841577871</v>
      </c>
      <c r="M70" s="93">
        <f t="shared" si="4"/>
        <v>50817.338664215487</v>
      </c>
      <c r="N70" s="93">
        <f t="shared" si="5"/>
        <v>15082.737906434651</v>
      </c>
      <c r="O70" s="93">
        <f>SUM(M70:M$75)</f>
        <v>692696.65226068534</v>
      </c>
      <c r="P70" s="93">
        <f>SUM(N70:N$75)</f>
        <v>71446.22550241751</v>
      </c>
      <c r="Q70" s="93">
        <f t="shared" si="6"/>
        <v>258695.02188888588</v>
      </c>
      <c r="R70" s="93">
        <f t="shared" si="7"/>
        <v>621250.4267582678</v>
      </c>
    </row>
    <row r="71" spans="1:18" ht="15.75">
      <c r="A71" s="127"/>
      <c r="B71" s="94">
        <f t="shared" si="8"/>
        <v>6</v>
      </c>
      <c r="C71" s="101">
        <f t="shared" si="9"/>
        <v>1000000</v>
      </c>
      <c r="D71" s="94">
        <f>0</f>
        <v>0</v>
      </c>
      <c r="E71" s="101">
        <f>20000</f>
        <v>20000</v>
      </c>
      <c r="F71" s="94">
        <f t="shared" si="0"/>
        <v>76.664000000000001</v>
      </c>
      <c r="G71" s="99">
        <f t="shared" si="10"/>
        <v>1.7500000000000002E-2</v>
      </c>
      <c r="H71" s="92">
        <f t="shared" si="11"/>
        <v>0.75290621077619635</v>
      </c>
      <c r="I71" s="92">
        <f t="shared" si="12"/>
        <v>0.91691253617467305</v>
      </c>
      <c r="J71" s="93">
        <f t="shared" si="1"/>
        <v>57720.801742946322</v>
      </c>
      <c r="K71" s="93">
        <f t="shared" si="2"/>
        <v>0</v>
      </c>
      <c r="L71" s="93">
        <f t="shared" si="3"/>
        <v>15058.124215523927</v>
      </c>
      <c r="M71" s="93">
        <f t="shared" si="4"/>
        <v>52014.669991312432</v>
      </c>
      <c r="N71" s="93">
        <f t="shared" si="5"/>
        <v>13806.982864489302</v>
      </c>
      <c r="O71" s="93">
        <f>SUM(M71:M$75)</f>
        <v>641879.31359646993</v>
      </c>
      <c r="P71" s="93">
        <f>SUM(N71:N$75)</f>
        <v>56363.487595982871</v>
      </c>
      <c r="Q71" s="93">
        <f t="shared" si="6"/>
        <v>299498.09838070528</v>
      </c>
      <c r="R71" s="93">
        <f t="shared" si="7"/>
        <v>585515.82600048708</v>
      </c>
    </row>
    <row r="72" spans="1:18" ht="15.75">
      <c r="A72" s="127"/>
      <c r="B72" s="94">
        <f t="shared" si="8"/>
        <v>7</v>
      </c>
      <c r="C72" s="101">
        <f t="shared" si="9"/>
        <v>1000000</v>
      </c>
      <c r="D72" s="94">
        <f>0</f>
        <v>0</v>
      </c>
      <c r="E72" s="101">
        <f>20000</f>
        <v>20000</v>
      </c>
      <c r="F72" s="94">
        <f t="shared" si="0"/>
        <v>85.852000000000004</v>
      </c>
      <c r="G72" s="99">
        <f t="shared" si="10"/>
        <v>1.7500000000000002E-2</v>
      </c>
      <c r="H72" s="92">
        <f t="shared" si="11"/>
        <v>0.6951854090332501</v>
      </c>
      <c r="I72" s="92">
        <f t="shared" si="12"/>
        <v>0.90114254169501029</v>
      </c>
      <c r="J72" s="93">
        <f t="shared" si="1"/>
        <v>59683.057736322589</v>
      </c>
      <c r="K72" s="93">
        <f t="shared" si="2"/>
        <v>0</v>
      </c>
      <c r="L72" s="93">
        <f t="shared" si="3"/>
        <v>13903.708180665002</v>
      </c>
      <c r="M72" s="93">
        <f t="shared" si="4"/>
        <v>52857.92859424057</v>
      </c>
      <c r="N72" s="93">
        <f t="shared" si="5"/>
        <v>12529.222928910167</v>
      </c>
      <c r="O72" s="93">
        <f>SUM(M72:M$75)</f>
        <v>589864.6436051575</v>
      </c>
      <c r="P72" s="93">
        <f>SUM(N72:N$75)</f>
        <v>42556.504731493565</v>
      </c>
      <c r="Q72" s="93">
        <f t="shared" si="6"/>
        <v>331354.24215968919</v>
      </c>
      <c r="R72" s="93">
        <f t="shared" si="7"/>
        <v>547308.13887366396</v>
      </c>
    </row>
    <row r="73" spans="1:18" ht="15.75">
      <c r="A73" s="127"/>
      <c r="B73" s="94">
        <f t="shared" si="8"/>
        <v>8</v>
      </c>
      <c r="C73" s="101">
        <f t="shared" si="9"/>
        <v>1000000</v>
      </c>
      <c r="D73" s="94">
        <f>0</f>
        <v>0</v>
      </c>
      <c r="E73" s="101">
        <f>20000</f>
        <v>20000</v>
      </c>
      <c r="F73" s="94">
        <f t="shared" si="0"/>
        <v>96.137</v>
      </c>
      <c r="G73" s="99">
        <f t="shared" si="10"/>
        <v>1.7500000000000002E-2</v>
      </c>
      <c r="H73" s="92">
        <f t="shared" si="11"/>
        <v>0.63550235129692745</v>
      </c>
      <c r="I73" s="92">
        <f t="shared" si="12"/>
        <v>0.88564377562163166</v>
      </c>
      <c r="J73" s="93">
        <f t="shared" si="1"/>
        <v>61095.289546632717</v>
      </c>
      <c r="K73" s="93">
        <f t="shared" si="2"/>
        <v>0</v>
      </c>
      <c r="L73" s="93">
        <f t="shared" si="3"/>
        <v>12710.047025938549</v>
      </c>
      <c r="M73" s="93">
        <f t="shared" si="4"/>
        <v>53178.047082827128</v>
      </c>
      <c r="N73" s="93">
        <f t="shared" si="5"/>
        <v>11256.574036380707</v>
      </c>
      <c r="O73" s="93">
        <f>SUM(M73:M$75)</f>
        <v>537006.71501091693</v>
      </c>
      <c r="P73" s="93">
        <f>SUM(N73:N$75)</f>
        <v>30027.281802583399</v>
      </c>
      <c r="Q73" s="93">
        <f t="shared" si="6"/>
        <v>354605.34718059393</v>
      </c>
      <c r="R73" s="93">
        <f t="shared" si="7"/>
        <v>506979.43320833356</v>
      </c>
    </row>
    <row r="74" spans="1:18" ht="15.75">
      <c r="A74" s="127"/>
      <c r="B74" s="94">
        <f t="shared" si="8"/>
        <v>9</v>
      </c>
      <c r="C74" s="101">
        <f t="shared" si="9"/>
        <v>1000000</v>
      </c>
      <c r="D74" s="94">
        <f>0</f>
        <v>0</v>
      </c>
      <c r="E74" s="101">
        <f>20000</f>
        <v>20000</v>
      </c>
      <c r="F74" s="94">
        <f t="shared" si="0"/>
        <v>107.468</v>
      </c>
      <c r="G74" s="99">
        <f t="shared" si="10"/>
        <v>1.7500000000000002E-2</v>
      </c>
      <c r="H74" s="92">
        <f t="shared" si="11"/>
        <v>0.57440706175029477</v>
      </c>
      <c r="I74" s="92">
        <f t="shared" si="12"/>
        <v>0.8704115730925126</v>
      </c>
      <c r="J74" s="93">
        <f t="shared" si="1"/>
        <v>61730.378112180682</v>
      </c>
      <c r="K74" s="93">
        <f t="shared" si="2"/>
        <v>0</v>
      </c>
      <c r="L74" s="93">
        <f t="shared" si="3"/>
        <v>11488.141235005894</v>
      </c>
      <c r="M74" s="93">
        <f t="shared" si="4"/>
        <v>52806.717955988985</v>
      </c>
      <c r="N74" s="93">
        <f t="shared" si="5"/>
        <v>9999.4110842704413</v>
      </c>
      <c r="O74" s="93">
        <f>SUM(M74:M$75)</f>
        <v>483828.6679280898</v>
      </c>
      <c r="P74" s="93">
        <f>SUM(N74:N$75)</f>
        <v>18770.707766202693</v>
      </c>
      <c r="Q74" s="93">
        <f t="shared" si="6"/>
        <v>369805.60069847223</v>
      </c>
      <c r="R74" s="93">
        <f t="shared" si="7"/>
        <v>465057.96016188711</v>
      </c>
    </row>
    <row r="75" spans="1:18" ht="15.75">
      <c r="A75" s="127"/>
      <c r="B75" s="94">
        <f t="shared" si="8"/>
        <v>10</v>
      </c>
      <c r="C75" s="101">
        <f t="shared" si="9"/>
        <v>1000000</v>
      </c>
      <c r="D75" s="101">
        <f>C75</f>
        <v>1000000</v>
      </c>
      <c r="E75" s="101">
        <f>20000</f>
        <v>20000</v>
      </c>
      <c r="F75" s="94">
        <f t="shared" si="0"/>
        <v>119.742</v>
      </c>
      <c r="G75" s="99">
        <f t="shared" si="10"/>
        <v>1.7500000000000002E-2</v>
      </c>
      <c r="H75" s="92">
        <f t="shared" si="11"/>
        <v>0.51267668363811414</v>
      </c>
      <c r="I75" s="92">
        <f t="shared" si="12"/>
        <v>0.85544134947667083</v>
      </c>
      <c r="J75" s="93">
        <f t="shared" si="1"/>
        <v>61388.931452195066</v>
      </c>
      <c r="K75" s="93">
        <f t="shared" si="2"/>
        <v>451287.75218591909</v>
      </c>
      <c r="L75" s="93">
        <f t="shared" si="3"/>
        <v>10253.533672762283</v>
      </c>
      <c r="M75" s="93">
        <f t="shared" si="4"/>
        <v>431021.94997210079</v>
      </c>
      <c r="N75" s="93">
        <f t="shared" si="5"/>
        <v>8771.2966819322519</v>
      </c>
      <c r="O75" s="93">
        <f>SUM(M75:M$75)</f>
        <v>431021.94997210079</v>
      </c>
      <c r="P75" s="93">
        <f>SUM(N75:N$75)</f>
        <v>8771.2966819322519</v>
      </c>
      <c r="Q75" s="93">
        <f t="shared" si="6"/>
        <v>377740.52000622323</v>
      </c>
      <c r="R75" s="93">
        <f t="shared" si="7"/>
        <v>422250.65329016856</v>
      </c>
    </row>
    <row r="76" spans="1:18" ht="15.75">
      <c r="A76" s="127"/>
      <c r="B76" s="94"/>
      <c r="C76" s="94"/>
      <c r="D76" s="94"/>
      <c r="E76" s="94"/>
      <c r="F76" s="94"/>
      <c r="G76" s="94"/>
      <c r="L76" s="92" t="s">
        <v>32</v>
      </c>
      <c r="M76" s="93">
        <f>SUM(M66:M75)</f>
        <v>875988.99819400324</v>
      </c>
      <c r="N76" s="93">
        <f>SUM(N66:N75)</f>
        <v>144207.07924297301</v>
      </c>
    </row>
    <row r="77" spans="1:18" ht="15.75">
      <c r="A77" s="127"/>
      <c r="B77" s="94"/>
      <c r="C77" s="94"/>
      <c r="D77" s="94"/>
      <c r="E77" s="94"/>
      <c r="F77" s="94"/>
      <c r="G77" s="94"/>
      <c r="L77" s="92" t="s">
        <v>100</v>
      </c>
      <c r="N77" s="93">
        <f>M76/N76</f>
        <v>6.0745214644979981</v>
      </c>
    </row>
    <row r="78" spans="1:18" ht="15.75">
      <c r="A78" s="127"/>
      <c r="B78" s="94"/>
      <c r="C78" s="94"/>
      <c r="D78" s="94"/>
      <c r="E78" s="94"/>
      <c r="F78" s="94"/>
      <c r="G78" s="94"/>
      <c r="L78" s="92" t="s">
        <v>99</v>
      </c>
      <c r="N78" s="93">
        <f>MIN(1,N77)</f>
        <v>1</v>
      </c>
    </row>
    <row r="79" spans="1:18" ht="15.75">
      <c r="A79" s="127"/>
      <c r="B79" s="94"/>
      <c r="C79" s="94"/>
      <c r="D79" s="94"/>
      <c r="E79" s="94"/>
      <c r="F79" s="94"/>
      <c r="G79" s="94"/>
    </row>
    <row r="80" spans="1:18" ht="15.75">
      <c r="A80" s="126" t="s">
        <v>98</v>
      </c>
      <c r="B80" s="125"/>
      <c r="C80" s="125"/>
      <c r="D80" s="125"/>
      <c r="E80" s="125"/>
      <c r="F80" s="125"/>
      <c r="G80" s="125"/>
    </row>
    <row r="81" spans="1:8" ht="15.75">
      <c r="A81" s="124" t="s">
        <v>97</v>
      </c>
      <c r="B81" s="94"/>
      <c r="C81" s="94"/>
      <c r="D81" s="94"/>
      <c r="E81" s="94"/>
      <c r="F81" s="94"/>
      <c r="G81" s="94"/>
    </row>
    <row r="82" spans="1:8">
      <c r="A82" s="94"/>
      <c r="B82" s="94" t="s">
        <v>96</v>
      </c>
      <c r="C82" s="94"/>
      <c r="D82" s="94"/>
      <c r="E82" s="94"/>
      <c r="F82" s="94"/>
      <c r="G82" s="94"/>
    </row>
    <row r="83" spans="1:8">
      <c r="B83" s="92" t="s">
        <v>95</v>
      </c>
    </row>
    <row r="84" spans="1:8">
      <c r="B84" s="92" t="s">
        <v>94</v>
      </c>
    </row>
    <row r="85" spans="1:8">
      <c r="B85" s="92" t="s">
        <v>93</v>
      </c>
    </row>
    <row r="86" spans="1:8">
      <c r="B86" s="92" t="s">
        <v>92</v>
      </c>
    </row>
    <row r="87" spans="1:8">
      <c r="B87" s="92" t="s">
        <v>91</v>
      </c>
    </row>
    <row r="88" spans="1:8">
      <c r="B88" s="92" t="s">
        <v>90</v>
      </c>
    </row>
    <row r="90" spans="1:8">
      <c r="B90" s="123" t="s">
        <v>89</v>
      </c>
      <c r="C90" s="123"/>
      <c r="D90" s="123"/>
      <c r="E90" s="123"/>
      <c r="F90" s="123"/>
      <c r="G90" s="123"/>
      <c r="H90" s="123"/>
    </row>
    <row r="91" spans="1:8">
      <c r="B91" s="92" t="s">
        <v>88</v>
      </c>
    </row>
    <row r="92" spans="1:8">
      <c r="B92" s="92" t="s">
        <v>87</v>
      </c>
    </row>
    <row r="93" spans="1:8">
      <c r="B93" s="122" t="s">
        <v>86</v>
      </c>
    </row>
    <row r="94" spans="1:8">
      <c r="B94" s="92" t="s">
        <v>85</v>
      </c>
    </row>
    <row r="95" spans="1:8">
      <c r="B95" s="92" t="s">
        <v>84</v>
      </c>
    </row>
    <row r="96" spans="1:8">
      <c r="B96" s="92" t="s">
        <v>83</v>
      </c>
    </row>
    <row r="97" spans="2:16">
      <c r="B97" s="92" t="s">
        <v>82</v>
      </c>
    </row>
    <row r="98" spans="2:16">
      <c r="B98" s="92" t="s">
        <v>81</v>
      </c>
    </row>
    <row r="99" spans="2:16">
      <c r="B99" s="92" t="s">
        <v>80</v>
      </c>
    </row>
    <row r="100" spans="2:16">
      <c r="B100" s="92" t="s">
        <v>79</v>
      </c>
    </row>
    <row r="101" spans="2:16">
      <c r="B101" s="92" t="s">
        <v>78</v>
      </c>
    </row>
    <row r="103" spans="2:16">
      <c r="B103" s="92" t="s">
        <v>77</v>
      </c>
    </row>
    <row r="104" spans="2:16">
      <c r="C104" s="103" t="s">
        <v>60</v>
      </c>
      <c r="D104" s="121" t="s">
        <v>76</v>
      </c>
      <c r="H104" s="103" t="s">
        <v>48</v>
      </c>
      <c r="I104" s="103" t="s">
        <v>48</v>
      </c>
      <c r="J104" s="103" t="s">
        <v>75</v>
      </c>
      <c r="K104" s="103" t="s">
        <v>75</v>
      </c>
      <c r="L104" s="103" t="s">
        <v>74</v>
      </c>
      <c r="P104" s="103" t="s">
        <v>73</v>
      </c>
    </row>
    <row r="105" spans="2:16">
      <c r="B105" s="103"/>
      <c r="C105" s="103" t="s">
        <v>46</v>
      </c>
      <c r="D105" s="103" t="s">
        <v>72</v>
      </c>
      <c r="E105" s="119" t="s">
        <v>55</v>
      </c>
      <c r="F105" s="120"/>
      <c r="G105" s="119" t="s">
        <v>48</v>
      </c>
      <c r="H105" s="119" t="s">
        <v>40</v>
      </c>
      <c r="I105" s="119" t="s">
        <v>40</v>
      </c>
      <c r="J105" s="119" t="s">
        <v>71</v>
      </c>
      <c r="K105" s="119" t="s">
        <v>71</v>
      </c>
      <c r="L105" s="119" t="s">
        <v>70</v>
      </c>
      <c r="O105" s="119" t="s">
        <v>46</v>
      </c>
      <c r="P105" s="119" t="s">
        <v>70</v>
      </c>
    </row>
    <row r="106" spans="2:16">
      <c r="B106" s="103"/>
      <c r="C106" s="103" t="s">
        <v>44</v>
      </c>
      <c r="D106" s="117" t="s">
        <v>50</v>
      </c>
      <c r="E106" s="103" t="s">
        <v>49</v>
      </c>
      <c r="F106" s="103" t="s">
        <v>51</v>
      </c>
      <c r="G106" s="103" t="s">
        <v>40</v>
      </c>
      <c r="H106" s="103" t="s">
        <v>47</v>
      </c>
      <c r="I106" s="103" t="s">
        <v>45</v>
      </c>
      <c r="J106" s="103" t="s">
        <v>45</v>
      </c>
      <c r="K106" s="103" t="s">
        <v>46</v>
      </c>
      <c r="L106" s="103" t="s">
        <v>44</v>
      </c>
      <c r="O106" s="103" t="s">
        <v>44</v>
      </c>
      <c r="P106" s="103" t="s">
        <v>44</v>
      </c>
    </row>
    <row r="107" spans="2:16">
      <c r="B107" s="118" t="s">
        <v>38</v>
      </c>
      <c r="C107" s="117" t="s">
        <v>34</v>
      </c>
      <c r="D107" s="103" t="s">
        <v>69</v>
      </c>
      <c r="E107" s="103" t="s">
        <v>41</v>
      </c>
      <c r="F107" s="116" t="s">
        <v>43</v>
      </c>
      <c r="G107" s="116" t="s">
        <v>36</v>
      </c>
      <c r="H107" s="115" t="s">
        <v>39</v>
      </c>
      <c r="I107" s="103" t="s">
        <v>36</v>
      </c>
      <c r="J107" s="103" t="s">
        <v>36</v>
      </c>
      <c r="K107" s="103" t="s">
        <v>37</v>
      </c>
      <c r="L107" s="103" t="s">
        <v>33</v>
      </c>
      <c r="M107" s="103" t="s">
        <v>68</v>
      </c>
      <c r="N107" s="103" t="s">
        <v>39</v>
      </c>
      <c r="O107" s="103" t="s">
        <v>67</v>
      </c>
      <c r="P107" s="103" t="s">
        <v>33</v>
      </c>
    </row>
    <row r="108" spans="2:16">
      <c r="B108" s="112">
        <v>1</v>
      </c>
      <c r="C108" s="113">
        <f>0</f>
        <v>0</v>
      </c>
      <c r="D108" s="110">
        <f t="shared" ref="D108:D117" si="13">D26</f>
        <v>42.817999999999998</v>
      </c>
      <c r="E108" s="109">
        <f t="shared" ref="E108:E117" si="14">B$13</f>
        <v>4.4999999999999998E-2</v>
      </c>
      <c r="F108" s="106">
        <f t="shared" ref="F108:F117" si="15">B$8</f>
        <v>1000000</v>
      </c>
      <c r="G108" s="108">
        <f>1</f>
        <v>1</v>
      </c>
      <c r="H108" s="114">
        <f>1</f>
        <v>1</v>
      </c>
      <c r="I108" s="105">
        <f t="shared" ref="I108:I117" si="16">F108*G108</f>
        <v>1000000</v>
      </c>
      <c r="J108" s="105">
        <f t="shared" ref="J108:J117" si="17">F108*G108*H108</f>
        <v>1000000</v>
      </c>
      <c r="K108" s="93">
        <f t="shared" ref="K108:K117" si="18">C108*H108/(1+E108)</f>
        <v>0</v>
      </c>
      <c r="L108" s="93">
        <f>0</f>
        <v>0</v>
      </c>
      <c r="M108" s="93">
        <f t="shared" ref="M108:M117" si="19">K$119*I108</f>
        <v>59.108018380409732</v>
      </c>
      <c r="N108" s="93">
        <f t="shared" ref="N108:N117" si="20">E108*(L108+M108)</f>
        <v>2.6598608271184379</v>
      </c>
      <c r="O108" s="93">
        <f t="shared" ref="O108:O117" si="21">C108</f>
        <v>0</v>
      </c>
      <c r="P108" s="93">
        <f t="shared" ref="P108:P117" si="22">L108+M108+N108-O108</f>
        <v>61.767879207528168</v>
      </c>
    </row>
    <row r="109" spans="2:16">
      <c r="B109" s="112">
        <f t="shared" ref="B109:B117" si="23">B108+1</f>
        <v>2</v>
      </c>
      <c r="C109" s="113">
        <f>0</f>
        <v>0</v>
      </c>
      <c r="D109" s="110">
        <f t="shared" si="13"/>
        <v>48.328000000000003</v>
      </c>
      <c r="E109" s="109">
        <f t="shared" si="14"/>
        <v>4.4999999999999998E-2</v>
      </c>
      <c r="F109" s="106">
        <f t="shared" si="15"/>
        <v>1000000</v>
      </c>
      <c r="G109" s="108">
        <f t="shared" ref="G109:G117" si="24">G108*(1-D108/1000)</f>
        <v>0.95718199999999998</v>
      </c>
      <c r="H109" s="107">
        <f t="shared" ref="H109:H117" si="25">H108/(1+E108)</f>
        <v>0.95693779904306231</v>
      </c>
      <c r="I109" s="105">
        <f t="shared" si="16"/>
        <v>957182</v>
      </c>
      <c r="J109" s="105">
        <f t="shared" si="17"/>
        <v>915963.63636363647</v>
      </c>
      <c r="K109" s="93">
        <f t="shared" si="18"/>
        <v>0</v>
      </c>
      <c r="L109" s="93">
        <f t="shared" ref="L109:L117" si="26">P108</f>
        <v>61.767879207528168</v>
      </c>
      <c r="M109" s="93">
        <f t="shared" si="19"/>
        <v>56.577131249397347</v>
      </c>
      <c r="N109" s="93">
        <f t="shared" si="20"/>
        <v>5.3255254705616473</v>
      </c>
      <c r="O109" s="93">
        <f t="shared" si="21"/>
        <v>0</v>
      </c>
      <c r="P109" s="93">
        <f t="shared" si="22"/>
        <v>123.67053592748715</v>
      </c>
    </row>
    <row r="110" spans="2:16">
      <c r="B110" s="112">
        <f t="shared" si="23"/>
        <v>3</v>
      </c>
      <c r="C110" s="113">
        <f>0</f>
        <v>0</v>
      </c>
      <c r="D110" s="110">
        <f t="shared" si="13"/>
        <v>54.655000000000001</v>
      </c>
      <c r="E110" s="109">
        <f t="shared" si="14"/>
        <v>4.4999999999999998E-2</v>
      </c>
      <c r="F110" s="106">
        <f t="shared" si="15"/>
        <v>1000000</v>
      </c>
      <c r="G110" s="108">
        <f t="shared" si="24"/>
        <v>0.91092330830399992</v>
      </c>
      <c r="H110" s="107">
        <f t="shared" si="25"/>
        <v>0.91572995123738021</v>
      </c>
      <c r="I110" s="105">
        <f t="shared" si="16"/>
        <v>910923.30830399995</v>
      </c>
      <c r="J110" s="105">
        <f t="shared" si="17"/>
        <v>834159.75669421488</v>
      </c>
      <c r="K110" s="93">
        <f t="shared" si="18"/>
        <v>0</v>
      </c>
      <c r="L110" s="93">
        <f t="shared" si="26"/>
        <v>123.67053592748715</v>
      </c>
      <c r="M110" s="93">
        <f t="shared" si="19"/>
        <v>53.842871650376473</v>
      </c>
      <c r="N110" s="93">
        <f t="shared" si="20"/>
        <v>7.9881033410038631</v>
      </c>
      <c r="O110" s="93">
        <f t="shared" si="21"/>
        <v>0</v>
      </c>
      <c r="P110" s="102">
        <f t="shared" si="22"/>
        <v>185.5015109188675</v>
      </c>
    </row>
    <row r="111" spans="2:16">
      <c r="B111" s="112">
        <f t="shared" si="23"/>
        <v>4</v>
      </c>
      <c r="C111" s="113">
        <f>0</f>
        <v>0</v>
      </c>
      <c r="D111" s="110">
        <f t="shared" si="13"/>
        <v>61.323999999999998</v>
      </c>
      <c r="E111" s="109">
        <f t="shared" si="14"/>
        <v>4.4999999999999998E-2</v>
      </c>
      <c r="F111" s="106">
        <f t="shared" si="15"/>
        <v>1000000</v>
      </c>
      <c r="G111" s="108">
        <f t="shared" si="24"/>
        <v>0.86113679488864481</v>
      </c>
      <c r="H111" s="107">
        <f t="shared" si="25"/>
        <v>0.87629660405490939</v>
      </c>
      <c r="I111" s="105">
        <f t="shared" si="16"/>
        <v>861136.79488864483</v>
      </c>
      <c r="J111" s="105">
        <f t="shared" si="17"/>
        <v>754611.24898764852</v>
      </c>
      <c r="K111" s="93">
        <f t="shared" si="18"/>
        <v>0</v>
      </c>
      <c r="L111" s="93">
        <f t="shared" si="26"/>
        <v>185.5015109188675</v>
      </c>
      <c r="M111" s="93">
        <f t="shared" si="19"/>
        <v>50.900089500325144</v>
      </c>
      <c r="N111" s="93">
        <f t="shared" si="20"/>
        <v>10.638072018863669</v>
      </c>
      <c r="O111" s="93">
        <f t="shared" si="21"/>
        <v>0</v>
      </c>
      <c r="P111" s="93">
        <f t="shared" si="22"/>
        <v>247.03967243805633</v>
      </c>
    </row>
    <row r="112" spans="2:16">
      <c r="B112" s="112">
        <f t="shared" si="23"/>
        <v>5</v>
      </c>
      <c r="C112" s="113">
        <f>0</f>
        <v>0</v>
      </c>
      <c r="D112" s="110">
        <f t="shared" si="13"/>
        <v>68.563999999999993</v>
      </c>
      <c r="E112" s="109">
        <f t="shared" si="14"/>
        <v>4.4999999999999998E-2</v>
      </c>
      <c r="F112" s="106">
        <f t="shared" si="15"/>
        <v>1000000</v>
      </c>
      <c r="G112" s="108">
        <f t="shared" si="24"/>
        <v>0.80832844207889354</v>
      </c>
      <c r="H112" s="107">
        <f t="shared" si="25"/>
        <v>0.83856134359321477</v>
      </c>
      <c r="I112" s="105">
        <f t="shared" si="16"/>
        <v>808328.44207889354</v>
      </c>
      <c r="J112" s="105">
        <f t="shared" si="17"/>
        <v>677832.9844542871</v>
      </c>
      <c r="K112" s="93">
        <f t="shared" si="18"/>
        <v>0</v>
      </c>
      <c r="L112" s="93">
        <f t="shared" si="26"/>
        <v>247.03967243805633</v>
      </c>
      <c r="M112" s="93">
        <f t="shared" si="19"/>
        <v>47.778692411807206</v>
      </c>
      <c r="N112" s="93">
        <f t="shared" si="20"/>
        <v>13.266826418243859</v>
      </c>
      <c r="O112" s="93">
        <f t="shared" si="21"/>
        <v>0</v>
      </c>
      <c r="P112" s="93">
        <f t="shared" si="22"/>
        <v>308.08519126810739</v>
      </c>
    </row>
    <row r="113" spans="2:18">
      <c r="B113" s="112">
        <f t="shared" si="23"/>
        <v>6</v>
      </c>
      <c r="C113" s="113">
        <f>0</f>
        <v>0</v>
      </c>
      <c r="D113" s="110">
        <f t="shared" si="13"/>
        <v>76.664000000000001</v>
      </c>
      <c r="E113" s="109">
        <f t="shared" si="14"/>
        <v>4.4999999999999998E-2</v>
      </c>
      <c r="F113" s="106">
        <f t="shared" si="15"/>
        <v>1000000</v>
      </c>
      <c r="G113" s="108">
        <f t="shared" si="24"/>
        <v>0.75290621077619635</v>
      </c>
      <c r="H113" s="107">
        <f t="shared" si="25"/>
        <v>0.802451046500684</v>
      </c>
      <c r="I113" s="105">
        <f t="shared" si="16"/>
        <v>752906.21077619633</v>
      </c>
      <c r="J113" s="105">
        <f t="shared" si="17"/>
        <v>604170.37675422325</v>
      </c>
      <c r="K113" s="93">
        <f t="shared" si="18"/>
        <v>0</v>
      </c>
      <c r="L113" s="93">
        <f t="shared" si="26"/>
        <v>308.08519126810739</v>
      </c>
      <c r="M113" s="93">
        <f t="shared" si="19"/>
        <v>44.502794145284057</v>
      </c>
      <c r="N113" s="93">
        <f t="shared" si="20"/>
        <v>15.866459343602614</v>
      </c>
      <c r="O113" s="93">
        <f t="shared" si="21"/>
        <v>0</v>
      </c>
      <c r="P113" s="93">
        <f t="shared" si="22"/>
        <v>368.45444475699406</v>
      </c>
    </row>
    <row r="114" spans="2:18">
      <c r="B114" s="112">
        <f t="shared" si="23"/>
        <v>7</v>
      </c>
      <c r="C114" s="113">
        <f>0</f>
        <v>0</v>
      </c>
      <c r="D114" s="110">
        <f t="shared" si="13"/>
        <v>85.852000000000004</v>
      </c>
      <c r="E114" s="109">
        <f t="shared" si="14"/>
        <v>4.4999999999999998E-2</v>
      </c>
      <c r="F114" s="106">
        <f t="shared" si="15"/>
        <v>1000000</v>
      </c>
      <c r="G114" s="108">
        <f t="shared" si="24"/>
        <v>0.6951854090332501</v>
      </c>
      <c r="H114" s="107">
        <f t="shared" si="25"/>
        <v>0.7678957382781666</v>
      </c>
      <c r="I114" s="105">
        <f t="shared" si="16"/>
        <v>695185.40903325006</v>
      </c>
      <c r="J114" s="105">
        <f t="shared" si="17"/>
        <v>533829.91290979681</v>
      </c>
      <c r="K114" s="93">
        <f t="shared" si="18"/>
        <v>0</v>
      </c>
      <c r="L114" s="93">
        <f t="shared" si="26"/>
        <v>368.45444475699406</v>
      </c>
      <c r="M114" s="93">
        <f t="shared" si="19"/>
        <v>41.091031934930001</v>
      </c>
      <c r="N114" s="93">
        <f t="shared" si="20"/>
        <v>18.429546451136584</v>
      </c>
      <c r="O114" s="93">
        <f t="shared" si="21"/>
        <v>0</v>
      </c>
      <c r="P114" s="93">
        <f t="shared" si="22"/>
        <v>427.97502314306064</v>
      </c>
    </row>
    <row r="115" spans="2:18">
      <c r="B115" s="112">
        <f t="shared" si="23"/>
        <v>8</v>
      </c>
      <c r="C115" s="113">
        <f>0</f>
        <v>0</v>
      </c>
      <c r="D115" s="110">
        <f t="shared" si="13"/>
        <v>96.137</v>
      </c>
      <c r="E115" s="109">
        <f t="shared" si="14"/>
        <v>4.4999999999999998E-2</v>
      </c>
      <c r="F115" s="106">
        <f t="shared" si="15"/>
        <v>1000000</v>
      </c>
      <c r="G115" s="108">
        <f t="shared" si="24"/>
        <v>0.63550235129692745</v>
      </c>
      <c r="H115" s="107">
        <f t="shared" si="25"/>
        <v>0.73482845768245608</v>
      </c>
      <c r="I115" s="105">
        <f t="shared" si="16"/>
        <v>635502.35129692743</v>
      </c>
      <c r="J115" s="105">
        <f t="shared" si="17"/>
        <v>466985.21265709557</v>
      </c>
      <c r="K115" s="93">
        <f t="shared" si="18"/>
        <v>0</v>
      </c>
      <c r="L115" s="93">
        <f t="shared" si="26"/>
        <v>427.97502314306064</v>
      </c>
      <c r="M115" s="93">
        <f t="shared" si="19"/>
        <v>37.563284661252389</v>
      </c>
      <c r="N115" s="93">
        <f t="shared" si="20"/>
        <v>20.949223851194088</v>
      </c>
      <c r="O115" s="93">
        <f t="shared" si="21"/>
        <v>0</v>
      </c>
      <c r="P115" s="93">
        <f t="shared" si="22"/>
        <v>486.4875316555071</v>
      </c>
    </row>
    <row r="116" spans="2:18">
      <c r="B116" s="112">
        <f t="shared" si="23"/>
        <v>9</v>
      </c>
      <c r="C116" s="113">
        <f>0</f>
        <v>0</v>
      </c>
      <c r="D116" s="110">
        <f t="shared" si="13"/>
        <v>107.468</v>
      </c>
      <c r="E116" s="109">
        <f t="shared" si="14"/>
        <v>4.4999999999999998E-2</v>
      </c>
      <c r="F116" s="106">
        <f t="shared" si="15"/>
        <v>1000000</v>
      </c>
      <c r="G116" s="108">
        <f t="shared" si="24"/>
        <v>0.57440706175029477</v>
      </c>
      <c r="H116" s="107">
        <f t="shared" si="25"/>
        <v>0.70318512696885749</v>
      </c>
      <c r="I116" s="105">
        <f t="shared" si="16"/>
        <v>574407.06175029476</v>
      </c>
      <c r="J116" s="105">
        <f t="shared" si="17"/>
        <v>403914.50264868938</v>
      </c>
      <c r="K116" s="93">
        <f t="shared" si="18"/>
        <v>0</v>
      </c>
      <c r="L116" s="93">
        <f t="shared" si="26"/>
        <v>486.4875316555071</v>
      </c>
      <c r="M116" s="93">
        <f t="shared" si="19"/>
        <v>33.952063163773573</v>
      </c>
      <c r="N116" s="93">
        <f t="shared" si="20"/>
        <v>23.419781766867633</v>
      </c>
      <c r="O116" s="93">
        <f t="shared" si="21"/>
        <v>0</v>
      </c>
      <c r="P116" s="93">
        <f t="shared" si="22"/>
        <v>543.85937658614841</v>
      </c>
    </row>
    <row r="117" spans="2:18">
      <c r="B117" s="112">
        <f t="shared" si="23"/>
        <v>10</v>
      </c>
      <c r="C117" s="111">
        <v>600</v>
      </c>
      <c r="D117" s="110">
        <f t="shared" si="13"/>
        <v>119.742</v>
      </c>
      <c r="E117" s="109">
        <f t="shared" si="14"/>
        <v>4.4999999999999998E-2</v>
      </c>
      <c r="F117" s="106">
        <f t="shared" si="15"/>
        <v>1000000</v>
      </c>
      <c r="G117" s="108">
        <f t="shared" si="24"/>
        <v>0.51267668363811414</v>
      </c>
      <c r="H117" s="107">
        <f t="shared" si="25"/>
        <v>0.6729044277213948</v>
      </c>
      <c r="I117" s="105">
        <f t="shared" si="16"/>
        <v>512676.68363811413</v>
      </c>
      <c r="J117" s="105">
        <f t="shared" si="17"/>
        <v>344982.41040960775</v>
      </c>
      <c r="K117" s="93">
        <f t="shared" si="18"/>
        <v>386.35660921802577</v>
      </c>
      <c r="L117" s="93">
        <f t="shared" si="26"/>
        <v>543.85937658614841</v>
      </c>
      <c r="M117" s="93">
        <f t="shared" si="19"/>
        <v>30.303302839689156</v>
      </c>
      <c r="N117" s="93">
        <f t="shared" si="20"/>
        <v>25.837320574162693</v>
      </c>
      <c r="O117" s="93">
        <f t="shared" si="21"/>
        <v>600</v>
      </c>
      <c r="P117" s="93">
        <f t="shared" si="22"/>
        <v>0</v>
      </c>
    </row>
    <row r="118" spans="2:18">
      <c r="C118" s="96"/>
      <c r="D118" s="106"/>
      <c r="I118" s="96" t="s">
        <v>32</v>
      </c>
      <c r="J118" s="105">
        <f>SUM(J108:J117)</f>
        <v>6536450.0418792004</v>
      </c>
      <c r="K118" s="105">
        <f>SUM(K108:K117)</f>
        <v>386.35660921802577</v>
      </c>
    </row>
    <row r="119" spans="2:18">
      <c r="C119" s="96"/>
      <c r="D119" s="104"/>
      <c r="J119" s="92" t="s">
        <v>66</v>
      </c>
      <c r="K119" s="95">
        <f>K118/J118</f>
        <v>5.9108018380409733E-5</v>
      </c>
    </row>
    <row r="121" spans="2:18">
      <c r="B121" s="92" t="s">
        <v>65</v>
      </c>
    </row>
    <row r="122" spans="2:18">
      <c r="B122" s="92" t="s">
        <v>64</v>
      </c>
    </row>
    <row r="123" spans="2:18">
      <c r="B123" s="92" t="s">
        <v>63</v>
      </c>
    </row>
    <row r="125" spans="2:18">
      <c r="B125" s="92" t="s">
        <v>62</v>
      </c>
    </row>
    <row r="127" spans="2:18">
      <c r="B127" s="94" t="s">
        <v>61</v>
      </c>
      <c r="C127" s="94"/>
      <c r="D127" s="94"/>
      <c r="E127" s="94"/>
      <c r="F127" s="94"/>
      <c r="G127" s="94"/>
      <c r="Q127" s="103"/>
      <c r="R127" s="103"/>
    </row>
    <row r="128" spans="2:18">
      <c r="C128" s="103" t="s">
        <v>60</v>
      </c>
      <c r="F128" s="103"/>
      <c r="G128" s="103" t="s">
        <v>59</v>
      </c>
      <c r="H128" s="103"/>
      <c r="I128" s="103" t="s">
        <v>58</v>
      </c>
      <c r="J128" s="92" t="s">
        <v>57</v>
      </c>
      <c r="L128" s="103" t="s">
        <v>57</v>
      </c>
      <c r="M128" s="103" t="s">
        <v>57</v>
      </c>
      <c r="P128" s="103"/>
      <c r="Q128" s="103"/>
      <c r="R128" s="103"/>
    </row>
    <row r="129" spans="2:18">
      <c r="C129" s="92" t="s">
        <v>46</v>
      </c>
      <c r="E129" s="103" t="s">
        <v>56</v>
      </c>
      <c r="F129" s="103" t="s">
        <v>55</v>
      </c>
      <c r="G129" s="103" t="s">
        <v>36</v>
      </c>
      <c r="H129" s="103"/>
      <c r="I129" s="103" t="s">
        <v>46</v>
      </c>
      <c r="J129" s="103" t="s">
        <v>54</v>
      </c>
      <c r="L129" s="103" t="s">
        <v>53</v>
      </c>
      <c r="M129" s="103" t="s">
        <v>52</v>
      </c>
      <c r="N129" s="103" t="s">
        <v>46</v>
      </c>
      <c r="O129" s="103" t="s">
        <v>46</v>
      </c>
      <c r="P129" s="103" t="s">
        <v>46</v>
      </c>
      <c r="Q129" s="103"/>
      <c r="R129" s="103"/>
    </row>
    <row r="130" spans="2:18">
      <c r="B130" s="103"/>
      <c r="C130" s="103" t="s">
        <v>44</v>
      </c>
      <c r="D130" s="103" t="s">
        <v>51</v>
      </c>
      <c r="E130" s="103" t="s">
        <v>50</v>
      </c>
      <c r="F130" s="103" t="s">
        <v>49</v>
      </c>
      <c r="G130" s="103" t="s">
        <v>48</v>
      </c>
      <c r="H130" s="103" t="s">
        <v>47</v>
      </c>
      <c r="I130" s="103" t="s">
        <v>44</v>
      </c>
      <c r="J130" s="103" t="s">
        <v>45</v>
      </c>
      <c r="L130" s="103" t="s">
        <v>46</v>
      </c>
      <c r="M130" s="103" t="s">
        <v>45</v>
      </c>
      <c r="N130" s="103" t="s">
        <v>44</v>
      </c>
      <c r="O130" s="103" t="s">
        <v>44</v>
      </c>
      <c r="P130" s="103" t="s">
        <v>44</v>
      </c>
      <c r="Q130" s="103"/>
      <c r="R130" s="103"/>
    </row>
    <row r="131" spans="2:18">
      <c r="B131" s="103" t="s">
        <v>38</v>
      </c>
      <c r="C131" s="103" t="s">
        <v>34</v>
      </c>
      <c r="D131" s="103" t="s">
        <v>43</v>
      </c>
      <c r="E131" s="103" t="s">
        <v>42</v>
      </c>
      <c r="F131" s="103" t="s">
        <v>41</v>
      </c>
      <c r="G131" s="103" t="s">
        <v>40</v>
      </c>
      <c r="H131" s="103" t="s">
        <v>39</v>
      </c>
      <c r="I131" s="103" t="s">
        <v>34</v>
      </c>
      <c r="J131" s="103" t="s">
        <v>36</v>
      </c>
      <c r="K131" s="103" t="s">
        <v>38</v>
      </c>
      <c r="L131" s="103" t="s">
        <v>37</v>
      </c>
      <c r="M131" s="103" t="s">
        <v>36</v>
      </c>
      <c r="N131" s="103" t="s">
        <v>35</v>
      </c>
      <c r="O131" s="103" t="s">
        <v>34</v>
      </c>
      <c r="P131" s="103" t="s">
        <v>33</v>
      </c>
      <c r="Q131" s="103"/>
      <c r="R131" s="103"/>
    </row>
    <row r="132" spans="2:18">
      <c r="B132" s="94">
        <f>1</f>
        <v>1</v>
      </c>
      <c r="C132" s="101">
        <f>B77</f>
        <v>0</v>
      </c>
      <c r="D132" s="101">
        <f t="shared" ref="D132:D141" si="27">B$8</f>
        <v>1000000</v>
      </c>
      <c r="E132" s="100">
        <f t="shared" ref="E132:E141" si="28">D26</f>
        <v>42.817999999999998</v>
      </c>
      <c r="F132" s="99">
        <f>B13</f>
        <v>4.4999999999999998E-2</v>
      </c>
      <c r="G132" s="98">
        <f>1</f>
        <v>1</v>
      </c>
      <c r="H132" s="92">
        <f>1</f>
        <v>1</v>
      </c>
      <c r="I132" s="97">
        <f t="shared" ref="I132:I141" si="29">C132*H132/(1+F132)</f>
        <v>0</v>
      </c>
      <c r="J132" s="93">
        <f t="shared" ref="J132:J141" si="30">D132*G132*H132</f>
        <v>1000000</v>
      </c>
      <c r="K132" s="92">
        <f>0</f>
        <v>0</v>
      </c>
      <c r="L132" s="93">
        <f>SUM(I132:I$141)</f>
        <v>386.35660921802577</v>
      </c>
      <c r="M132" s="93">
        <f>SUM(J132:J$141)/H132</f>
        <v>6536450.0418792004</v>
      </c>
      <c r="N132" s="93">
        <f t="shared" ref="N132:N142" si="31">L132-M132*J$143</f>
        <v>0</v>
      </c>
      <c r="O132" s="93">
        <f>0</f>
        <v>0</v>
      </c>
      <c r="P132" s="93">
        <f t="shared" ref="P132:P142" si="32">N132-O132</f>
        <v>0</v>
      </c>
      <c r="Q132" s="93"/>
      <c r="R132" s="93"/>
    </row>
    <row r="133" spans="2:18">
      <c r="B133" s="94">
        <f t="shared" ref="B133:B141" si="33">B132+1</f>
        <v>2</v>
      </c>
      <c r="C133" s="101">
        <f t="shared" ref="C133:C140" si="34">C132</f>
        <v>0</v>
      </c>
      <c r="D133" s="101">
        <f t="shared" si="27"/>
        <v>1000000</v>
      </c>
      <c r="E133" s="100">
        <f t="shared" si="28"/>
        <v>48.328000000000003</v>
      </c>
      <c r="F133" s="99">
        <f t="shared" ref="F133:F141" si="35">F132</f>
        <v>4.4999999999999998E-2</v>
      </c>
      <c r="G133" s="98">
        <f t="shared" ref="G133:G141" si="36">G132*(1-E132/1000)</f>
        <v>0.95718199999999998</v>
      </c>
      <c r="H133" s="92">
        <f t="shared" ref="H133:H141" si="37">H132/(1+F132)</f>
        <v>0.95693779904306231</v>
      </c>
      <c r="I133" s="97">
        <f t="shared" si="29"/>
        <v>0</v>
      </c>
      <c r="J133" s="93">
        <f t="shared" si="30"/>
        <v>915963.63636363647</v>
      </c>
      <c r="K133" s="92">
        <f t="shared" ref="K133:K142" si="38">K132+1</f>
        <v>1</v>
      </c>
      <c r="L133" s="93">
        <f t="shared" ref="L133:L142" si="39">L132*(1+F132)</f>
        <v>403.74265663283688</v>
      </c>
      <c r="M133" s="93">
        <f>SUM(J133:J$141)/H133</f>
        <v>5785590.2937637642</v>
      </c>
      <c r="N133" s="93">
        <f t="shared" si="31"/>
        <v>61.767879207528154</v>
      </c>
      <c r="O133" s="93">
        <f t="shared" ref="O133:O142" si="40">C132</f>
        <v>0</v>
      </c>
      <c r="P133" s="93">
        <f t="shared" si="32"/>
        <v>61.767879207528154</v>
      </c>
      <c r="Q133" s="93"/>
      <c r="R133" s="93"/>
    </row>
    <row r="134" spans="2:18">
      <c r="B134" s="94">
        <f t="shared" si="33"/>
        <v>3</v>
      </c>
      <c r="C134" s="101">
        <f t="shared" si="34"/>
        <v>0</v>
      </c>
      <c r="D134" s="101">
        <f t="shared" si="27"/>
        <v>1000000</v>
      </c>
      <c r="E134" s="100">
        <f t="shared" si="28"/>
        <v>54.655000000000001</v>
      </c>
      <c r="F134" s="99">
        <f t="shared" si="35"/>
        <v>4.4999999999999998E-2</v>
      </c>
      <c r="G134" s="98">
        <f t="shared" si="36"/>
        <v>0.91092330830399992</v>
      </c>
      <c r="H134" s="92">
        <f t="shared" si="37"/>
        <v>0.91572995123738021</v>
      </c>
      <c r="I134" s="97">
        <f t="shared" si="29"/>
        <v>0</v>
      </c>
      <c r="J134" s="93">
        <f t="shared" si="30"/>
        <v>834159.75669421488</v>
      </c>
      <c r="K134" s="92">
        <f t="shared" si="38"/>
        <v>2</v>
      </c>
      <c r="L134" s="93">
        <f t="shared" si="39"/>
        <v>421.91107618131451</v>
      </c>
      <c r="M134" s="93">
        <f>SUM(J134:J$141)/H134</f>
        <v>5045686.6669831332</v>
      </c>
      <c r="N134" s="93">
        <f t="shared" si="31"/>
        <v>123.67053592748715</v>
      </c>
      <c r="O134" s="93">
        <f t="shared" si="40"/>
        <v>0</v>
      </c>
      <c r="P134" s="93">
        <f t="shared" si="32"/>
        <v>123.67053592748715</v>
      </c>
      <c r="Q134" s="93"/>
      <c r="R134" s="93"/>
    </row>
    <row r="135" spans="2:18">
      <c r="B135" s="94">
        <f t="shared" si="33"/>
        <v>4</v>
      </c>
      <c r="C135" s="101">
        <f t="shared" si="34"/>
        <v>0</v>
      </c>
      <c r="D135" s="101">
        <f t="shared" si="27"/>
        <v>1000000</v>
      </c>
      <c r="E135" s="100">
        <f t="shared" si="28"/>
        <v>61.323999999999998</v>
      </c>
      <c r="F135" s="99">
        <f t="shared" si="35"/>
        <v>4.4999999999999998E-2</v>
      </c>
      <c r="G135" s="98">
        <f t="shared" si="36"/>
        <v>0.86113679488864481</v>
      </c>
      <c r="H135" s="92">
        <f t="shared" si="37"/>
        <v>0.87629660405490939</v>
      </c>
      <c r="I135" s="97">
        <f t="shared" si="29"/>
        <v>0</v>
      </c>
      <c r="J135" s="93">
        <f t="shared" si="30"/>
        <v>754611.24898764852</v>
      </c>
      <c r="K135" s="92">
        <f t="shared" si="38"/>
        <v>3</v>
      </c>
      <c r="L135" s="93">
        <f t="shared" si="39"/>
        <v>440.89707460947363</v>
      </c>
      <c r="M135" s="93">
        <f>SUM(J135:J$141)/H135</f>
        <v>4320827.7098196931</v>
      </c>
      <c r="N135" s="93">
        <f t="shared" si="31"/>
        <v>185.50151091886752</v>
      </c>
      <c r="O135" s="93">
        <f t="shared" si="40"/>
        <v>0</v>
      </c>
      <c r="P135" s="102">
        <f t="shared" si="32"/>
        <v>185.50151091886752</v>
      </c>
      <c r="Q135" s="93"/>
      <c r="R135" s="93"/>
    </row>
    <row r="136" spans="2:18">
      <c r="B136" s="94">
        <f t="shared" si="33"/>
        <v>5</v>
      </c>
      <c r="C136" s="101">
        <f t="shared" si="34"/>
        <v>0</v>
      </c>
      <c r="D136" s="101">
        <f t="shared" si="27"/>
        <v>1000000</v>
      </c>
      <c r="E136" s="100">
        <f t="shared" si="28"/>
        <v>68.563999999999993</v>
      </c>
      <c r="F136" s="99">
        <f t="shared" si="35"/>
        <v>4.4999999999999998E-2</v>
      </c>
      <c r="G136" s="98">
        <f t="shared" si="36"/>
        <v>0.80832844207889354</v>
      </c>
      <c r="H136" s="92">
        <f t="shared" si="37"/>
        <v>0.83856134359321477</v>
      </c>
      <c r="I136" s="97">
        <f t="shared" si="29"/>
        <v>0</v>
      </c>
      <c r="J136" s="93">
        <f t="shared" si="30"/>
        <v>677832.9844542871</v>
      </c>
      <c r="K136" s="92">
        <f t="shared" si="38"/>
        <v>4</v>
      </c>
      <c r="L136" s="93">
        <f t="shared" si="39"/>
        <v>460.73744296689989</v>
      </c>
      <c r="M136" s="93">
        <f>SUM(J136:J$141)/H136</f>
        <v>3615377.0061029447</v>
      </c>
      <c r="N136" s="93">
        <f t="shared" si="31"/>
        <v>247.03967243805633</v>
      </c>
      <c r="O136" s="93">
        <f t="shared" si="40"/>
        <v>0</v>
      </c>
      <c r="P136" s="93">
        <f t="shared" si="32"/>
        <v>247.03967243805633</v>
      </c>
      <c r="Q136" s="93"/>
      <c r="R136" s="93"/>
    </row>
    <row r="137" spans="2:18">
      <c r="B137" s="94">
        <f t="shared" si="33"/>
        <v>6</v>
      </c>
      <c r="C137" s="101">
        <f t="shared" si="34"/>
        <v>0</v>
      </c>
      <c r="D137" s="101">
        <f t="shared" si="27"/>
        <v>1000000</v>
      </c>
      <c r="E137" s="100">
        <f t="shared" si="28"/>
        <v>76.664000000000001</v>
      </c>
      <c r="F137" s="99">
        <f t="shared" si="35"/>
        <v>4.4999999999999998E-2</v>
      </c>
      <c r="G137" s="98">
        <f t="shared" si="36"/>
        <v>0.75290621077619635</v>
      </c>
      <c r="H137" s="92">
        <f t="shared" si="37"/>
        <v>0.802451046500684</v>
      </c>
      <c r="I137" s="97">
        <f t="shared" si="29"/>
        <v>0</v>
      </c>
      <c r="J137" s="93">
        <f t="shared" si="30"/>
        <v>604170.37675422325</v>
      </c>
      <c r="K137" s="92">
        <f t="shared" si="38"/>
        <v>5</v>
      </c>
      <c r="L137" s="93">
        <f t="shared" si="39"/>
        <v>481.47062790041036</v>
      </c>
      <c r="M137" s="93">
        <f>SUM(J137:J$141)/H137</f>
        <v>2933365.749405134</v>
      </c>
      <c r="N137" s="93">
        <f t="shared" si="31"/>
        <v>308.08519126810734</v>
      </c>
      <c r="O137" s="93">
        <f t="shared" si="40"/>
        <v>0</v>
      </c>
      <c r="P137" s="93">
        <f t="shared" si="32"/>
        <v>308.08519126810734</v>
      </c>
      <c r="Q137" s="93"/>
      <c r="R137" s="93"/>
    </row>
    <row r="138" spans="2:18">
      <c r="B138" s="94">
        <f t="shared" si="33"/>
        <v>7</v>
      </c>
      <c r="C138" s="101">
        <f t="shared" si="34"/>
        <v>0</v>
      </c>
      <c r="D138" s="101">
        <f t="shared" si="27"/>
        <v>1000000</v>
      </c>
      <c r="E138" s="100">
        <f t="shared" si="28"/>
        <v>85.852000000000004</v>
      </c>
      <c r="F138" s="99">
        <f t="shared" si="35"/>
        <v>4.4999999999999998E-2</v>
      </c>
      <c r="G138" s="98">
        <f t="shared" si="36"/>
        <v>0.6951854090332501</v>
      </c>
      <c r="H138" s="92">
        <f t="shared" si="37"/>
        <v>0.7678957382781666</v>
      </c>
      <c r="I138" s="97">
        <f t="shared" si="29"/>
        <v>0</v>
      </c>
      <c r="J138" s="93">
        <f t="shared" si="30"/>
        <v>533829.91290979681</v>
      </c>
      <c r="K138" s="92">
        <f t="shared" si="38"/>
        <v>6</v>
      </c>
      <c r="L138" s="93">
        <f t="shared" si="39"/>
        <v>503.13680615592881</v>
      </c>
      <c r="M138" s="93">
        <f>SUM(J138:J$141)/H138</f>
        <v>2278580.2178672394</v>
      </c>
      <c r="N138" s="93">
        <f t="shared" si="31"/>
        <v>368.45444475699401</v>
      </c>
      <c r="O138" s="93">
        <f t="shared" si="40"/>
        <v>0</v>
      </c>
      <c r="P138" s="93">
        <f t="shared" si="32"/>
        <v>368.45444475699401</v>
      </c>
      <c r="Q138" s="93"/>
      <c r="R138" s="93"/>
    </row>
    <row r="139" spans="2:18">
      <c r="B139" s="94">
        <f t="shared" si="33"/>
        <v>8</v>
      </c>
      <c r="C139" s="101">
        <f t="shared" si="34"/>
        <v>0</v>
      </c>
      <c r="D139" s="101">
        <f t="shared" si="27"/>
        <v>1000000</v>
      </c>
      <c r="E139" s="100">
        <f t="shared" si="28"/>
        <v>96.137</v>
      </c>
      <c r="F139" s="99">
        <f t="shared" si="35"/>
        <v>4.4999999999999998E-2</v>
      </c>
      <c r="G139" s="98">
        <f t="shared" si="36"/>
        <v>0.63550235129692745</v>
      </c>
      <c r="H139" s="92">
        <f t="shared" si="37"/>
        <v>0.73482845768245608</v>
      </c>
      <c r="I139" s="97">
        <f t="shared" si="29"/>
        <v>0</v>
      </c>
      <c r="J139" s="93">
        <f t="shared" si="30"/>
        <v>466985.21265709557</v>
      </c>
      <c r="K139" s="92">
        <f t="shared" si="38"/>
        <v>7</v>
      </c>
      <c r="L139" s="93">
        <f t="shared" si="39"/>
        <v>525.77796243294551</v>
      </c>
      <c r="M139" s="93">
        <f>SUM(J139:J$141)/H139</f>
        <v>1654647.5752315188</v>
      </c>
      <c r="N139" s="93">
        <f t="shared" si="31"/>
        <v>427.97502314306053</v>
      </c>
      <c r="O139" s="93">
        <f t="shared" si="40"/>
        <v>0</v>
      </c>
      <c r="P139" s="93">
        <f t="shared" si="32"/>
        <v>427.97502314306053</v>
      </c>
      <c r="Q139" s="93"/>
      <c r="R139" s="93"/>
    </row>
    <row r="140" spans="2:18">
      <c r="B140" s="94">
        <f t="shared" si="33"/>
        <v>9</v>
      </c>
      <c r="C140" s="101">
        <f t="shared" si="34"/>
        <v>0</v>
      </c>
      <c r="D140" s="101">
        <f t="shared" si="27"/>
        <v>1000000</v>
      </c>
      <c r="E140" s="100">
        <f t="shared" si="28"/>
        <v>107.468</v>
      </c>
      <c r="F140" s="99">
        <f t="shared" si="35"/>
        <v>4.4999999999999998E-2</v>
      </c>
      <c r="G140" s="98">
        <f t="shared" si="36"/>
        <v>0.57440706175029477</v>
      </c>
      <c r="H140" s="92">
        <f t="shared" si="37"/>
        <v>0.70318512696885749</v>
      </c>
      <c r="I140" s="97">
        <f t="shared" si="29"/>
        <v>0</v>
      </c>
      <c r="J140" s="93">
        <f t="shared" si="30"/>
        <v>403914.50264868938</v>
      </c>
      <c r="K140" s="92">
        <f t="shared" si="38"/>
        <v>8</v>
      </c>
      <c r="L140" s="93">
        <f t="shared" si="39"/>
        <v>549.43797074242798</v>
      </c>
      <c r="M140" s="93">
        <f>SUM(J140:J$141)/H140</f>
        <v>1065006.7590116481</v>
      </c>
      <c r="N140" s="93">
        <f t="shared" si="31"/>
        <v>486.48753165550687</v>
      </c>
      <c r="O140" s="93">
        <f t="shared" si="40"/>
        <v>0</v>
      </c>
      <c r="P140" s="93">
        <f t="shared" si="32"/>
        <v>486.48753165550687</v>
      </c>
      <c r="Q140" s="93"/>
      <c r="R140" s="93"/>
    </row>
    <row r="141" spans="2:18">
      <c r="B141" s="94">
        <f t="shared" si="33"/>
        <v>10</v>
      </c>
      <c r="C141" s="101">
        <v>600</v>
      </c>
      <c r="D141" s="101">
        <f t="shared" si="27"/>
        <v>1000000</v>
      </c>
      <c r="E141" s="100">
        <f t="shared" si="28"/>
        <v>119.742</v>
      </c>
      <c r="F141" s="99">
        <f t="shared" si="35"/>
        <v>4.4999999999999998E-2</v>
      </c>
      <c r="G141" s="98">
        <f t="shared" si="36"/>
        <v>0.51267668363811414</v>
      </c>
      <c r="H141" s="92">
        <f t="shared" si="37"/>
        <v>0.6729044277213948</v>
      </c>
      <c r="I141" s="97">
        <f t="shared" si="29"/>
        <v>386.35660921802577</v>
      </c>
      <c r="J141" s="93">
        <f t="shared" si="30"/>
        <v>344982.41040960775</v>
      </c>
      <c r="K141" s="92">
        <f t="shared" si="38"/>
        <v>9</v>
      </c>
      <c r="L141" s="93">
        <f t="shared" si="39"/>
        <v>574.16267942583715</v>
      </c>
      <c r="M141" s="93">
        <f>SUM(J141:J$141)/H141</f>
        <v>512676.68363811413</v>
      </c>
      <c r="N141" s="93">
        <f t="shared" si="31"/>
        <v>543.85937658614796</v>
      </c>
      <c r="O141" s="93">
        <f t="shared" si="40"/>
        <v>0</v>
      </c>
      <c r="P141" s="93">
        <f t="shared" si="32"/>
        <v>543.85937658614796</v>
      </c>
      <c r="Q141" s="93"/>
      <c r="R141" s="93"/>
    </row>
    <row r="142" spans="2:18">
      <c r="B142" s="94"/>
      <c r="C142" s="94"/>
      <c r="D142" s="94"/>
      <c r="E142" s="94"/>
      <c r="F142" s="94"/>
      <c r="G142" s="94"/>
      <c r="H142" s="96" t="s">
        <v>32</v>
      </c>
      <c r="I142" s="97">
        <f>SUM(I132:I141)</f>
        <v>386.35660921802577</v>
      </c>
      <c r="J142" s="93">
        <f>SUM(J132:J141)</f>
        <v>6536450.0418792004</v>
      </c>
      <c r="K142" s="92">
        <f t="shared" si="38"/>
        <v>10</v>
      </c>
      <c r="L142" s="93">
        <f t="shared" si="39"/>
        <v>599.99999999999977</v>
      </c>
      <c r="M142" s="93">
        <f>0</f>
        <v>0</v>
      </c>
      <c r="N142" s="93">
        <f t="shared" si="31"/>
        <v>599.99999999999977</v>
      </c>
      <c r="O142" s="93">
        <f t="shared" si="40"/>
        <v>600</v>
      </c>
      <c r="P142" s="93">
        <f t="shared" si="32"/>
        <v>0</v>
      </c>
    </row>
    <row r="143" spans="2:18">
      <c r="B143" s="94"/>
      <c r="C143" s="94"/>
      <c r="D143" s="94"/>
      <c r="E143" s="94"/>
      <c r="F143" s="94"/>
      <c r="G143" s="94"/>
      <c r="I143" s="96" t="s">
        <v>31</v>
      </c>
      <c r="J143" s="95">
        <f>I142/J142</f>
        <v>5.9108018380409733E-5</v>
      </c>
      <c r="N143" s="93"/>
    </row>
    <row r="144" spans="2:18">
      <c r="B144" s="94"/>
      <c r="C144" s="94"/>
      <c r="D144" s="94"/>
      <c r="E144" s="94"/>
      <c r="F144" s="94"/>
      <c r="G144" s="94"/>
      <c r="N144" s="93"/>
    </row>
  </sheetData>
  <mergeCells count="4">
    <mergeCell ref="B24:B25"/>
    <mergeCell ref="C24:C25"/>
    <mergeCell ref="D24:D25"/>
    <mergeCell ref="E24:E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B6E-93A0-4E39-A087-33A9D57002A5}">
  <dimension ref="B2:L35"/>
  <sheetViews>
    <sheetView tabSelected="1" workbookViewId="0">
      <selection activeCell="E16" sqref="E16"/>
    </sheetView>
  </sheetViews>
  <sheetFormatPr defaultColWidth="8.85546875" defaultRowHeight="15"/>
  <cols>
    <col min="1" max="1" width="8.85546875" style="92"/>
    <col min="2" max="2" width="22" style="92" bestFit="1" customWidth="1"/>
    <col min="3" max="3" width="18" style="92" bestFit="1" customWidth="1"/>
    <col min="4" max="4" width="12.85546875" style="92" bestFit="1" customWidth="1"/>
    <col min="5" max="5" width="8.85546875" style="92"/>
    <col min="6" max="6" width="19" style="92" bestFit="1" customWidth="1"/>
    <col min="7" max="8" width="8.7109375" style="92" customWidth="1"/>
    <col min="9" max="9" width="12.42578125" style="92" bestFit="1" customWidth="1"/>
    <col min="10" max="10" width="15.28515625" style="92" bestFit="1" customWidth="1"/>
    <col min="11" max="11" width="18.5703125" style="92" bestFit="1" customWidth="1"/>
    <col min="12" max="12" width="22.7109375" style="92" bestFit="1" customWidth="1"/>
    <col min="13" max="16384" width="8.85546875" style="92"/>
  </cols>
  <sheetData>
    <row r="2" spans="2:3">
      <c r="B2" s="151" t="s">
        <v>167</v>
      </c>
      <c r="C2" s="159">
        <v>0.03</v>
      </c>
    </row>
    <row r="3" spans="2:3">
      <c r="B3" s="151" t="s">
        <v>144</v>
      </c>
      <c r="C3" s="159">
        <v>3.2500000000000001E-2</v>
      </c>
    </row>
    <row r="5" spans="2:3">
      <c r="B5" s="158" t="s">
        <v>166</v>
      </c>
      <c r="C5" s="158" t="s">
        <v>165</v>
      </c>
    </row>
    <row r="6" spans="2:3">
      <c r="B6" s="158">
        <v>45</v>
      </c>
      <c r="C6" s="158">
        <v>8.9999999999999998E-4</v>
      </c>
    </row>
    <row r="7" spans="2:3">
      <c r="B7" s="158">
        <v>46</v>
      </c>
      <c r="C7" s="158">
        <v>1E-3</v>
      </c>
    </row>
    <row r="8" spans="2:3">
      <c r="B8" s="158">
        <v>47</v>
      </c>
      <c r="C8" s="158">
        <v>1.2000000000000001E-3</v>
      </c>
    </row>
    <row r="9" spans="2:3">
      <c r="B9" s="158">
        <v>48</v>
      </c>
      <c r="C9" s="158">
        <v>1.4000000000000002E-3</v>
      </c>
    </row>
    <row r="10" spans="2:3">
      <c r="B10" s="158">
        <v>49</v>
      </c>
      <c r="C10" s="158">
        <v>1.6000000000000003E-3</v>
      </c>
    </row>
    <row r="11" spans="2:3">
      <c r="B11" s="158">
        <v>50</v>
      </c>
      <c r="C11" s="158">
        <v>1.8000000000000004E-3</v>
      </c>
    </row>
    <row r="12" spans="2:3">
      <c r="B12" s="158">
        <v>51</v>
      </c>
      <c r="C12" s="158">
        <v>2.0000000000000005E-3</v>
      </c>
    </row>
    <row r="13" spans="2:3">
      <c r="B13" s="158">
        <v>52</v>
      </c>
      <c r="C13" s="158">
        <v>2.2000000000000006E-3</v>
      </c>
    </row>
    <row r="14" spans="2:3">
      <c r="B14" s="158">
        <v>53</v>
      </c>
      <c r="C14" s="158">
        <v>2.4000000000000007E-3</v>
      </c>
    </row>
    <row r="15" spans="2:3">
      <c r="B15" s="158">
        <v>54</v>
      </c>
      <c r="C15" s="158">
        <v>2.6000000000000007E-3</v>
      </c>
    </row>
    <row r="16" spans="2:3">
      <c r="B16" s="158">
        <v>55</v>
      </c>
      <c r="C16" s="158">
        <v>2.8000000000000008E-3</v>
      </c>
    </row>
    <row r="17" spans="2:12">
      <c r="B17" s="158">
        <v>56</v>
      </c>
      <c r="C17" s="158">
        <v>3.0000000000000009E-3</v>
      </c>
    </row>
    <row r="18" spans="2:12">
      <c r="B18" s="158">
        <v>57</v>
      </c>
      <c r="C18" s="158">
        <v>3.200000000000001E-3</v>
      </c>
    </row>
    <row r="19" spans="2:12">
      <c r="B19" s="158">
        <v>58</v>
      </c>
      <c r="C19" s="158">
        <v>3.4000000000000011E-3</v>
      </c>
    </row>
    <row r="20" spans="2:12">
      <c r="B20" s="158">
        <v>59</v>
      </c>
      <c r="C20" s="158">
        <v>3.6000000000000012E-3</v>
      </c>
    </row>
    <row r="21" spans="2:12">
      <c r="B21" s="158">
        <v>60</v>
      </c>
      <c r="C21" s="158">
        <v>3.8000000000000013E-3</v>
      </c>
    </row>
    <row r="23" spans="2:12">
      <c r="B23" s="151" t="s">
        <v>164</v>
      </c>
      <c r="C23" s="151" t="s">
        <v>0</v>
      </c>
      <c r="D23" s="151" t="s">
        <v>163</v>
      </c>
      <c r="E23" s="151" t="s">
        <v>162</v>
      </c>
      <c r="F23" s="151" t="s">
        <v>161</v>
      </c>
      <c r="G23" s="151" t="s">
        <v>160</v>
      </c>
      <c r="H23" s="151" t="s">
        <v>159</v>
      </c>
      <c r="I23" s="151" t="s">
        <v>11</v>
      </c>
      <c r="J23" s="151" t="s">
        <v>158</v>
      </c>
      <c r="K23" s="151" t="s">
        <v>157</v>
      </c>
      <c r="L23" s="151" t="s">
        <v>156</v>
      </c>
    </row>
    <row r="24" spans="2:12">
      <c r="B24" s="157">
        <v>44377</v>
      </c>
      <c r="C24" s="155">
        <v>1</v>
      </c>
      <c r="D24" s="156">
        <v>103000</v>
      </c>
      <c r="E24" s="153">
        <v>0.09</v>
      </c>
      <c r="F24" s="112">
        <f t="shared" ref="F24:F33" si="0">D24*(1-E24)</f>
        <v>93730</v>
      </c>
      <c r="G24" s="155">
        <v>0</v>
      </c>
      <c r="H24" s="155">
        <v>1</v>
      </c>
      <c r="I24" s="155">
        <v>1</v>
      </c>
      <c r="K24" s="112">
        <f t="shared" ref="K24:K33" si="1">F24*H24*I24</f>
        <v>93730</v>
      </c>
      <c r="L24" s="112">
        <f>K24+SUM($J$24:J24)</f>
        <v>93730</v>
      </c>
    </row>
    <row r="25" spans="2:12">
      <c r="B25" s="154">
        <f t="shared" ref="B25:B33" si="2">EDATE(B24,12)</f>
        <v>44742</v>
      </c>
      <c r="C25" s="92">
        <f t="shared" ref="C25:C33" si="3">C24+1</f>
        <v>2</v>
      </c>
      <c r="D25" s="112">
        <f t="shared" ref="D25:D33" si="4">D24*(1+$C$2)</f>
        <v>106090</v>
      </c>
      <c r="E25" s="153">
        <v>0.08</v>
      </c>
      <c r="F25" s="112">
        <f t="shared" si="0"/>
        <v>97602.8</v>
      </c>
      <c r="G25" s="152">
        <f t="shared" ref="G25:G33" si="5">1-(1-C7)^12</f>
        <v>1.1934219505790988E-2</v>
      </c>
      <c r="H25" s="152">
        <f t="shared" ref="H25:H33" si="6">H24*(1-G25)</f>
        <v>0.98806578049420901</v>
      </c>
      <c r="I25" s="152">
        <f t="shared" ref="I25:I33" si="7">I24/(1+$C$3)</f>
        <v>0.96852300242130751</v>
      </c>
      <c r="J25" s="112">
        <f t="shared" ref="J25:J33" si="8">D25*H24*G25*I25</f>
        <v>1226.2482783238411</v>
      </c>
      <c r="K25" s="112">
        <f t="shared" si="1"/>
        <v>93402.408484668456</v>
      </c>
      <c r="L25" s="112">
        <f>K25+SUM($J$24:J25)</f>
        <v>94628.656762992294</v>
      </c>
    </row>
    <row r="26" spans="2:12">
      <c r="B26" s="154">
        <f t="shared" si="2"/>
        <v>45107</v>
      </c>
      <c r="C26" s="92">
        <f t="shared" si="3"/>
        <v>3</v>
      </c>
      <c r="D26" s="112">
        <f t="shared" si="4"/>
        <v>109272.7</v>
      </c>
      <c r="E26" s="153">
        <v>7.0000000000000007E-2</v>
      </c>
      <c r="F26" s="112">
        <f t="shared" si="0"/>
        <v>101623.61099999999</v>
      </c>
      <c r="G26" s="152">
        <f t="shared" si="5"/>
        <v>1.4305339135535777E-2</v>
      </c>
      <c r="H26" s="152">
        <f t="shared" si="6"/>
        <v>0.97393116441602146</v>
      </c>
      <c r="I26" s="152">
        <f t="shared" si="7"/>
        <v>0.93803680621918406</v>
      </c>
      <c r="J26" s="112">
        <f t="shared" si="8"/>
        <v>1448.8237954863646</v>
      </c>
      <c r="K26" s="112">
        <f t="shared" si="1"/>
        <v>92841.631755726587</v>
      </c>
      <c r="L26" s="112">
        <f>K26+SUM($J$24:J26)</f>
        <v>95516.703829536797</v>
      </c>
    </row>
    <row r="27" spans="2:12">
      <c r="B27" s="154">
        <f t="shared" si="2"/>
        <v>45473</v>
      </c>
      <c r="C27" s="92">
        <f t="shared" si="3"/>
        <v>4</v>
      </c>
      <c r="D27" s="112">
        <f t="shared" si="4"/>
        <v>112550.88099999999</v>
      </c>
      <c r="E27" s="153">
        <v>0.06</v>
      </c>
      <c r="F27" s="112">
        <f t="shared" si="0"/>
        <v>105797.82813999998</v>
      </c>
      <c r="G27" s="152">
        <f t="shared" si="5"/>
        <v>1.667124178266044E-2</v>
      </c>
      <c r="H27" s="152">
        <f t="shared" si="6"/>
        <v>0.95769452249437392</v>
      </c>
      <c r="I27" s="152">
        <f t="shared" si="7"/>
        <v>0.90851022394109837</v>
      </c>
      <c r="J27" s="112">
        <f t="shared" si="8"/>
        <v>1660.2555122094684</v>
      </c>
      <c r="K27" s="112">
        <f t="shared" si="1"/>
        <v>92052.073365758886</v>
      </c>
      <c r="L27" s="112">
        <f>K27+SUM($J$24:J27)</f>
        <v>96387.40095177856</v>
      </c>
    </row>
    <row r="28" spans="2:12">
      <c r="B28" s="154">
        <f t="shared" si="2"/>
        <v>45838</v>
      </c>
      <c r="C28" s="92">
        <f t="shared" si="3"/>
        <v>5</v>
      </c>
      <c r="D28" s="112">
        <f t="shared" si="4"/>
        <v>115927.40742999999</v>
      </c>
      <c r="E28" s="153">
        <v>0.05</v>
      </c>
      <c r="F28" s="112">
        <f t="shared" si="0"/>
        <v>110131.03705849999</v>
      </c>
      <c r="G28" s="152">
        <f t="shared" si="5"/>
        <v>1.9031937884257721E-2</v>
      </c>
      <c r="H28" s="152">
        <f t="shared" si="6"/>
        <v>0.93946773983016718</v>
      </c>
      <c r="I28" s="152">
        <f t="shared" si="7"/>
        <v>0.87991304982188712</v>
      </c>
      <c r="J28" s="112">
        <f t="shared" si="8"/>
        <v>1859.2418965397821</v>
      </c>
      <c r="K28" s="112">
        <f t="shared" si="1"/>
        <v>91039.81343242772</v>
      </c>
      <c r="L28" s="112">
        <f>K28+SUM($J$24:J28)</f>
        <v>97234.382914987174</v>
      </c>
    </row>
    <row r="29" spans="2:12">
      <c r="B29" s="154">
        <f t="shared" si="2"/>
        <v>46203</v>
      </c>
      <c r="C29" s="92">
        <f t="shared" si="3"/>
        <v>6</v>
      </c>
      <c r="D29" s="112">
        <f t="shared" si="4"/>
        <v>119405.2296529</v>
      </c>
      <c r="E29" s="153">
        <v>0</v>
      </c>
      <c r="F29" s="112">
        <f t="shared" si="0"/>
        <v>119405.2296529</v>
      </c>
      <c r="G29" s="152">
        <f t="shared" si="5"/>
        <v>2.1387437858622627E-2</v>
      </c>
      <c r="H29" s="152">
        <f t="shared" si="6"/>
        <v>0.91937493192436881</v>
      </c>
      <c r="I29" s="152">
        <f t="shared" si="7"/>
        <v>0.85221602888318371</v>
      </c>
      <c r="J29" s="112">
        <f t="shared" si="8"/>
        <v>2044.6250572397555</v>
      </c>
      <c r="K29" s="112">
        <f t="shared" si="1"/>
        <v>93554.720257301407</v>
      </c>
      <c r="L29" s="112">
        <f>K29+SUM($J$24:J29)</f>
        <v>101793.91479710062</v>
      </c>
    </row>
    <row r="30" spans="2:12">
      <c r="B30" s="154">
        <f t="shared" si="2"/>
        <v>46568</v>
      </c>
      <c r="C30" s="92">
        <f t="shared" si="3"/>
        <v>7</v>
      </c>
      <c r="D30" s="112">
        <f t="shared" si="4"/>
        <v>122987.386542487</v>
      </c>
      <c r="E30" s="153">
        <v>0</v>
      </c>
      <c r="F30" s="112">
        <f t="shared" si="0"/>
        <v>122987.386542487</v>
      </c>
      <c r="G30" s="152">
        <f t="shared" si="5"/>
        <v>2.3737752105284837E-2</v>
      </c>
      <c r="H30" s="152">
        <f t="shared" si="6"/>
        <v>0.89755103769853506</v>
      </c>
      <c r="I30" s="152">
        <f t="shared" si="7"/>
        <v>0.82539082700550481</v>
      </c>
      <c r="J30" s="112">
        <f t="shared" si="8"/>
        <v>2215.4015694716741</v>
      </c>
      <c r="K30" s="112">
        <f t="shared" si="1"/>
        <v>91112.793941444033</v>
      </c>
      <c r="L30" s="112">
        <f>K30+SUM($J$24:J30)</f>
        <v>101567.39005071492</v>
      </c>
    </row>
    <row r="31" spans="2:12">
      <c r="B31" s="154">
        <f t="shared" si="2"/>
        <v>46934</v>
      </c>
      <c r="C31" s="92">
        <f t="shared" si="3"/>
        <v>8</v>
      </c>
      <c r="D31" s="112">
        <f t="shared" si="4"/>
        <v>126677.00813876161</v>
      </c>
      <c r="E31" s="153">
        <v>0</v>
      </c>
      <c r="F31" s="112">
        <f t="shared" si="0"/>
        <v>126677.00813876161</v>
      </c>
      <c r="G31" s="152">
        <f t="shared" si="5"/>
        <v>2.6082891005040021E-2</v>
      </c>
      <c r="H31" s="152">
        <f t="shared" si="6"/>
        <v>0.87414031181078355</v>
      </c>
      <c r="I31" s="152">
        <f t="shared" si="7"/>
        <v>0.79941000194237755</v>
      </c>
      <c r="J31" s="112">
        <f t="shared" si="8"/>
        <v>2370.7308723927708</v>
      </c>
      <c r="K31" s="112">
        <f t="shared" si="1"/>
        <v>88521.45097718334</v>
      </c>
      <c r="L31" s="112">
        <f>K31+SUM($J$24:J31)</f>
        <v>101346.777958847</v>
      </c>
    </row>
    <row r="32" spans="2:12">
      <c r="B32" s="154">
        <f t="shared" si="2"/>
        <v>47299</v>
      </c>
      <c r="C32" s="92">
        <f t="shared" si="3"/>
        <v>9</v>
      </c>
      <c r="D32" s="112">
        <f t="shared" si="4"/>
        <v>130477.31838292447</v>
      </c>
      <c r="E32" s="153">
        <v>0</v>
      </c>
      <c r="F32" s="112">
        <f t="shared" si="0"/>
        <v>130477.31838292447</v>
      </c>
      <c r="G32" s="152">
        <f t="shared" si="5"/>
        <v>2.8422864919975588E-2</v>
      </c>
      <c r="H32" s="152">
        <f t="shared" si="6"/>
        <v>0.84929473980708037</v>
      </c>
      <c r="I32" s="152">
        <f t="shared" si="7"/>
        <v>0.77424697524685482</v>
      </c>
      <c r="J32" s="112">
        <f t="shared" si="8"/>
        <v>2509.9411534664073</v>
      </c>
      <c r="K32" s="112">
        <f t="shared" si="1"/>
        <v>85797.17217001917</v>
      </c>
      <c r="L32" s="112">
        <f>K32+SUM($J$24:J32)</f>
        <v>101132.44030514924</v>
      </c>
    </row>
    <row r="33" spans="2:12">
      <c r="B33" s="154">
        <f t="shared" si="2"/>
        <v>47664</v>
      </c>
      <c r="C33" s="92">
        <f t="shared" si="3"/>
        <v>10</v>
      </c>
      <c r="D33" s="112">
        <f t="shared" si="4"/>
        <v>134391.6379344122</v>
      </c>
      <c r="E33" s="153">
        <v>0</v>
      </c>
      <c r="F33" s="112">
        <f t="shared" si="0"/>
        <v>134391.6379344122</v>
      </c>
      <c r="G33" s="152">
        <f t="shared" si="5"/>
        <v>3.0757684193504331E-2</v>
      </c>
      <c r="H33" s="152">
        <f t="shared" si="6"/>
        <v>0.82317240041288975</v>
      </c>
      <c r="I33" s="152">
        <f t="shared" si="7"/>
        <v>0.7498760050816996</v>
      </c>
      <c r="J33" s="112">
        <f t="shared" si="8"/>
        <v>2632.5326838646042</v>
      </c>
      <c r="K33" s="112">
        <f t="shared" si="1"/>
        <v>82956.898149181157</v>
      </c>
      <c r="L33" s="112">
        <f>K33+SUM($J$24:J33)</f>
        <v>100924.69896817583</v>
      </c>
    </row>
    <row r="35" spans="2:12">
      <c r="B35" s="151" t="s">
        <v>155</v>
      </c>
      <c r="C35" s="112">
        <f>MAX(L24:L33)</f>
        <v>101793.91479710062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3(a)</vt:lpstr>
      <vt:lpstr>Part 3(b)</vt:lpstr>
      <vt:lpstr>Part 3(c)</vt:lpstr>
      <vt:lpstr>4 Sheet1</vt:lpstr>
      <vt:lpstr>6 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Farmer, Derek L</dc:creator>
  <cp:lastModifiedBy>Aleshia Zionce</cp:lastModifiedBy>
  <dcterms:created xsi:type="dcterms:W3CDTF">2021-11-01T21:13:37Z</dcterms:created>
  <dcterms:modified xsi:type="dcterms:W3CDTF">2024-02-05T19:51:40Z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0e062b-3d76-4dca-9a83-e7b61f60b6d7_Enabled">
    <vt:lpwstr>true</vt:lpwstr>
  </property>
  <property fmtid="{D5CDD505-2E9C-101B-9397-08002B2CF9AE}" pid="3" name="MSIP_Label_d70e062b-3d76-4dca-9a83-e7b61f60b6d7_SetDate">
    <vt:lpwstr>2023-01-13T23:03:47Z</vt:lpwstr>
  </property>
  <property fmtid="{D5CDD505-2E9C-101B-9397-08002B2CF9AE}" pid="4" name="MSIP_Label_d70e062b-3d76-4dca-9a83-e7b61f60b6d7_Method">
    <vt:lpwstr>Privileged</vt:lpwstr>
  </property>
  <property fmtid="{D5CDD505-2E9C-101B-9397-08002B2CF9AE}" pid="5" name="MSIP_Label_d70e062b-3d76-4dca-9a83-e7b61f60b6d7_Name">
    <vt:lpwstr>d70e062b-3d76-4dca-9a83-e7b61f60b6d7</vt:lpwstr>
  </property>
  <property fmtid="{D5CDD505-2E9C-101B-9397-08002B2CF9AE}" pid="6" name="MSIP_Label_d70e062b-3d76-4dca-9a83-e7b61f60b6d7_SiteId">
    <vt:lpwstr>975c0940-6ee1-4da8-8016-f00c9fc8476f</vt:lpwstr>
  </property>
  <property fmtid="{D5CDD505-2E9C-101B-9397-08002B2CF9AE}" pid="7" name="MSIP_Label_d70e062b-3d76-4dca-9a83-e7b61f60b6d7_ActionId">
    <vt:lpwstr>2b6a2b43-ef9d-484c-acdd-ff0e5eb4fd7e</vt:lpwstr>
  </property>
  <property fmtid="{D5CDD505-2E9C-101B-9397-08002B2CF9AE}" pid="8" name="MSIP_Label_d70e062b-3d76-4dca-9a83-e7b61f60b6d7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3c9aa860-6a65-4942-a19a-0478291725e1_Enabled">
    <vt:lpwstr>true</vt:lpwstr>
  </property>
  <property fmtid="{D5CDD505-2E9C-101B-9397-08002B2CF9AE}" pid="12" name="MSIP_Label_3c9aa860-6a65-4942-a19a-0478291725e1_SetDate">
    <vt:lpwstr>2024-02-01T16:25:36Z</vt:lpwstr>
  </property>
  <property fmtid="{D5CDD505-2E9C-101B-9397-08002B2CF9AE}" pid="13" name="MSIP_Label_3c9aa860-6a65-4942-a19a-0478291725e1_Method">
    <vt:lpwstr>Privileged</vt:lpwstr>
  </property>
  <property fmtid="{D5CDD505-2E9C-101B-9397-08002B2CF9AE}" pid="14" name="MSIP_Label_3c9aa860-6a65-4942-a19a-0478291725e1_Name">
    <vt:lpwstr>CONFIDENTIAL</vt:lpwstr>
  </property>
  <property fmtid="{D5CDD505-2E9C-101B-9397-08002B2CF9AE}" pid="15" name="MSIP_Label_3c9aa860-6a65-4942-a19a-0478291725e1_SiteId">
    <vt:lpwstr>5d3e2773-e07f-4432-a630-1a0f68a28a05</vt:lpwstr>
  </property>
  <property fmtid="{D5CDD505-2E9C-101B-9397-08002B2CF9AE}" pid="16" name="MSIP_Label_3c9aa860-6a65-4942-a19a-0478291725e1_ActionId">
    <vt:lpwstr>98bf9975-87e8-4f62-aeb7-4116b5123bc4</vt:lpwstr>
  </property>
  <property fmtid="{D5CDD505-2E9C-101B-9397-08002B2CF9AE}" pid="17" name="MSIP_Label_3c9aa860-6a65-4942-a19a-0478291725e1_ContentBits">
    <vt:lpwstr>2</vt:lpwstr>
  </property>
</Properties>
</file>