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Q:\Aleshia\Fall 2023 Solutions\"/>
    </mc:Choice>
  </mc:AlternateContent>
  <xr:revisionPtr revIDLastSave="0" documentId="8_{3F9F135D-815F-41CC-91F4-ECF369EE3743}" xr6:coauthVersionLast="47" xr6:coauthVersionMax="47" xr10:uidLastSave="{00000000-0000-0000-0000-000000000000}"/>
  <bookViews>
    <workbookView xWindow="29580" yWindow="780" windowWidth="15375" windowHeight="7815" tabRatio="784" xr2:uid="{00000000-000D-0000-FFFF-FFFF00000000}"/>
  </bookViews>
  <sheets>
    <sheet name="Question 1" sheetId="37" r:id="rId1"/>
    <sheet name="Question 2" sheetId="40" r:id="rId2"/>
    <sheet name="Question 3" sheetId="41" r:id="rId3"/>
    <sheet name="Question 4" sheetId="42" r:id="rId4"/>
    <sheet name="Question 5" sheetId="43" r:id="rId5"/>
    <sheet name="Question 6" sheetId="44" r:id="rId6"/>
    <sheet name="Question 7" sheetId="45" r:id="rId7"/>
    <sheet name="Question 8" sheetId="46" r:id="rId8"/>
    <sheet name="Question 9" sheetId="47" r:id="rId9"/>
    <sheet name="Question 10" sheetId="48" r:id="rId10"/>
    <sheet name="Question 11" sheetId="49" r:id="rId11"/>
    <sheet name="Question 12" sheetId="51" r:id="rId12"/>
    <sheet name="Question 13" sheetId="52" r:id="rId13"/>
    <sheet name="Question 14" sheetId="53" r:id="rId14"/>
    <sheet name="Question 15" sheetId="5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3" i="54" l="1"/>
  <c r="D33" i="54"/>
  <c r="D32" i="54"/>
  <c r="D31" i="54"/>
  <c r="D30" i="54"/>
  <c r="E23" i="54"/>
  <c r="D23" i="54"/>
  <c r="D43" i="54" s="1"/>
  <c r="E43" i="54" s="1"/>
  <c r="E22" i="54"/>
  <c r="D22" i="54"/>
  <c r="D42" i="54" s="1"/>
  <c r="E42" i="54" s="1"/>
  <c r="E21" i="54"/>
  <c r="D21" i="54"/>
  <c r="D41" i="54" s="1"/>
  <c r="E41" i="54" s="1"/>
  <c r="E20" i="54"/>
  <c r="D20" i="54"/>
  <c r="D40" i="54" s="1"/>
  <c r="C23" i="54"/>
  <c r="G23" i="54" s="1"/>
  <c r="G53" i="54" s="1"/>
  <c r="G56" i="54" s="1"/>
  <c r="G58" i="54" s="1"/>
  <c r="B23" i="54"/>
  <c r="B33" i="54" s="1"/>
  <c r="C22" i="54"/>
  <c r="C42" i="54" s="1"/>
  <c r="B22" i="54"/>
  <c r="B32" i="54" s="1"/>
  <c r="C21" i="54"/>
  <c r="B21" i="54"/>
  <c r="B31" i="54" s="1"/>
  <c r="C20" i="54"/>
  <c r="G20" i="54" s="1"/>
  <c r="B20" i="54"/>
  <c r="B30" i="54" s="1"/>
  <c r="F22" i="54"/>
  <c r="F21" i="54"/>
  <c r="G116" i="53"/>
  <c r="F117" i="53"/>
  <c r="F116" i="53"/>
  <c r="E118" i="53"/>
  <c r="E117" i="53"/>
  <c r="E116" i="53"/>
  <c r="D119" i="53"/>
  <c r="C119" i="53"/>
  <c r="D118" i="53"/>
  <c r="C118" i="53"/>
  <c r="D117" i="53"/>
  <c r="C117" i="53"/>
  <c r="D116" i="53"/>
  <c r="C116" i="53"/>
  <c r="C120" i="53"/>
  <c r="H116" i="53"/>
  <c r="G117" i="53"/>
  <c r="F118" i="53"/>
  <c r="E119" i="53"/>
  <c r="D120" i="53"/>
  <c r="C121" i="53"/>
  <c r="G107" i="53"/>
  <c r="F108" i="53"/>
  <c r="F107" i="53" s="1"/>
  <c r="E109" i="53"/>
  <c r="E108" i="53"/>
  <c r="E107" i="53" s="1"/>
  <c r="D110" i="53"/>
  <c r="D109" i="53" s="1"/>
  <c r="D108" i="53" s="1"/>
  <c r="D107" i="53" s="1"/>
  <c r="C110" i="53"/>
  <c r="C109" i="53" s="1"/>
  <c r="C108" i="53" s="1"/>
  <c r="C107" i="53" s="1"/>
  <c r="C111" i="53"/>
  <c r="H107" i="53"/>
  <c r="G108" i="53"/>
  <c r="F109" i="53"/>
  <c r="E110" i="53"/>
  <c r="D111" i="53"/>
  <c r="C112" i="53"/>
  <c r="D115" i="53"/>
  <c r="E115" i="53" s="1"/>
  <c r="F115" i="53" s="1"/>
  <c r="G115" i="53" s="1"/>
  <c r="H115" i="53" s="1"/>
  <c r="D106" i="53"/>
  <c r="E106" i="53" s="1"/>
  <c r="F106" i="53" s="1"/>
  <c r="G106" i="53" s="1"/>
  <c r="H106" i="53" s="1"/>
  <c r="H71" i="53"/>
  <c r="G72" i="53"/>
  <c r="G71" i="53"/>
  <c r="F73" i="53"/>
  <c r="F72" i="53"/>
  <c r="F71" i="53"/>
  <c r="F80" i="53" s="1"/>
  <c r="E74" i="53"/>
  <c r="E73" i="53"/>
  <c r="E81" i="53" s="1"/>
  <c r="E72" i="53"/>
  <c r="E71" i="53"/>
  <c r="E80" i="53" s="1"/>
  <c r="D75" i="53"/>
  <c r="D74" i="53"/>
  <c r="D83" i="53" s="1"/>
  <c r="D73" i="53"/>
  <c r="D81" i="53" s="1"/>
  <c r="D72" i="53"/>
  <c r="D71" i="53"/>
  <c r="C76" i="53"/>
  <c r="C84" i="53" s="1"/>
  <c r="C75" i="53"/>
  <c r="C74" i="53"/>
  <c r="C83" i="53" s="1"/>
  <c r="C73" i="53"/>
  <c r="C72" i="53"/>
  <c r="C71" i="53"/>
  <c r="B84" i="53"/>
  <c r="B83" i="53"/>
  <c r="E82" i="53"/>
  <c r="B82" i="53"/>
  <c r="B81" i="53"/>
  <c r="B80" i="53"/>
  <c r="D79" i="53"/>
  <c r="E79" i="53" s="1"/>
  <c r="F79" i="53" s="1"/>
  <c r="G79" i="53" s="1"/>
  <c r="H79" i="53" s="1"/>
  <c r="D70" i="53"/>
  <c r="E70" i="53" s="1"/>
  <c r="F70" i="53" s="1"/>
  <c r="G70" i="53" s="1"/>
  <c r="H70" i="53" s="1"/>
  <c r="H64" i="54" l="1"/>
  <c r="E33" i="54"/>
  <c r="C40" i="54"/>
  <c r="F40" i="54" s="1"/>
  <c r="B43" i="54"/>
  <c r="B53" i="54"/>
  <c r="B54" i="54"/>
  <c r="E32" i="54"/>
  <c r="E31" i="54"/>
  <c r="B41" i="54"/>
  <c r="C41" i="54"/>
  <c r="F41" i="54" s="1"/>
  <c r="G22" i="54"/>
  <c r="G21" i="54"/>
  <c r="B42" i="54"/>
  <c r="C43" i="54"/>
  <c r="F43" i="54" s="1"/>
  <c r="B40" i="54"/>
  <c r="F42" i="54"/>
  <c r="E30" i="54"/>
  <c r="C80" i="53"/>
  <c r="C81" i="53"/>
  <c r="F81" i="53"/>
  <c r="C82" i="53"/>
  <c r="D82" i="53"/>
  <c r="D80" i="53"/>
  <c r="G80" i="53"/>
  <c r="E34" i="54" l="1"/>
  <c r="F44" i="54"/>
  <c r="G24" i="54"/>
  <c r="K57" i="52" l="1"/>
  <c r="D57" i="52" s="1"/>
  <c r="K55" i="52"/>
  <c r="E55" i="52" s="1"/>
  <c r="C58" i="52"/>
  <c r="B58" i="52"/>
  <c r="B82" i="52" s="1"/>
  <c r="C57" i="52"/>
  <c r="B57" i="52"/>
  <c r="B81" i="52" s="1"/>
  <c r="E56" i="52"/>
  <c r="D56" i="52"/>
  <c r="C56" i="52"/>
  <c r="B56" i="52"/>
  <c r="B80" i="52" s="1"/>
  <c r="D55" i="52"/>
  <c r="C55" i="52"/>
  <c r="B55" i="52"/>
  <c r="B79" i="52" s="1"/>
  <c r="G54" i="52"/>
  <c r="F54" i="52"/>
  <c r="E54" i="52"/>
  <c r="D54" i="52"/>
  <c r="C54" i="52"/>
  <c r="B54" i="52"/>
  <c r="B78" i="52" s="1"/>
  <c r="H53" i="52"/>
  <c r="G53" i="52"/>
  <c r="F53" i="52"/>
  <c r="E53" i="52"/>
  <c r="D53" i="52"/>
  <c r="C53" i="52"/>
  <c r="B53" i="52"/>
  <c r="B77" i="52" s="1"/>
  <c r="I52" i="52"/>
  <c r="H52" i="52"/>
  <c r="G52" i="52"/>
  <c r="F52" i="52"/>
  <c r="E52" i="52"/>
  <c r="D52" i="52"/>
  <c r="C52" i="52"/>
  <c r="B52" i="52"/>
  <c r="B76" i="52" s="1"/>
  <c r="F55" i="52" l="1"/>
  <c r="E70" i="52" s="1"/>
  <c r="H70" i="52"/>
  <c r="D66" i="52"/>
  <c r="C78" i="52"/>
  <c r="C77" i="52"/>
  <c r="C76" i="52"/>
  <c r="E76" i="52" s="1"/>
  <c r="C81" i="52"/>
  <c r="C82" i="52"/>
  <c r="C80" i="52"/>
  <c r="F63" i="52"/>
  <c r="C65" i="52"/>
  <c r="C67" i="52"/>
  <c r="C68" i="52"/>
  <c r="E63" i="52"/>
  <c r="D67" i="52"/>
  <c r="D64" i="52"/>
  <c r="E65" i="52"/>
  <c r="C63" i="52"/>
  <c r="F65" i="52"/>
  <c r="C66" i="52"/>
  <c r="G70" i="52"/>
  <c r="E64" i="52"/>
  <c r="F70" i="52"/>
  <c r="G63" i="52"/>
  <c r="G64" i="52"/>
  <c r="C64" i="52"/>
  <c r="D70" i="52"/>
  <c r="C70" i="52"/>
  <c r="D65" i="52"/>
  <c r="F64" i="52"/>
  <c r="D63" i="52"/>
  <c r="H63" i="52"/>
  <c r="H69" i="52" s="1"/>
  <c r="H72" i="52" s="1"/>
  <c r="H73" i="52" s="1"/>
  <c r="E92" i="51"/>
  <c r="E93" i="51" s="1"/>
  <c r="B46" i="51"/>
  <c r="B47" i="51" s="1"/>
  <c r="B48" i="51" s="1"/>
  <c r="B49" i="51" s="1"/>
  <c r="B50" i="51" s="1"/>
  <c r="E29" i="51"/>
  <c r="G29" i="51" s="1"/>
  <c r="J29" i="51" s="1"/>
  <c r="G36" i="51" s="1"/>
  <c r="D26" i="51"/>
  <c r="F70" i="51" s="1"/>
  <c r="D25" i="51"/>
  <c r="D36" i="51"/>
  <c r="C36" i="51"/>
  <c r="F35" i="51"/>
  <c r="F34" i="51" s="1"/>
  <c r="F33" i="51" s="1"/>
  <c r="F32" i="51" s="1"/>
  <c r="D35" i="51"/>
  <c r="C35" i="51"/>
  <c r="D34" i="51"/>
  <c r="C34" i="51"/>
  <c r="D33" i="51"/>
  <c r="C33" i="51"/>
  <c r="D32" i="51"/>
  <c r="C32" i="51"/>
  <c r="B32" i="51"/>
  <c r="B33" i="51" s="1"/>
  <c r="B34" i="51" s="1"/>
  <c r="B35" i="51" s="1"/>
  <c r="B36" i="51" s="1"/>
  <c r="C79" i="52" l="1"/>
  <c r="E66" i="52"/>
  <c r="E69" i="52"/>
  <c r="E72" i="52" s="1"/>
  <c r="D69" i="52"/>
  <c r="D72" i="52" s="1"/>
  <c r="F69" i="52"/>
  <c r="F72" i="52" s="1"/>
  <c r="D77" i="52"/>
  <c r="E77" i="52" s="1"/>
  <c r="C69" i="52"/>
  <c r="C72" i="52" s="1"/>
  <c r="G69" i="52"/>
  <c r="G72" i="52" s="1"/>
  <c r="G73" i="52" s="1"/>
  <c r="F72" i="51"/>
  <c r="F73" i="51" s="1"/>
  <c r="F74" i="51" s="1"/>
  <c r="E35" i="51"/>
  <c r="E32" i="51"/>
  <c r="G32" i="51"/>
  <c r="I32" i="51" s="1"/>
  <c r="I36" i="51"/>
  <c r="G33" i="51"/>
  <c r="I33" i="51" s="1"/>
  <c r="G34" i="51"/>
  <c r="I34" i="51" s="1"/>
  <c r="G35" i="51"/>
  <c r="I35" i="51" s="1"/>
  <c r="H32" i="51"/>
  <c r="H33" i="51"/>
  <c r="E33" i="51"/>
  <c r="H34" i="51"/>
  <c r="H35" i="51"/>
  <c r="E34" i="51"/>
  <c r="H36" i="51"/>
  <c r="E36" i="51"/>
  <c r="D55" i="49"/>
  <c r="A64" i="49"/>
  <c r="A63" i="49"/>
  <c r="A62" i="49"/>
  <c r="A61" i="49"/>
  <c r="A60" i="49"/>
  <c r="A59" i="49"/>
  <c r="A58" i="49"/>
  <c r="B41" i="49"/>
  <c r="A41" i="49"/>
  <c r="D53" i="49" s="1"/>
  <c r="B40" i="49"/>
  <c r="A40" i="49"/>
  <c r="B39" i="49"/>
  <c r="A39" i="49"/>
  <c r="B38" i="49"/>
  <c r="A38" i="49"/>
  <c r="B37" i="49"/>
  <c r="A37" i="49"/>
  <c r="B36" i="49"/>
  <c r="A36" i="49"/>
  <c r="B35" i="49"/>
  <c r="A35" i="49"/>
  <c r="F73" i="52" l="1"/>
  <c r="D78" i="52"/>
  <c r="E78" i="52" s="1"/>
  <c r="D50" i="51"/>
  <c r="J36" i="51"/>
  <c r="K36" i="51" s="1"/>
  <c r="C50" i="51" s="1"/>
  <c r="J34" i="51"/>
  <c r="K34" i="51" s="1"/>
  <c r="C48" i="51" s="1"/>
  <c r="J33" i="51"/>
  <c r="K33" i="51" s="1"/>
  <c r="C47" i="51" s="1"/>
  <c r="J32" i="51"/>
  <c r="K32" i="51" s="1"/>
  <c r="C46" i="51" s="1"/>
  <c r="J35" i="51"/>
  <c r="K35" i="51" s="1"/>
  <c r="C49" i="51" s="1"/>
  <c r="A53" i="49"/>
  <c r="E55" i="49"/>
  <c r="B64" i="49" s="1"/>
  <c r="B63" i="49" s="1"/>
  <c r="C38" i="49"/>
  <c r="C39" i="49"/>
  <c r="C40" i="49"/>
  <c r="C41" i="49"/>
  <c r="C36" i="49"/>
  <c r="C37" i="49"/>
  <c r="C43" i="49"/>
  <c r="C45" i="49" s="1"/>
  <c r="E73" i="52" l="1"/>
  <c r="D79" i="52"/>
  <c r="E79" i="52" s="1"/>
  <c r="C52" i="51"/>
  <c r="C53" i="51"/>
  <c r="C54" i="51" s="1"/>
  <c r="E91" i="51" s="1"/>
  <c r="E94" i="51" s="1"/>
  <c r="E95" i="51" s="1"/>
  <c r="C64" i="49"/>
  <c r="D64" i="49" s="1"/>
  <c r="E64" i="49" s="1"/>
  <c r="F64" i="49" s="1"/>
  <c r="B62" i="49"/>
  <c r="C63" i="49"/>
  <c r="D63" i="49" s="1"/>
  <c r="E63" i="49" s="1"/>
  <c r="F63" i="49" s="1"/>
  <c r="C42" i="49"/>
  <c r="D73" i="52" l="1"/>
  <c r="D80" i="52"/>
  <c r="E80" i="52" s="1"/>
  <c r="B61" i="49"/>
  <c r="C62" i="49"/>
  <c r="D62" i="49" s="1"/>
  <c r="E62" i="49" s="1"/>
  <c r="F62" i="49" s="1"/>
  <c r="C73" i="52" l="1"/>
  <c r="D82" i="52" s="1"/>
  <c r="E82" i="52" s="1"/>
  <c r="D81" i="52"/>
  <c r="E81" i="52" s="1"/>
  <c r="B60" i="49"/>
  <c r="C61" i="49"/>
  <c r="D61" i="49" s="1"/>
  <c r="E61" i="49" s="1"/>
  <c r="F61" i="49" s="1"/>
  <c r="E83" i="52" l="1"/>
  <c r="E84" i="52" s="1"/>
  <c r="B59" i="49"/>
  <c r="C60" i="49"/>
  <c r="D60" i="49" s="1"/>
  <c r="E60" i="49" s="1"/>
  <c r="F60" i="49" s="1"/>
  <c r="C59" i="49" l="1"/>
  <c r="D59" i="49" s="1"/>
  <c r="E59" i="49" s="1"/>
  <c r="F59" i="49" s="1"/>
  <c r="B58" i="49"/>
  <c r="C58" i="49" s="1"/>
  <c r="D58" i="49" s="1"/>
  <c r="E58" i="49" s="1"/>
  <c r="F58" i="49" s="1"/>
  <c r="F65" i="49" l="1"/>
  <c r="F67" i="49" s="1"/>
  <c r="E70" i="48" l="1"/>
  <c r="E48" i="48"/>
  <c r="E47" i="48"/>
  <c r="E46" i="48"/>
  <c r="E45" i="48"/>
  <c r="E44" i="48"/>
  <c r="D47" i="48"/>
  <c r="D46" i="48" s="1"/>
  <c r="D45" i="48" s="1"/>
  <c r="D44" i="48" s="1"/>
  <c r="B48" i="48"/>
  <c r="B47" i="48"/>
  <c r="E75" i="48" s="1"/>
  <c r="B46" i="48"/>
  <c r="B45" i="48"/>
  <c r="B44" i="48"/>
  <c r="C48" i="48"/>
  <c r="G48" i="48" s="1"/>
  <c r="B59" i="48" s="1"/>
  <c r="C47" i="48"/>
  <c r="C46" i="48"/>
  <c r="C45" i="48"/>
  <c r="C44" i="48"/>
  <c r="A36" i="47"/>
  <c r="A50" i="47" s="1"/>
  <c r="A35" i="47"/>
  <c r="A49" i="47" s="1"/>
  <c r="A34" i="47"/>
  <c r="A48" i="47" s="1"/>
  <c r="B36" i="47"/>
  <c r="B50" i="47" s="1"/>
  <c r="B35" i="47"/>
  <c r="B49" i="47" s="1"/>
  <c r="B34" i="47"/>
  <c r="C34" i="47" s="1"/>
  <c r="G51" i="47"/>
  <c r="F51" i="47"/>
  <c r="E49" i="47"/>
  <c r="F46" i="47"/>
  <c r="E46" i="47" s="1"/>
  <c r="D46" i="47" s="1"/>
  <c r="Y47" i="47"/>
  <c r="R47" i="47"/>
  <c r="N47" i="47"/>
  <c r="R44" i="47" s="1"/>
  <c r="Q42" i="47"/>
  <c r="U42" i="47" s="1"/>
  <c r="Y42" i="47" s="1"/>
  <c r="AC42" i="47" s="1"/>
  <c r="Y33" i="47"/>
  <c r="R33" i="47"/>
  <c r="N33" i="47"/>
  <c r="R30" i="47" s="1"/>
  <c r="G36" i="47"/>
  <c r="G35" i="47"/>
  <c r="G37" i="47" s="1"/>
  <c r="D34" i="47"/>
  <c r="E33" i="47" s="1"/>
  <c r="F32" i="47"/>
  <c r="E32" i="47" s="1"/>
  <c r="D32" i="47" s="1"/>
  <c r="D64" i="46"/>
  <c r="D63" i="46" s="1"/>
  <c r="D62" i="46" s="1"/>
  <c r="D61" i="46" s="1"/>
  <c r="D60" i="46" s="1"/>
  <c r="D59" i="46" s="1"/>
  <c r="J65" i="46"/>
  <c r="G65" i="46"/>
  <c r="I65" i="46" s="1"/>
  <c r="F65" i="46"/>
  <c r="C65" i="46"/>
  <c r="E65" i="46" s="1"/>
  <c r="H64" i="46"/>
  <c r="H63" i="46" s="1"/>
  <c r="H62" i="46" s="1"/>
  <c r="G64" i="46"/>
  <c r="C64" i="46"/>
  <c r="B64" i="46"/>
  <c r="B63" i="46" s="1"/>
  <c r="B62" i="46" s="1"/>
  <c r="B61" i="46" s="1"/>
  <c r="B60" i="46" s="1"/>
  <c r="B59" i="46" s="1"/>
  <c r="G63" i="46"/>
  <c r="C63" i="46"/>
  <c r="G62" i="46"/>
  <c r="C62" i="46"/>
  <c r="G61" i="46"/>
  <c r="C61" i="46"/>
  <c r="G60" i="46"/>
  <c r="C60" i="46"/>
  <c r="G59" i="46"/>
  <c r="C59" i="46"/>
  <c r="E34" i="46"/>
  <c r="E76" i="48" l="1"/>
  <c r="E77" i="48" s="1"/>
  <c r="F45" i="48"/>
  <c r="F46" i="48"/>
  <c r="E82" i="48"/>
  <c r="E71" i="48"/>
  <c r="F44" i="48"/>
  <c r="F47" i="48"/>
  <c r="F48" i="48"/>
  <c r="H48" i="48" s="1"/>
  <c r="G47" i="48"/>
  <c r="B58" i="48" s="1"/>
  <c r="G44" i="48"/>
  <c r="B55" i="48" s="1"/>
  <c r="G46" i="48"/>
  <c r="B57" i="48" s="1"/>
  <c r="G45" i="48"/>
  <c r="B56" i="48" s="1"/>
  <c r="B48" i="47"/>
  <c r="C48" i="47" s="1"/>
  <c r="V44" i="47"/>
  <c r="AD44" i="47" s="1"/>
  <c r="D48" i="47"/>
  <c r="F34" i="47"/>
  <c r="F35" i="47" s="1"/>
  <c r="D33" i="47"/>
  <c r="V30" i="47"/>
  <c r="AD30" i="47" s="1"/>
  <c r="C35" i="47"/>
  <c r="C36" i="47" s="1"/>
  <c r="D39" i="47" s="1"/>
  <c r="D41" i="47" s="1"/>
  <c r="C49" i="47"/>
  <c r="C50" i="47" s="1"/>
  <c r="E35" i="47"/>
  <c r="E34" i="47" s="1"/>
  <c r="K65" i="46"/>
  <c r="E64" i="46"/>
  <c r="I64" i="46"/>
  <c r="J64" i="46"/>
  <c r="I62" i="46"/>
  <c r="I68" i="46" s="1"/>
  <c r="I63" i="46"/>
  <c r="J62" i="46"/>
  <c r="H61" i="46"/>
  <c r="J63" i="46"/>
  <c r="F64" i="46"/>
  <c r="K64" i="46" s="1"/>
  <c r="E78" i="48" l="1"/>
  <c r="E84" i="48"/>
  <c r="H47" i="48"/>
  <c r="H46" i="48"/>
  <c r="H44" i="48"/>
  <c r="H45" i="48"/>
  <c r="D37" i="47"/>
  <c r="D47" i="47"/>
  <c r="E37" i="47"/>
  <c r="D51" i="47"/>
  <c r="G39" i="47"/>
  <c r="G41" i="47" s="1"/>
  <c r="F53" i="47"/>
  <c r="F55" i="47" s="1"/>
  <c r="F39" i="47"/>
  <c r="F41" i="47" s="1"/>
  <c r="E39" i="47"/>
  <c r="E41" i="47" s="1"/>
  <c r="G53" i="47"/>
  <c r="G55" i="47" s="1"/>
  <c r="F37" i="47"/>
  <c r="F63" i="46"/>
  <c r="K63" i="46"/>
  <c r="J61" i="46"/>
  <c r="H60" i="46"/>
  <c r="E63" i="46"/>
  <c r="I61" i="46"/>
  <c r="G57" i="47" l="1"/>
  <c r="F57" i="47"/>
  <c r="E47" i="47"/>
  <c r="D53" i="47"/>
  <c r="D55" i="47" s="1"/>
  <c r="D57" i="47" s="1"/>
  <c r="I60" i="46"/>
  <c r="J60" i="46"/>
  <c r="H59" i="46"/>
  <c r="F62" i="46"/>
  <c r="K62" i="46" s="1"/>
  <c r="E62" i="46"/>
  <c r="E68" i="46" s="1"/>
  <c r="E48" i="47" l="1"/>
  <c r="E51" i="47" s="1"/>
  <c r="F61" i="46"/>
  <c r="K61" i="46" s="1"/>
  <c r="E61" i="46"/>
  <c r="J59" i="46"/>
  <c r="I59" i="46"/>
  <c r="I67" i="46" s="1"/>
  <c r="E53" i="47" l="1"/>
  <c r="E55" i="47" s="1"/>
  <c r="E57" i="47" s="1"/>
  <c r="F60" i="46"/>
  <c r="K60" i="46" s="1"/>
  <c r="E60" i="46"/>
  <c r="C35" i="43"/>
  <c r="C34" i="43"/>
  <c r="C36" i="43" s="1"/>
  <c r="C37" i="43" s="1"/>
  <c r="G24" i="43"/>
  <c r="D24" i="43"/>
  <c r="E24" i="43" s="1"/>
  <c r="L24" i="43" s="1"/>
  <c r="C24" i="43"/>
  <c r="B24" i="43"/>
  <c r="H24" i="43" s="1"/>
  <c r="G23" i="43"/>
  <c r="D23" i="43"/>
  <c r="E23" i="43" s="1"/>
  <c r="C23" i="43"/>
  <c r="B23" i="43"/>
  <c r="G22" i="43"/>
  <c r="D22" i="43"/>
  <c r="E22" i="43" s="1"/>
  <c r="L22" i="43" s="1"/>
  <c r="C22" i="43"/>
  <c r="B22" i="43"/>
  <c r="G21" i="43"/>
  <c r="D21" i="43"/>
  <c r="E21" i="43" s="1"/>
  <c r="L21" i="43" s="1"/>
  <c r="C21" i="43"/>
  <c r="B21" i="43"/>
  <c r="C61" i="42"/>
  <c r="D61" i="42" s="1"/>
  <c r="C60" i="42"/>
  <c r="D60" i="42" s="1"/>
  <c r="C59" i="42"/>
  <c r="D59" i="42" s="1"/>
  <c r="E75" i="42"/>
  <c r="C75" i="42"/>
  <c r="E74" i="42"/>
  <c r="C74" i="42"/>
  <c r="E73" i="42"/>
  <c r="C73" i="42"/>
  <c r="E72" i="42"/>
  <c r="C72" i="42"/>
  <c r="G71" i="42"/>
  <c r="E71" i="42"/>
  <c r="C71" i="42"/>
  <c r="E70" i="42"/>
  <c r="C70" i="42"/>
  <c r="B70" i="42"/>
  <c r="H68" i="42" s="1"/>
  <c r="H69" i="42"/>
  <c r="F61" i="42"/>
  <c r="E60" i="42"/>
  <c r="F60" i="42" s="1"/>
  <c r="F25" i="42"/>
  <c r="F24" i="42"/>
  <c r="C52" i="41"/>
  <c r="C51" i="41"/>
  <c r="C50" i="41"/>
  <c r="C49" i="41"/>
  <c r="B49" i="41"/>
  <c r="B50" i="41" s="1"/>
  <c r="B51" i="41" s="1"/>
  <c r="B52" i="41" s="1"/>
  <c r="D38" i="41"/>
  <c r="C38" i="41"/>
  <c r="F59" i="46" l="1"/>
  <c r="K59" i="46" s="1"/>
  <c r="K66" i="46" s="1"/>
  <c r="E59" i="46"/>
  <c r="E67" i="46" s="1"/>
  <c r="H22" i="43"/>
  <c r="H23" i="43"/>
  <c r="F24" i="43"/>
  <c r="H21" i="43"/>
  <c r="J21" i="43" s="1"/>
  <c r="G25" i="43"/>
  <c r="F22" i="43"/>
  <c r="F23" i="43"/>
  <c r="L23" i="43"/>
  <c r="J22" i="43"/>
  <c r="J23" i="43"/>
  <c r="J24" i="43"/>
  <c r="F21" i="43"/>
  <c r="F26" i="42"/>
  <c r="H71" i="42"/>
  <c r="G60" i="42"/>
  <c r="G61" i="42"/>
  <c r="B71" i="42"/>
  <c r="B72" i="42" s="1"/>
  <c r="B73" i="42" s="1"/>
  <c r="B74" i="42" s="1"/>
  <c r="B75" i="42" s="1"/>
  <c r="E59" i="42"/>
  <c r="F59" i="42" s="1"/>
  <c r="G59" i="42" s="1"/>
  <c r="G72" i="42"/>
  <c r="G73" i="42" s="1"/>
  <c r="D70" i="42"/>
  <c r="D71" i="42" s="1"/>
  <c r="F71" i="42" s="1"/>
  <c r="H70" i="42"/>
  <c r="F25" i="43" l="1"/>
  <c r="J25" i="43"/>
  <c r="F70" i="42"/>
  <c r="H72" i="42"/>
  <c r="G63" i="42"/>
  <c r="I71" i="42" s="1"/>
  <c r="D72" i="42"/>
  <c r="F72" i="42" s="1"/>
  <c r="G74" i="42"/>
  <c r="H73" i="42"/>
  <c r="J27" i="43" l="1"/>
  <c r="K22" i="43" s="1"/>
  <c r="M22" i="43" s="1"/>
  <c r="N22" i="43" s="1"/>
  <c r="O22" i="43" s="1"/>
  <c r="I73" i="42"/>
  <c r="I70" i="42"/>
  <c r="J70" i="42" s="1"/>
  <c r="I72" i="42"/>
  <c r="J71" i="42"/>
  <c r="G75" i="42"/>
  <c r="H75" i="42" s="1"/>
  <c r="I75" i="42" s="1"/>
  <c r="H74" i="42"/>
  <c r="I74" i="42" s="1"/>
  <c r="D73" i="42"/>
  <c r="F73" i="42" s="1"/>
  <c r="A39" i="41"/>
  <c r="A40" i="41" s="1"/>
  <c r="A41" i="41" s="1"/>
  <c r="A42" i="41" s="1"/>
  <c r="C90" i="37"/>
  <c r="C101" i="37" s="1"/>
  <c r="C87" i="37"/>
  <c r="C83" i="37"/>
  <c r="D75" i="37"/>
  <c r="C72" i="37"/>
  <c r="D72" i="37" s="1"/>
  <c r="D71" i="37"/>
  <c r="C68" i="37"/>
  <c r="D68" i="37" s="1"/>
  <c r="B68" i="37"/>
  <c r="B72" i="37" s="1"/>
  <c r="B76" i="37" s="1"/>
  <c r="D67" i="37"/>
  <c r="D62" i="37"/>
  <c r="E62" i="37" s="1"/>
  <c r="C59" i="37"/>
  <c r="D59" i="37" s="1"/>
  <c r="E59" i="37" s="1"/>
  <c r="D58" i="37"/>
  <c r="E58" i="37" s="1"/>
  <c r="C55" i="37"/>
  <c r="D55" i="37" s="1"/>
  <c r="D88" i="37" s="1"/>
  <c r="B55" i="37"/>
  <c r="B59" i="37" s="1"/>
  <c r="B63" i="37" s="1"/>
  <c r="D54" i="37"/>
  <c r="E54" i="37" s="1"/>
  <c r="C50" i="37"/>
  <c r="C80" i="37" s="1"/>
  <c r="D49" i="37"/>
  <c r="E49" i="37" s="1"/>
  <c r="F49" i="37" s="1"/>
  <c r="D46" i="37"/>
  <c r="E46" i="37" s="1"/>
  <c r="D45" i="37"/>
  <c r="E45" i="37" s="1"/>
  <c r="F45" i="37" s="1"/>
  <c r="E42" i="37"/>
  <c r="F42" i="37" s="1"/>
  <c r="D42" i="37"/>
  <c r="B42" i="37"/>
  <c r="B46" i="37" s="1"/>
  <c r="B50" i="37" s="1"/>
  <c r="D41" i="37"/>
  <c r="E41" i="37" s="1"/>
  <c r="F41" i="37" s="1"/>
  <c r="K23" i="43" l="1"/>
  <c r="M23" i="43" s="1"/>
  <c r="N23" i="43" s="1"/>
  <c r="O23" i="43" s="1"/>
  <c r="K21" i="43"/>
  <c r="M21" i="43" s="1"/>
  <c r="N21" i="43" s="1"/>
  <c r="K24" i="43"/>
  <c r="M24" i="43" s="1"/>
  <c r="N24" i="43" s="1"/>
  <c r="O24" i="43" s="1"/>
  <c r="J72" i="42"/>
  <c r="D74" i="42"/>
  <c r="F74" i="42" s="1"/>
  <c r="J73" i="42"/>
  <c r="B42" i="41"/>
  <c r="C98" i="37"/>
  <c r="E50" i="37"/>
  <c r="E80" i="37" s="1"/>
  <c r="C89" i="37"/>
  <c r="C63" i="37"/>
  <c r="C81" i="37" s="1"/>
  <c r="D50" i="37"/>
  <c r="D80" i="37" s="1"/>
  <c r="E87" i="37"/>
  <c r="E98" i="37" s="1"/>
  <c r="C88" i="37"/>
  <c r="C99" i="37" s="1"/>
  <c r="D89" i="37"/>
  <c r="D76" i="37"/>
  <c r="D82" i="37" s="1"/>
  <c r="F87" i="37"/>
  <c r="F50" i="37"/>
  <c r="F80" i="37" s="1"/>
  <c r="D63" i="37"/>
  <c r="D81" i="37" s="1"/>
  <c r="D99" i="37" s="1"/>
  <c r="C76" i="37"/>
  <c r="C82" i="37" s="1"/>
  <c r="E55" i="37"/>
  <c r="D87" i="37"/>
  <c r="K25" i="43" l="1"/>
  <c r="O21" i="43"/>
  <c r="O25" i="43" s="1"/>
  <c r="N25" i="43"/>
  <c r="D75" i="42"/>
  <c r="J74" i="42"/>
  <c r="B41" i="41"/>
  <c r="D42" i="41"/>
  <c r="C42" i="41"/>
  <c r="F98" i="37"/>
  <c r="D98" i="37"/>
  <c r="D100" i="37"/>
  <c r="F128" i="37"/>
  <c r="F130" i="37" s="1"/>
  <c r="C100" i="37"/>
  <c r="F127" i="37"/>
  <c r="D130" i="37" s="1"/>
  <c r="E88" i="37"/>
  <c r="E63" i="37"/>
  <c r="E81" i="37" s="1"/>
  <c r="F75" i="42" l="1"/>
  <c r="J75" i="42" s="1"/>
  <c r="J76" i="42" s="1"/>
  <c r="E42" i="41"/>
  <c r="F42" i="41" s="1"/>
  <c r="D52" i="41" s="1"/>
  <c r="E52" i="41" s="1"/>
  <c r="B40" i="41"/>
  <c r="C41" i="41"/>
  <c r="D41" i="41"/>
  <c r="H130" i="37"/>
  <c r="E99" i="37"/>
  <c r="E41" i="41" l="1"/>
  <c r="F41" i="41" s="1"/>
  <c r="D51" i="41" s="1"/>
  <c r="E51" i="41" s="1"/>
  <c r="B39" i="41"/>
  <c r="D40" i="41"/>
  <c r="C40" i="41"/>
  <c r="Q28" i="47"/>
  <c r="U28" i="47" s="1"/>
  <c r="Y28" i="47" s="1"/>
  <c r="AC28" i="47" s="1"/>
  <c r="E40" i="41" l="1"/>
  <c r="F40" i="41" s="1"/>
  <c r="D50" i="41" s="1"/>
  <c r="E50" i="41" s="1"/>
  <c r="C39" i="41"/>
  <c r="D39" i="41"/>
  <c r="E39" i="41" l="1"/>
  <c r="F39" i="41" s="1"/>
  <c r="D49" i="41" s="1"/>
  <c r="E49" i="41" s="1"/>
</calcChain>
</file>

<file path=xl/sharedStrings.xml><?xml version="1.0" encoding="utf-8"?>
<sst xmlns="http://schemas.openxmlformats.org/spreadsheetml/2006/main" count="717" uniqueCount="471">
  <si>
    <t>(c)</t>
  </si>
  <si>
    <t>ANSWER:</t>
  </si>
  <si>
    <t>(d)</t>
  </si>
  <si>
    <t>(e)</t>
  </si>
  <si>
    <t>(a)</t>
  </si>
  <si>
    <t>(b)</t>
  </si>
  <si>
    <t>(f)</t>
  </si>
  <si>
    <r>
      <t>(</t>
    </r>
    <r>
      <rPr>
        <i/>
        <sz val="12"/>
        <color rgb="FF002060"/>
        <rFont val="Times New Roman"/>
        <family val="1"/>
      </rPr>
      <t>4 points</t>
    </r>
    <r>
      <rPr>
        <sz val="12"/>
        <color rgb="FF002060"/>
        <rFont val="Times New Roman"/>
        <family val="1"/>
      </rPr>
      <t>)</t>
    </r>
  </si>
  <si>
    <t>Question 1</t>
  </si>
  <si>
    <r>
      <t>(</t>
    </r>
    <r>
      <rPr>
        <i/>
        <sz val="12"/>
        <color rgb="FF002060"/>
        <rFont val="Times New Roman"/>
        <family val="1"/>
      </rPr>
      <t>5 points</t>
    </r>
    <r>
      <rPr>
        <sz val="12"/>
        <color rgb="FF002060"/>
        <rFont val="Times New Roman"/>
        <family val="1"/>
      </rPr>
      <t>)</t>
    </r>
  </si>
  <si>
    <t>You may choose to draw on this diagram to assist you in responding to this question. Use of this diagram is not required for full credit.</t>
  </si>
  <si>
    <r>
      <t>(</t>
    </r>
    <r>
      <rPr>
        <i/>
        <sz val="12"/>
        <color rgb="FF002060"/>
        <rFont val="Times New Roman"/>
        <family val="1"/>
      </rPr>
      <t>6 points</t>
    </r>
    <r>
      <rPr>
        <sz val="12"/>
        <color rgb="FF002060"/>
        <rFont val="Times New Roman"/>
        <family val="1"/>
      </rPr>
      <t>)</t>
    </r>
  </si>
  <si>
    <t>An insurer began writing policies in 2019.  You are given the following:</t>
  </si>
  <si>
    <t>Accident</t>
  </si>
  <si>
    <t>Year</t>
  </si>
  <si>
    <t>Reported Claims (000)</t>
  </si>
  <si>
    <t>Paid Claims (000)</t>
  </si>
  <si>
    <t>It was subsequently discovered that the following claims and their transactions were not captured in the triangles.</t>
  </si>
  <si>
    <t>Claim</t>
  </si>
  <si>
    <t>ID</t>
  </si>
  <si>
    <t>Occurrence</t>
  </si>
  <si>
    <t>Date</t>
  </si>
  <si>
    <t>Trans #</t>
  </si>
  <si>
    <t>Claim ID</t>
  </si>
  <si>
    <t>Transaction Date</t>
  </si>
  <si>
    <t>Transaction Description</t>
  </si>
  <si>
    <t>Change in Case Estimate (000)</t>
  </si>
  <si>
    <t>Payment (000)</t>
  </si>
  <si>
    <t>Open new claim file</t>
  </si>
  <si>
    <t>Payment &amp; change in case estimate</t>
  </si>
  <si>
    <t>Payment</t>
  </si>
  <si>
    <r>
      <t>(</t>
    </r>
    <r>
      <rPr>
        <i/>
        <sz val="12"/>
        <color rgb="FF002060"/>
        <rFont val="Times New Roman"/>
        <family val="1"/>
      </rPr>
      <t>3 points</t>
    </r>
    <r>
      <rPr>
        <sz val="12"/>
        <color rgb="FF002060"/>
        <rFont val="Times New Roman"/>
        <family val="1"/>
      </rPr>
      <t>)  Update both triangles to include the missing transactions.</t>
    </r>
  </si>
  <si>
    <r>
      <t>(</t>
    </r>
    <r>
      <rPr>
        <i/>
        <sz val="12"/>
        <color rgb="FF002060"/>
        <rFont val="Times New Roman"/>
        <family val="1"/>
      </rPr>
      <t>1 point</t>
    </r>
    <r>
      <rPr>
        <sz val="12"/>
        <color rgb="FF002060"/>
        <rFont val="Times New Roman"/>
        <family val="1"/>
      </rPr>
      <t>)  Identify an anomaly in the triangle of ratios of paid claims to reported claims based on the corrected triangles from part (a).</t>
    </r>
  </si>
  <si>
    <r>
      <t>(</t>
    </r>
    <r>
      <rPr>
        <i/>
        <sz val="12"/>
        <color rgb="FF002060"/>
        <rFont val="Times New Roman"/>
        <family val="1"/>
      </rPr>
      <t>1 point</t>
    </r>
    <r>
      <rPr>
        <sz val="12"/>
        <color rgb="FF002060"/>
        <rFont val="Times New Roman"/>
        <family val="1"/>
      </rPr>
      <t>)  Describe two operational changes that could have caused the anomaly you identified in part (b).</t>
    </r>
  </si>
  <si>
    <t>You are given the following carried IBNR reserves:</t>
  </si>
  <si>
    <t>IBNR Reserves (000)</t>
  </si>
  <si>
    <r>
      <t>(</t>
    </r>
    <r>
      <rPr>
        <i/>
        <sz val="12"/>
        <color rgb="FF002060"/>
        <rFont val="Times New Roman"/>
        <family val="1"/>
      </rPr>
      <t>1 point</t>
    </r>
    <r>
      <rPr>
        <sz val="12"/>
        <color rgb="FF002060"/>
        <rFont val="Times New Roman"/>
        <family val="1"/>
      </rPr>
      <t>)  Calculate incurred claims for calendar year 2021.</t>
    </r>
  </si>
  <si>
    <t>Question 2</t>
  </si>
  <si>
    <t>The following data triangles are provided here for your reference, but the response for question 2 is to be provided in the Word document.</t>
  </si>
  <si>
    <t>Estimated Ultimate Claims Derived from Paid Claims</t>
  </si>
  <si>
    <t>Accident Year (AY)</t>
  </si>
  <si>
    <t>Paid Claims</t>
  </si>
  <si>
    <t>Development Method</t>
  </si>
  <si>
    <t>Frequency- Severity Method</t>
  </si>
  <si>
    <t>Expected Method</t>
  </si>
  <si>
    <t>Bornhuetter Ferguson Method</t>
  </si>
  <si>
    <t>Total</t>
  </si>
  <si>
    <t>Estimated Ultimate Claims Derived from Reported Claims</t>
  </si>
  <si>
    <t>Reported Claims</t>
  </si>
  <si>
    <t>Question 3</t>
  </si>
  <si>
    <t xml:space="preserve">You are determining a loading for large claims on a homeowners book of business for a ratemaking exercise. </t>
  </si>
  <si>
    <t>You are given the following:</t>
  </si>
  <si>
    <t>Accident Year</t>
  </si>
  <si>
    <t>Selected Ultimate Claims at 500,000 Limit</t>
  </si>
  <si>
    <t>Selected Ultimate Claims at Total Limits</t>
  </si>
  <si>
    <t>·       New rates are effective October 1, 2023 for one year.</t>
  </si>
  <si>
    <t>·       All policies are written for 6-month policy terms.</t>
  </si>
  <si>
    <t>·       The experience for this homeowners book of business is considered fully credible.</t>
  </si>
  <si>
    <t>·       The annual severity trend at 500,000 limit is</t>
  </si>
  <si>
    <t>for the prospective rating period.</t>
  </si>
  <si>
    <t>·       The indicated large claims loading for 500,000 to total limits is</t>
  </si>
  <si>
    <r>
      <t>(</t>
    </r>
    <r>
      <rPr>
        <i/>
        <sz val="12"/>
        <color rgb="FF002060"/>
        <rFont val="Times New Roman"/>
        <family val="1"/>
      </rPr>
      <t>1 point</t>
    </r>
    <r>
      <rPr>
        <sz val="12"/>
        <color rgb="FF002060"/>
        <rFont val="Times New Roman"/>
        <family val="1"/>
      </rPr>
      <t>)  Describe how the calculations in part (b) are affected when the experience is less than fully credible.</t>
    </r>
  </si>
  <si>
    <t>Question 4</t>
  </si>
  <si>
    <t>You are estimating unpaid ULAE as of December 31, 2022 using the Wendy Johnson count-based method.  You are given the following.  Forecasted incremental reported counts are highlighted with a shaded background.</t>
  </si>
  <si>
    <t>Incremental Reported Counts</t>
  </si>
  <si>
    <t>Ultimate</t>
  </si>
  <si>
    <t>Year (AY)</t>
  </si>
  <si>
    <t>Counts</t>
  </si>
  <si>
    <t>Selected Ratios of Reported Counts to Ultimate Counts</t>
  </si>
  <si>
    <t>You are given the following additional information:</t>
  </si>
  <si>
    <t>Incremental Closed Counts</t>
  </si>
  <si>
    <t>Calendar Year</t>
  </si>
  <si>
    <t>Paid ULAE</t>
  </si>
  <si>
    <t>Newly Reported Counts</t>
  </si>
  <si>
    <t>Open Counts</t>
  </si>
  <si>
    <t>Closed Counts</t>
  </si>
  <si>
    <t>Use the following weights for the three types of claim counts:</t>
  </si>
  <si>
    <t>Newly reported counts</t>
  </si>
  <si>
    <t>Open counts</t>
  </si>
  <si>
    <t>Closed counts</t>
  </si>
  <si>
    <t xml:space="preserve">·       The past annual expense trend rate through 2023 is </t>
  </si>
  <si>
    <t>·       The future annual expense trend rate after 2023 is</t>
  </si>
  <si>
    <r>
      <t>(</t>
    </r>
    <r>
      <rPr>
        <i/>
        <sz val="12"/>
        <color rgb="FF002060"/>
        <rFont val="Times New Roman"/>
        <family val="1"/>
      </rPr>
      <t>4 points</t>
    </r>
    <r>
      <rPr>
        <sz val="12"/>
        <color rgb="FF002060"/>
        <rFont val="Times New Roman"/>
        <family val="1"/>
      </rPr>
      <t>)  Estimate unpaid ULAE as of December 31, 2022 using a simple three-year average of historical experience.</t>
    </r>
  </si>
  <si>
    <t>You are estimating IBNR as of December 31, 2022, using the Cape Cod method.  You are given the following:</t>
  </si>
  <si>
    <t>On-Level Earned Premiums</t>
  </si>
  <si>
    <t xml:space="preserve">Reported Cumulative Development Factors </t>
  </si>
  <si>
    <r>
      <t>(</t>
    </r>
    <r>
      <rPr>
        <i/>
        <sz val="12"/>
        <color rgb="FF002060"/>
        <rFont val="Times New Roman"/>
        <family val="1"/>
      </rPr>
      <t>3.5 points</t>
    </r>
    <r>
      <rPr>
        <sz val="12"/>
        <color rgb="FF002060"/>
        <rFont val="Times New Roman"/>
        <family val="1"/>
      </rPr>
      <t>)  Calculate the IBNR for all accident years using the Cape Cod method.</t>
    </r>
  </si>
  <si>
    <t>·       The annual claim trend is</t>
  </si>
  <si>
    <t xml:space="preserve">for all accidents on occurring or after January 1, 2021. </t>
  </si>
  <si>
    <t xml:space="preserve">·       A recent court decision has resulted in an estimated claim increase of </t>
  </si>
  <si>
    <r>
      <t>(</t>
    </r>
    <r>
      <rPr>
        <i/>
        <sz val="12"/>
        <color rgb="FF002060"/>
        <rFont val="Times New Roman"/>
        <family val="1"/>
      </rPr>
      <t>0.5 points</t>
    </r>
    <r>
      <rPr>
        <sz val="12"/>
        <color rgb="FF002060"/>
        <rFont val="Times New Roman"/>
        <family val="1"/>
      </rPr>
      <t>)  Calculate the accident year 2021 IBNR using the Generalized Cape Cod method and a decay factor of 0%.</t>
    </r>
  </si>
  <si>
    <t>Question 5</t>
  </si>
  <si>
    <t>Question 6</t>
  </si>
  <si>
    <r>
      <t>(</t>
    </r>
    <r>
      <rPr>
        <i/>
        <sz val="12"/>
        <color rgb="FF002060"/>
        <rFont val="Times New Roman"/>
        <family val="1"/>
      </rPr>
      <t>3 points</t>
    </r>
    <r>
      <rPr>
        <sz val="12"/>
        <color rgb="FF002060"/>
        <rFont val="Times New Roman"/>
        <family val="1"/>
      </rPr>
      <t>)</t>
    </r>
  </si>
  <si>
    <t>The response for question 6 is to be provided in the Word document.</t>
  </si>
  <si>
    <t>Question 7</t>
  </si>
  <si>
    <t>The response for question 7 is to be provided in the Word document.</t>
  </si>
  <si>
    <t>Question 8</t>
  </si>
  <si>
    <t>The two most common models for determining trend rates are linear and exponential.</t>
  </si>
  <si>
    <r>
      <t>(</t>
    </r>
    <r>
      <rPr>
        <i/>
        <sz val="12"/>
        <color rgb="FF002060"/>
        <rFont val="Times New Roman"/>
        <family val="1"/>
      </rPr>
      <t>0.5 points</t>
    </r>
    <r>
      <rPr>
        <sz val="12"/>
        <color rgb="FF002060"/>
        <rFont val="Times New Roman"/>
        <family val="1"/>
      </rPr>
      <t>)  Explain why a linear trend model may not be appropriate when trend is decreasing.</t>
    </r>
  </si>
  <si>
    <t>Earned Exposures</t>
  </si>
  <si>
    <t>Ultimate Counts</t>
  </si>
  <si>
    <t>Indicated Claim Frequency</t>
  </si>
  <si>
    <t>Indicated annual trend, using an exponential model</t>
  </si>
  <si>
    <t xml:space="preserve">   All years</t>
  </si>
  <si>
    <t xml:space="preserve">   AY2017-AY2022</t>
  </si>
  <si>
    <t xml:space="preserve">   AY2016-AY2021</t>
  </si>
  <si>
    <r>
      <t>(</t>
    </r>
    <r>
      <rPr>
        <i/>
        <sz val="12"/>
        <color rgb="FF002060"/>
        <rFont val="Times New Roman"/>
        <family val="1"/>
      </rPr>
      <t>0.5 points</t>
    </r>
    <r>
      <rPr>
        <sz val="12"/>
        <color rgb="FF002060"/>
        <rFont val="Times New Roman"/>
        <family val="1"/>
      </rPr>
      <t>)  Recommend an annual claim frequency trend to use for this line of business.  Justify your recommendation.</t>
    </r>
  </si>
  <si>
    <t>You are also given the following:</t>
  </si>
  <si>
    <t>Ultimate Severity</t>
  </si>
  <si>
    <t>·       Ultimate counts and ultimate severity were determined based on the development method.</t>
  </si>
  <si>
    <t xml:space="preserve">·       The annual severity trend is </t>
  </si>
  <si>
    <r>
      <t>(</t>
    </r>
    <r>
      <rPr>
        <i/>
        <sz val="12"/>
        <color rgb="FF002060"/>
        <rFont val="Times New Roman"/>
        <family val="1"/>
      </rPr>
      <t>3 points</t>
    </r>
    <r>
      <rPr>
        <sz val="12"/>
        <color rgb="FF002060"/>
        <rFont val="Times New Roman"/>
        <family val="1"/>
      </rPr>
      <t>)  Calculate projected ultimate claims using the development-based frequency-severity method and your recommended annual claim frequency trend.</t>
    </r>
  </si>
  <si>
    <t>Question 9</t>
  </si>
  <si>
    <t>You are conducting a ratemaking analysis and are given the following historical rate change information:</t>
  </si>
  <si>
    <t>Effective Date of Rate Change</t>
  </si>
  <si>
    <t>Rate Change</t>
  </si>
  <si>
    <t>·       Premiums are written evenly throughout the year.</t>
  </si>
  <si>
    <t>·       Premiums are earned evenly throughout the policy term.</t>
  </si>
  <si>
    <t>·       Prior to January 1, 2020, all policies were written for 12-month terms.</t>
  </si>
  <si>
    <t>·       There have been no rate changes since April 1, 2022.</t>
  </si>
  <si>
    <t>·       Since January 1, 2020, 50% of policies have been written for 12-month terms and</t>
  </si>
  <si>
    <t>50% of policies have been written for 6-month terms.</t>
  </si>
  <si>
    <r>
      <t>(</t>
    </r>
    <r>
      <rPr>
        <i/>
        <sz val="12"/>
        <color rgb="FF002060"/>
        <rFont val="Times New Roman"/>
        <family val="1"/>
      </rPr>
      <t>0.5 points</t>
    </r>
    <r>
      <rPr>
        <sz val="12"/>
        <color rgb="FF002060"/>
        <rFont val="Times New Roman"/>
        <family val="1"/>
      </rPr>
      <t>)  Provide one reason why the company would want to write more 6-month policies in this situation.</t>
    </r>
  </si>
  <si>
    <r>
      <t>(</t>
    </r>
    <r>
      <rPr>
        <i/>
        <sz val="12"/>
        <color rgb="FF002060"/>
        <rFont val="Times New Roman"/>
        <family val="1"/>
      </rPr>
      <t>3 points</t>
    </r>
    <r>
      <rPr>
        <sz val="12"/>
        <color rgb="FF002060"/>
        <rFont val="Times New Roman"/>
        <family val="1"/>
      </rPr>
      <t>)  Calculate the premium on-level factors for calendar years 2019 through 2022 to use in estimating expected claim ratios for the ratemaking analysis.</t>
    </r>
  </si>
  <si>
    <t>You also need to determine premium on-level factors to use in estimating expected claim ratios for reserves as of December 31, 2022.</t>
  </si>
  <si>
    <r>
      <t>(</t>
    </r>
    <r>
      <rPr>
        <i/>
        <sz val="12"/>
        <color rgb="FF002060"/>
        <rFont val="Times New Roman"/>
        <family val="1"/>
      </rPr>
      <t>1 point</t>
    </r>
    <r>
      <rPr>
        <sz val="12"/>
        <color rgb="FF002060"/>
        <rFont val="Times New Roman"/>
        <family val="1"/>
      </rPr>
      <t>)  Explain why the on-level factors needed for reserving would be lower than the on-level factors calculated in part (b).</t>
    </r>
  </si>
  <si>
    <t>Premiums also need to be adjusted to ultimate values in certain situations.</t>
  </si>
  <si>
    <r>
      <t>(</t>
    </r>
    <r>
      <rPr>
        <i/>
        <sz val="12"/>
        <color rgb="FF002060"/>
        <rFont val="Times New Roman"/>
        <family val="1"/>
      </rPr>
      <t>0.5 points</t>
    </r>
    <r>
      <rPr>
        <sz val="12"/>
        <color rgb="FF002060"/>
        <rFont val="Times New Roman"/>
        <family val="1"/>
      </rPr>
      <t>)  Provide one situation where actuaries would need to determine an estimate of ultimate premiums.</t>
    </r>
  </si>
  <si>
    <t>Question 10</t>
  </si>
  <si>
    <t>You are estimating ultimate claims.</t>
  </si>
  <si>
    <r>
      <t>(</t>
    </r>
    <r>
      <rPr>
        <i/>
        <sz val="12"/>
        <color rgb="FF002060"/>
        <rFont val="Times New Roman"/>
        <family val="1"/>
      </rPr>
      <t>0.5 points</t>
    </r>
    <r>
      <rPr>
        <sz val="12"/>
        <color rgb="FF002060"/>
        <rFont val="Times New Roman"/>
        <family val="1"/>
      </rPr>
      <t>)  Describe two situations where the expected method is most often used when estimating ultimate claims.</t>
    </r>
  </si>
  <si>
    <r>
      <t>(</t>
    </r>
    <r>
      <rPr>
        <i/>
        <sz val="12"/>
        <color rgb="FF002060"/>
        <rFont val="Times New Roman"/>
        <family val="1"/>
      </rPr>
      <t>0.5 points</t>
    </r>
    <r>
      <rPr>
        <sz val="12"/>
        <color rgb="FF002060"/>
        <rFont val="Times New Roman"/>
        <family val="1"/>
      </rPr>
      <t>)  Describe the primary assumption of the expected method.</t>
    </r>
  </si>
  <si>
    <t>You are given the following as of December 31, 2022.</t>
  </si>
  <si>
    <t>Projected Ultimate Claims (000) Based on Development Method</t>
  </si>
  <si>
    <t>Earned Premiums (000)</t>
  </si>
  <si>
    <t>Earned Exposures (000)</t>
  </si>
  <si>
    <t xml:space="preserve">Premium On Level Factors </t>
  </si>
  <si>
    <t>The annual trend rate for claim ratios and pure premiums is</t>
  </si>
  <si>
    <r>
      <t>(</t>
    </r>
    <r>
      <rPr>
        <i/>
        <sz val="12"/>
        <color rgb="FF002060"/>
        <rFont val="Times New Roman"/>
        <family val="1"/>
      </rPr>
      <t>1.5 points</t>
    </r>
    <r>
      <rPr>
        <sz val="12"/>
        <color rgb="FF002060"/>
        <rFont val="Times New Roman"/>
        <family val="1"/>
      </rPr>
      <t xml:space="preserve">)  Calculate the expected claim ratios for each year at the 2022 cost level using reported claims. </t>
    </r>
  </si>
  <si>
    <r>
      <t>(</t>
    </r>
    <r>
      <rPr>
        <i/>
        <sz val="12"/>
        <color rgb="FF002060"/>
        <rFont val="Times New Roman"/>
        <family val="1"/>
      </rPr>
      <t>0.5 points</t>
    </r>
    <r>
      <rPr>
        <sz val="12"/>
        <color rgb="FF002060"/>
        <rFont val="Times New Roman"/>
        <family val="1"/>
      </rPr>
      <t>)  Calculate the pure premiums for each year at the 2022 cost level using reported claims.</t>
    </r>
  </si>
  <si>
    <r>
      <t>(</t>
    </r>
    <r>
      <rPr>
        <i/>
        <sz val="12"/>
        <color rgb="FF002060"/>
        <rFont val="Times New Roman"/>
        <family val="1"/>
      </rPr>
      <t>2 points</t>
    </r>
    <r>
      <rPr>
        <sz val="12"/>
        <color rgb="FF002060"/>
        <rFont val="Times New Roman"/>
        <family val="1"/>
      </rPr>
      <t>)  Calculate the accident year 2021 ultimate claims using the Bornhuetter Ferguson method and:</t>
    </r>
  </si>
  <si>
    <t>(i)</t>
  </si>
  <si>
    <t>(ii)</t>
  </si>
  <si>
    <t xml:space="preserve">A selected expected claim ratio of </t>
  </si>
  <si>
    <t xml:space="preserve">A selected pure premium of </t>
  </si>
  <si>
    <t xml:space="preserve"> at the 2022 cost level</t>
  </si>
  <si>
    <t>Question 11</t>
  </si>
  <si>
    <t>You are analyzing expenses for ratemaking.  The trend in fixed expenses is often analyzed separately from the trend in average premiums.</t>
  </si>
  <si>
    <r>
      <t>(</t>
    </r>
    <r>
      <rPr>
        <i/>
        <sz val="12"/>
        <color rgb="FF002060"/>
        <rFont val="Times New Roman"/>
        <family val="1"/>
      </rPr>
      <t>0.5 points</t>
    </r>
    <r>
      <rPr>
        <sz val="12"/>
        <color rgb="FF002060"/>
        <rFont val="Times New Roman"/>
        <family val="1"/>
      </rPr>
      <t>)  Identify why a separate trending procedure for fixed expenses may not be required when analyzed on a per-exposure basis.</t>
    </r>
  </si>
  <si>
    <t>Fixed Expenses</t>
  </si>
  <si>
    <t>Earned Premiums</t>
  </si>
  <si>
    <t>Earned Premiums at Current Rates</t>
  </si>
  <si>
    <t>·       All policies are written for 12-month policy terms.</t>
  </si>
  <si>
    <t xml:space="preserve">·       Premiums are written evenly throughout the year. </t>
  </si>
  <si>
    <t xml:space="preserve">·       Premiums are earned and fixed expenses are incurred evenly throughout the policy term. </t>
  </si>
  <si>
    <t xml:space="preserve">·       New rates are effective </t>
  </si>
  <si>
    <t xml:space="preserve"> for one year. </t>
  </si>
  <si>
    <r>
      <t>(</t>
    </r>
    <r>
      <rPr>
        <i/>
        <sz val="12"/>
        <color rgb="FF002060"/>
        <rFont val="Times New Roman"/>
        <family val="1"/>
      </rPr>
      <t>2 points</t>
    </r>
    <r>
      <rPr>
        <sz val="12"/>
        <color rgb="FF002060"/>
        <rFont val="Times New Roman"/>
        <family val="1"/>
      </rPr>
      <t>)  Recommend an annual fixed expense trend.  Justify your recommendation.</t>
    </r>
  </si>
  <si>
    <r>
      <t>(</t>
    </r>
    <r>
      <rPr>
        <i/>
        <sz val="12"/>
        <color rgb="FF002060"/>
        <rFont val="Times New Roman"/>
        <family val="1"/>
      </rPr>
      <t>2.5 points</t>
    </r>
    <r>
      <rPr>
        <sz val="12"/>
        <color rgb="FF002060"/>
        <rFont val="Times New Roman"/>
        <family val="1"/>
      </rPr>
      <t>)  Recommend a fixed expense ratio to be used in ratemaking.  Justify your recommendation.</t>
    </r>
  </si>
  <si>
    <t>Question 12</t>
  </si>
  <si>
    <t>You are conducting a ratemaking analysis and are given the following:</t>
  </si>
  <si>
    <t>Earned Premiums at Current Rate Level</t>
  </si>
  <si>
    <t>Ultimate Claims</t>
  </si>
  <si>
    <t>·       The square root rule is used for partial credibility.</t>
  </si>
  <si>
    <t xml:space="preserve">·       The historical annual claim frequency trend was </t>
  </si>
  <si>
    <t xml:space="preserve">·       The annual claim frequency trend is expected to increase to </t>
  </si>
  <si>
    <t xml:space="preserve"> for all accidents occurring after December 31, 2022.</t>
  </si>
  <si>
    <t xml:space="preserve">·       The historical annual claim severity trend was </t>
  </si>
  <si>
    <t xml:space="preserve"> and is not expected to change in the future.</t>
  </si>
  <si>
    <t xml:space="preserve"> for one year.</t>
  </si>
  <si>
    <t xml:space="preserve">·       The new rates are effective </t>
  </si>
  <si>
    <t xml:space="preserve"> ultimate counts.</t>
  </si>
  <si>
    <t xml:space="preserve">·       The full credibility standard is </t>
  </si>
  <si>
    <r>
      <t>(</t>
    </r>
    <r>
      <rPr>
        <i/>
        <sz val="12"/>
        <color rgb="FF002060"/>
        <rFont val="Times New Roman"/>
        <family val="1"/>
      </rPr>
      <t>2 points</t>
    </r>
    <r>
      <rPr>
        <sz val="12"/>
        <color rgb="FF002060"/>
        <rFont val="Times New Roman"/>
        <family val="1"/>
      </rPr>
      <t>)  Calculate the trended pure premiums for each accident year.</t>
    </r>
  </si>
  <si>
    <r>
      <t>(</t>
    </r>
    <r>
      <rPr>
        <i/>
        <sz val="12"/>
        <color rgb="FF002060"/>
        <rFont val="Times New Roman"/>
        <family val="1"/>
      </rPr>
      <t>1 point</t>
    </r>
    <r>
      <rPr>
        <sz val="12"/>
        <color rgb="FF002060"/>
        <rFont val="Times New Roman"/>
        <family val="1"/>
      </rPr>
      <t>)  Recommend a trended pure premium.  Justify your recommendation.</t>
    </r>
  </si>
  <si>
    <t>·       The complement of credibility is derived using the average pure premium underlying the current rates adjusted to the cost level of the</t>
  </si>
  <si>
    <t xml:space="preserve"> forecast period of the new rates.</t>
  </si>
  <si>
    <t>·       The current rates are based on the prior ratemaking analysis that was applied to policies effective July 1, 2022 through June 30, 2023,</t>
  </si>
  <si>
    <t xml:space="preserve"> with average pure premium of</t>
  </si>
  <si>
    <r>
      <t>(</t>
    </r>
    <r>
      <rPr>
        <i/>
        <sz val="12"/>
        <color rgb="FF002060"/>
        <rFont val="Times New Roman"/>
        <family val="1"/>
      </rPr>
      <t>1 point</t>
    </r>
    <r>
      <rPr>
        <sz val="12"/>
        <color rgb="FF002060"/>
        <rFont val="Times New Roman"/>
        <family val="1"/>
      </rPr>
      <t>)  Calculate the pure premium to use for the complement of credibility.</t>
    </r>
  </si>
  <si>
    <t xml:space="preserve">·     Fixed expenses per exposure are </t>
  </si>
  <si>
    <t>·     The ratio of ULAE to claims is</t>
  </si>
  <si>
    <t xml:space="preserve">·     The ratio of variable expenses to premiums is </t>
  </si>
  <si>
    <t>·     The ratio of profit and contingencies to premiums is</t>
  </si>
  <si>
    <r>
      <t>(</t>
    </r>
    <r>
      <rPr>
        <i/>
        <sz val="12"/>
        <color rgb="FF002060"/>
        <rFont val="Times New Roman"/>
        <family val="1"/>
      </rPr>
      <t>1.5 points</t>
    </r>
    <r>
      <rPr>
        <sz val="12"/>
        <color rgb="FF002060"/>
        <rFont val="Times New Roman"/>
        <family val="1"/>
      </rPr>
      <t xml:space="preserve">)  Calculate the credibility-weighted indicated rate.  </t>
    </r>
  </si>
  <si>
    <t>An alternative for the complement of credibility is to use a pure premium based on industry experience.</t>
  </si>
  <si>
    <r>
      <t>(</t>
    </r>
    <r>
      <rPr>
        <i/>
        <sz val="12"/>
        <color rgb="FF002060"/>
        <rFont val="Times New Roman"/>
        <family val="1"/>
      </rPr>
      <t>0.5 points</t>
    </r>
    <r>
      <rPr>
        <sz val="12"/>
        <color rgb="FF002060"/>
        <rFont val="Times New Roman"/>
        <family val="1"/>
      </rPr>
      <t>)  Identify one adjustment that is necessary when relying on a complement of credibility that is a pure premium based on industry experience.</t>
    </r>
  </si>
  <si>
    <t>Question 13</t>
  </si>
  <si>
    <t>Age-to-Age Factors</t>
  </si>
  <si>
    <t>24-36</t>
  </si>
  <si>
    <t>36-48</t>
  </si>
  <si>
    <t>48-60</t>
  </si>
  <si>
    <t>60-72</t>
  </si>
  <si>
    <t>72-84</t>
  </si>
  <si>
    <t>Volume-weighted average (all years)</t>
  </si>
  <si>
    <t>·       There is no development beyond 84 months.</t>
  </si>
  <si>
    <t>·       The reported claims history includes two large claims.</t>
  </si>
  <si>
    <t>·       These large claims have not had any payments made or adjustments to case estimates as of December 31, 2022.</t>
  </si>
  <si>
    <t>Your colleague recommends using the volume-weighted average of all years for age-to-age development factors.</t>
  </si>
  <si>
    <t xml:space="preserve">·       Large claim #1 occurred on July 1, 2019 and was reported on January 20, 2021.  </t>
  </si>
  <si>
    <t>The initial case estimate was</t>
  </si>
  <si>
    <t xml:space="preserve">·       Large claim #2 occurred on September 10, 2021 and was reported on March 2, 2022.  </t>
  </si>
  <si>
    <t xml:space="preserve">The initial case estimate was </t>
  </si>
  <si>
    <t>12-24</t>
  </si>
  <si>
    <r>
      <t>(</t>
    </r>
    <r>
      <rPr>
        <i/>
        <sz val="12"/>
        <color rgb="FF002060"/>
        <rFont val="Times New Roman"/>
        <family val="1"/>
      </rPr>
      <t>0.5 points</t>
    </r>
    <r>
      <rPr>
        <sz val="12"/>
        <color rgb="FF002060"/>
        <rFont val="Times New Roman"/>
        <family val="1"/>
      </rPr>
      <t>)  Identify a potential problem with your colleague’s recommendation.</t>
    </r>
  </si>
  <si>
    <r>
      <t>(</t>
    </r>
    <r>
      <rPr>
        <i/>
        <sz val="12"/>
        <color rgb="FF002060"/>
        <rFont val="Times New Roman"/>
        <family val="1"/>
      </rPr>
      <t>0.5 points</t>
    </r>
    <r>
      <rPr>
        <sz val="12"/>
        <color rgb="FF002060"/>
        <rFont val="Times New Roman"/>
        <family val="1"/>
      </rPr>
      <t>)  Describe an alternative approach to your colleague’s recommendation.</t>
    </r>
  </si>
  <si>
    <r>
      <t>(</t>
    </r>
    <r>
      <rPr>
        <i/>
        <sz val="12"/>
        <color rgb="FF002060"/>
        <rFont val="Times New Roman"/>
        <family val="1"/>
      </rPr>
      <t>2.5 points</t>
    </r>
    <r>
      <rPr>
        <sz val="12"/>
        <color rgb="FF002060"/>
        <rFont val="Times New Roman"/>
        <family val="1"/>
      </rPr>
      <t>)  Estimate total ultimate claims based on the development method and your alternative from part (b).</t>
    </r>
  </si>
  <si>
    <r>
      <t>(</t>
    </r>
    <r>
      <rPr>
        <i/>
        <sz val="12"/>
        <color rgb="FF002060"/>
        <rFont val="Times New Roman"/>
        <family val="1"/>
      </rPr>
      <t>0.5 points</t>
    </r>
    <r>
      <rPr>
        <sz val="12"/>
        <color rgb="FF002060"/>
        <rFont val="Times New Roman"/>
        <family val="1"/>
      </rPr>
      <t>)  Describe how you would adjust for the large claims when estimating ultimate claims based on the paid development method for this line of business.</t>
    </r>
  </si>
  <si>
    <t>Question 14</t>
  </si>
  <si>
    <t>You are analyzing a triangle of average reported claims.  There are several actions that could result in shifts in reported claim patterns.  One example is a new approach to setting case estimate amounts.</t>
  </si>
  <si>
    <t>Reported Counts</t>
  </si>
  <si>
    <t>Your colleague has assumed that case reserve adequacy was strengthened in calendar year 2021.</t>
  </si>
  <si>
    <r>
      <t>(</t>
    </r>
    <r>
      <rPr>
        <i/>
        <sz val="12"/>
        <color rgb="FF002060"/>
        <rFont val="Times New Roman"/>
        <family val="1"/>
      </rPr>
      <t>1.5 points</t>
    </r>
    <r>
      <rPr>
        <sz val="12"/>
        <color rgb="FF002060"/>
        <rFont val="Times New Roman"/>
        <family val="1"/>
      </rPr>
      <t>)  Verify your colleague’s assumption.</t>
    </r>
  </si>
  <si>
    <t>Your colleague recommends using the calendar year 2021 diagonal to adjust for a change in case reserve adequacy.</t>
  </si>
  <si>
    <r>
      <t>(</t>
    </r>
    <r>
      <rPr>
        <i/>
        <sz val="12"/>
        <color rgb="FF002060"/>
        <rFont val="Times New Roman"/>
        <family val="1"/>
      </rPr>
      <t>0.5 points</t>
    </r>
    <r>
      <rPr>
        <sz val="12"/>
        <color rgb="FF002060"/>
        <rFont val="Times New Roman"/>
        <family val="1"/>
      </rPr>
      <t>)  Critique your colleague’s recommendation.</t>
    </r>
  </si>
  <si>
    <r>
      <t>(</t>
    </r>
    <r>
      <rPr>
        <i/>
        <sz val="12"/>
        <color rgb="FF002060"/>
        <rFont val="Times New Roman"/>
        <family val="1"/>
      </rPr>
      <t>2 points</t>
    </r>
    <r>
      <rPr>
        <sz val="12"/>
        <color rgb="FF002060"/>
        <rFont val="Times New Roman"/>
        <family val="1"/>
      </rPr>
      <t>)  Construct a reported claims triangle adjusted for the change in case adequacy, basing the adjustments on the calendar year 2022 diagonal.</t>
    </r>
  </si>
  <si>
    <t xml:space="preserve">·       The annual claim severity trend is </t>
  </si>
  <si>
    <t>Question 15</t>
  </si>
  <si>
    <t>Policy Number</t>
  </si>
  <si>
    <t>Policy Premium</t>
  </si>
  <si>
    <t>Policy Effective Date</t>
  </si>
  <si>
    <t>Policy Expiration Date</t>
  </si>
  <si>
    <t>·       The written premiums are divided into equal annual values and recorded on each anniversary of the effective date.</t>
  </si>
  <si>
    <t>·       There were no cancellations.</t>
  </si>
  <si>
    <r>
      <t>(</t>
    </r>
    <r>
      <rPr>
        <i/>
        <sz val="12"/>
        <color rgb="FF002060"/>
        <rFont val="Times New Roman"/>
        <family val="1"/>
      </rPr>
      <t>1 point</t>
    </r>
    <r>
      <rPr>
        <sz val="12"/>
        <color rgb="FF002060"/>
        <rFont val="Times New Roman"/>
        <family val="1"/>
      </rPr>
      <t>)  Calculate the written premiums for 2022.</t>
    </r>
  </si>
  <si>
    <r>
      <t>(</t>
    </r>
    <r>
      <rPr>
        <i/>
        <sz val="12"/>
        <color rgb="FF002060"/>
        <rFont val="Times New Roman"/>
        <family val="1"/>
      </rPr>
      <t>1 point</t>
    </r>
    <r>
      <rPr>
        <sz val="12"/>
        <color rgb="FF002060"/>
        <rFont val="Times New Roman"/>
        <family val="1"/>
      </rPr>
      <t>)  Calculate the earned premiums for 2022.</t>
    </r>
  </si>
  <si>
    <r>
      <t>(</t>
    </r>
    <r>
      <rPr>
        <i/>
        <sz val="12"/>
        <color rgb="FF002060"/>
        <rFont val="Times New Roman"/>
        <family val="1"/>
      </rPr>
      <t>1 point</t>
    </r>
    <r>
      <rPr>
        <sz val="12"/>
        <color rgb="FF002060"/>
        <rFont val="Times New Roman"/>
        <family val="1"/>
      </rPr>
      <t>)</t>
    </r>
    <r>
      <rPr>
        <i/>
        <sz val="12"/>
        <color rgb="FF002060"/>
        <rFont val="Times New Roman"/>
        <family val="1"/>
      </rPr>
      <t xml:space="preserve"> </t>
    </r>
    <r>
      <rPr>
        <sz val="12"/>
        <color rgb="FF002060"/>
        <rFont val="Times New Roman"/>
        <family val="1"/>
      </rPr>
      <t xml:space="preserve"> Calculate the unearned premiums as of December 31, 2022.</t>
    </r>
  </si>
  <si>
    <t>It was subsequently noticed that policy 504 was a motorcycle policy that was priced assuming it was not operated from October 1 through March 31 each year.</t>
  </si>
  <si>
    <r>
      <t>(</t>
    </r>
    <r>
      <rPr>
        <i/>
        <sz val="12"/>
        <color rgb="FF002060"/>
        <rFont val="Times New Roman"/>
        <family val="1"/>
      </rPr>
      <t>1 point</t>
    </r>
    <r>
      <rPr>
        <sz val="12"/>
        <color rgb="FF002060"/>
        <rFont val="Times New Roman"/>
        <family val="1"/>
      </rPr>
      <t>)  Recalculate the 2022 earned premium for policy 504.</t>
    </r>
  </si>
  <si>
    <r>
      <t>(</t>
    </r>
    <r>
      <rPr>
        <i/>
        <sz val="12"/>
        <color rgb="FF002060"/>
        <rFont val="Times New Roman"/>
        <family val="1"/>
      </rPr>
      <t>0.5 points</t>
    </r>
    <r>
      <rPr>
        <sz val="12"/>
        <color rgb="FF002060"/>
        <rFont val="Times New Roman"/>
        <family val="1"/>
      </rPr>
      <t>)  Recalculate the unearned premium as of December 31, 2022 for policy 504.</t>
    </r>
  </si>
  <si>
    <r>
      <t>(</t>
    </r>
    <r>
      <rPr>
        <i/>
        <sz val="12"/>
        <color rgb="FF002060"/>
        <rFont val="Times New Roman"/>
        <family val="1"/>
      </rPr>
      <t>0.5 points</t>
    </r>
    <r>
      <rPr>
        <sz val="12"/>
        <color rgb="FF002060"/>
        <rFont val="Times New Roman"/>
        <family val="1"/>
      </rPr>
      <t>)  Describe why the parallelogram approximation would not be appropriate when adjusting historical premiums to current rate levels for policies such as policy 504.</t>
    </r>
  </si>
  <si>
    <r>
      <t>(</t>
    </r>
    <r>
      <rPr>
        <i/>
        <sz val="12"/>
        <color rgb="FF002060"/>
        <rFont val="Times New Roman"/>
        <family val="1"/>
      </rPr>
      <t>0.5 points</t>
    </r>
    <r>
      <rPr>
        <sz val="12"/>
        <color rgb="FF002060"/>
        <rFont val="Times New Roman"/>
        <family val="1"/>
      </rPr>
      <t>)  State two reasons for using a large claim loading approach when estimating ultimate claims at total limits for ratemaking.</t>
    </r>
  </si>
  <si>
    <r>
      <t>(</t>
    </r>
    <r>
      <rPr>
        <i/>
        <sz val="12"/>
        <color rgb="FF002060"/>
        <rFont val="Times New Roman"/>
        <family val="1"/>
      </rPr>
      <t>1 point</t>
    </r>
    <r>
      <rPr>
        <sz val="12"/>
        <color rgb="FF002060"/>
        <rFont val="Times New Roman"/>
        <family val="1"/>
      </rPr>
      <t>)  Verify that the forecasted incremental reported count for AY 2021 at 36 months is 95.</t>
    </r>
  </si>
  <si>
    <r>
      <t>(</t>
    </r>
    <r>
      <rPr>
        <i/>
        <sz val="12"/>
        <color rgb="FF002060"/>
        <rFont val="Times New Roman"/>
        <family val="1"/>
      </rPr>
      <t>2 points</t>
    </r>
    <r>
      <rPr>
        <sz val="12"/>
        <color rgb="FF002060"/>
        <rFont val="Times New Roman"/>
        <family val="1"/>
      </rPr>
      <t>)  Calculate the large claim loadings at 500,000 limit, adjusted to the cost level for each accident year.</t>
    </r>
  </si>
  <si>
    <r>
      <t>(</t>
    </r>
    <r>
      <rPr>
        <i/>
        <sz val="12"/>
        <color rgb="FF002060"/>
        <rFont val="Times New Roman"/>
        <family val="1"/>
      </rPr>
      <t>0.5 points</t>
    </r>
    <r>
      <rPr>
        <sz val="12"/>
        <color rgb="FF002060"/>
        <rFont val="Times New Roman"/>
        <family val="1"/>
      </rPr>
      <t>)  Calculate ultimate claims at total limits for each accident year using selected ultimate claims at a 500,000 limit and the large claim loadings from part (b).</t>
    </r>
  </si>
  <si>
    <t xml:space="preserve">·       The annual severity trend at total limits is </t>
  </si>
  <si>
    <r>
      <t>(</t>
    </r>
    <r>
      <rPr>
        <i/>
        <sz val="12"/>
        <color rgb="FF002060"/>
        <rFont val="Times New Roman"/>
        <family val="1"/>
      </rPr>
      <t>1 point</t>
    </r>
    <r>
      <rPr>
        <sz val="12"/>
        <color rgb="FF002060"/>
        <rFont val="Times New Roman"/>
        <family val="1"/>
      </rPr>
      <t>)  Identify two other examples of actions that could result in shifts in a reported claim pattern.</t>
    </r>
  </si>
  <si>
    <t>AY</t>
  </si>
  <si>
    <t>Case Estimates</t>
  </si>
  <si>
    <t>Ratios of Paid Claims to Reported Claims</t>
  </si>
  <si>
    <t>For calendar year 2022 (i.e., the latest diagonal), the ratios have increased significantly.</t>
  </si>
  <si>
    <t>The insurer implemented new processes to speed-up the settlement of claims.</t>
  </si>
  <si>
    <t>A change to the approval process that decreased case estimates.</t>
  </si>
  <si>
    <t xml:space="preserve">= </t>
  </si>
  <si>
    <t>-</t>
  </si>
  <si>
    <t>=</t>
  </si>
  <si>
    <t>Reported claims as of Dec, 31, 2021:</t>
  </si>
  <si>
    <t>Reported claims as of Dec. 31, 2020:</t>
  </si>
  <si>
    <t>CY2021 incurred claims = Ultimate claims as of Dec. 31, 2021 - Ultimate claims as of Dec. 31, 2020</t>
  </si>
  <si>
    <t>Any two of the following are acceptable:</t>
  </si>
  <si>
    <t>·       The loading factor smooths the influence of large claims over time</t>
  </si>
  <si>
    <t>·       The actuary can introduce a greater volume of experience</t>
  </si>
  <si>
    <t>·       The claims at a limited value are more reliable</t>
  </si>
  <si>
    <t>Average earned date in rating period:</t>
  </si>
  <si>
    <t>(i.e., 9 months after effective date)</t>
  </si>
  <si>
    <t>Severity Trend Factor at:</t>
  </si>
  <si>
    <t>Trending Period (months)</t>
  </si>
  <si>
    <t>Trend Factors for Loading for Large Claims</t>
  </si>
  <si>
    <t>Loadings for Large Claims Adjusted to Cost Level of AY</t>
  </si>
  <si>
    <t>July 1, 2022 to July 1, 2024</t>
  </si>
  <si>
    <t>Indicated Ultimate Claims at Total Limits based on Projections at 500,000 Limits</t>
  </si>
  <si>
    <t>The calculations are affected in two ways:</t>
  </si>
  <si>
    <t xml:space="preserve"> - Need to develop credibility-weighted trend rates </t>
  </si>
  <si>
    <t>AY 2021 cumulative counts to 24 months:</t>
  </si>
  <si>
    <t>Weighted Counts</t>
  </si>
  <si>
    <t>Trended Period (Yrs)</t>
  </si>
  <si>
    <t>Avg ULAE Trended to 2023</t>
  </si>
  <si>
    <t>Trending</t>
  </si>
  <si>
    <t>Trend from</t>
  </si>
  <si>
    <t>Trended</t>
  </si>
  <si>
    <t>Estimated</t>
  </si>
  <si>
    <t>Calendar</t>
  </si>
  <si>
    <t>Newly</t>
  </si>
  <si>
    <t>Weighted</t>
  </si>
  <si>
    <t>Period</t>
  </si>
  <si>
    <t>Average</t>
  </si>
  <si>
    <t>Unpaid</t>
  </si>
  <si>
    <t>Reported</t>
  </si>
  <si>
    <t>Open</t>
  </si>
  <si>
    <t>Closed</t>
  </si>
  <si>
    <t>in Years</t>
  </si>
  <si>
    <t>ULAE</t>
  </si>
  <si>
    <t>Trend to 2023 @2%</t>
  </si>
  <si>
    <t>Projection of Unpaid ULAE Using Count-Based ULAE Method:</t>
  </si>
  <si>
    <t xml:space="preserve">AY 2021 cumulative counts to 36 months: </t>
  </si>
  <si>
    <t>AY 2021 incremental reported counts at 36 months:</t>
  </si>
  <si>
    <t>Avg ULAE Per Wtd. Count</t>
  </si>
  <si>
    <t>Selected average ULAE per weighted count at 2023 level</t>
  </si>
  <si>
    <t>Reported CDFs</t>
  </si>
  <si>
    <t>Expected % Reported</t>
  </si>
  <si>
    <t>Used-Up On-Level Earned Premiums</t>
  </si>
  <si>
    <t>Claim Trend Factors</t>
  </si>
  <si>
    <t>Tort Reform Factors</t>
  </si>
  <si>
    <t>Adjusted Claims</t>
  </si>
  <si>
    <t>Expected Claims</t>
  </si>
  <si>
    <t xml:space="preserve">Expected % Unreported </t>
  </si>
  <si>
    <t>Expected Unreported Claims</t>
  </si>
  <si>
    <t>IBNR</t>
  </si>
  <si>
    <t>Adjusted Expected Claim Ratio:</t>
  </si>
  <si>
    <t>Generalized Cape Cod with 0 decay factor = Development Method</t>
  </si>
  <si>
    <t>CDF</t>
  </si>
  <si>
    <t>2021 IBNR:</t>
  </si>
  <si>
    <t>Ultimate claims</t>
  </si>
  <si>
    <t>Reported claims</t>
  </si>
  <si>
    <t>IBNR (Ultimate - Reported)</t>
  </si>
  <si>
    <t xml:space="preserve">If the trend is decreasing, as frequency trends often are, then eventually the application of a
 linear trend will result a negative value, </t>
  </si>
  <si>
    <t xml:space="preserve">which cannot occur for GI frequency, severity, or pure premium. </t>
  </si>
  <si>
    <t>Recommended trend:</t>
  </si>
  <si>
    <t>Justification: the increase in 2022 might be an anomaly, so exclude that year from the average.</t>
  </si>
  <si>
    <t>Indicated Frequency</t>
  </si>
  <si>
    <t>Trended Frequency</t>
  </si>
  <si>
    <t>Calculated Ultimate Counts</t>
  </si>
  <si>
    <t>Trended Ultimate Severity</t>
  </si>
  <si>
    <t>Calculated Ultimate Severity</t>
  </si>
  <si>
    <t>Average, excluding 2022</t>
  </si>
  <si>
    <t>Selected frequency at 2022 cost level</t>
  </si>
  <si>
    <t>Severity Trend</t>
  </si>
  <si>
    <t>Frequency Trend</t>
  </si>
  <si>
    <t xml:space="preserve">   Latest 3 years</t>
  </si>
  <si>
    <t>Rates have been increasing since the change, so the higher premiums will be earned faster to help keep up with the needed rate changes.</t>
  </si>
  <si>
    <t>On-level factors for all 12-month policies:</t>
  </si>
  <si>
    <t>Rate Change History</t>
  </si>
  <si>
    <t>Effective Date</t>
  </si>
  <si>
    <t>Rate</t>
  </si>
  <si>
    <t>Rate Level</t>
  </si>
  <si>
    <t>Percent Premium Earned in Each CY at Rate Level</t>
  </si>
  <si>
    <t>of Rate Change</t>
  </si>
  <si>
    <t>Change %</t>
  </si>
  <si>
    <t>Index</t>
  </si>
  <si>
    <t>Average Rate Level in each CY:</t>
  </si>
  <si>
    <t>On-Level Factors:</t>
  </si>
  <si>
    <t>On-level factors for all 6-month policies:</t>
  </si>
  <si>
    <t>Combined On-Level factors:</t>
  </si>
  <si>
    <t xml:space="preserve">    weighting for 6-month:</t>
  </si>
  <si>
    <t>On-level factors for reserving are adjusted to the 2022 average rate level.</t>
  </si>
  <si>
    <t>This level is a lower value than the current rate level for ratemaking, leading to lower on-level factors.</t>
  </si>
  <si>
    <t>Any of the following is acceptable:</t>
  </si>
  <si>
    <t xml:space="preserve"> - adjustments to ultimate are required when analyzing policy year data that is not yet complete</t>
  </si>
  <si>
    <t xml:space="preserve"> - when conducting actuarial work for lines of business where the premiums are subject to audit of exposures following the completion of the policy year</t>
  </si>
  <si>
    <t xml:space="preserve"> - for lines of business that are subject to retrospective experience rating adjustments</t>
  </si>
  <si>
    <t xml:space="preserve"> - For immature experience periods, particularly in the case of long-tail lines of business; </t>
  </si>
  <si>
    <t xml:space="preserve"> - Following the introduction of new GI products when limited or no historical experience is available; </t>
  </si>
  <si>
    <t xml:space="preserve"> - Following entry into a new geographical area for which limited or no historical data exists; </t>
  </si>
  <si>
    <t xml:space="preserve"> - If there have been wide-ranging changes, either internally at the insurer or in the external environment, such that historical relationships and development patterns are not a reliable guide to the future. </t>
  </si>
  <si>
    <t>Any two of the following four situations:</t>
  </si>
  <si>
    <t xml:space="preserve">The primary assumption of the expected method is that actuaries can better project ultimate values based on an a priori estimate than from the experience observed to date. </t>
  </si>
  <si>
    <t xml:space="preserve">Earned Premium </t>
  </si>
  <si>
    <t xml:space="preserve">Ultimate Claims Based on Reported </t>
  </si>
  <si>
    <t xml:space="preserve">Claim Trend Factors at 3% </t>
  </si>
  <si>
    <t xml:space="preserve">On-Level Earned Premium </t>
  </si>
  <si>
    <t xml:space="preserve">Trended Ultimate Claims Based on Reported </t>
  </si>
  <si>
    <t xml:space="preserve">Trended On-Level Claim Ratio </t>
  </si>
  <si>
    <t>Trended Pure Premium</t>
  </si>
  <si>
    <t>Implicit development factor (Ultimate/Reported)</t>
  </si>
  <si>
    <t>(i) Using expected claim ratio</t>
  </si>
  <si>
    <t>2021 Earned Premium</t>
  </si>
  <si>
    <t>(ii) Using expected pure premium</t>
  </si>
  <si>
    <t xml:space="preserve">Expected % undeveloped </t>
  </si>
  <si>
    <t xml:space="preserve">Claim ratio at 2021 cost level </t>
  </si>
  <si>
    <t xml:space="preserve">2021 Expected Claims </t>
  </si>
  <si>
    <t xml:space="preserve">BF estimate of ultimate claims </t>
  </si>
  <si>
    <t>2021 Expected Claims</t>
  </si>
  <si>
    <t>BF estimate of ultimate claims</t>
  </si>
  <si>
    <t>When the forces affecting changes in expenses (i.e., the expense trend) are similar to those driving changes in premiums, a separate trend adjustment for fixed expenses may not be necessary.</t>
  </si>
  <si>
    <t>Year-to-Year Change</t>
  </si>
  <si>
    <t>Average - All years</t>
  </si>
  <si>
    <t>Average - excl hi-lo</t>
  </si>
  <si>
    <t>Justification: 2018 appears to be an anomaly. Exclude highest and lowest to smooth out the variation.</t>
  </si>
  <si>
    <t>Average earned premium dates in future rating period:</t>
  </si>
  <si>
    <t># months:</t>
  </si>
  <si>
    <t xml:space="preserve">   for 12-month policies</t>
  </si>
  <si>
    <t>Trending Period (years)</t>
  </si>
  <si>
    <t>Trended Fixed Expenses</t>
  </si>
  <si>
    <t>Trended Fixed Expense Ratio</t>
  </si>
  <si>
    <t>Average - all years</t>
  </si>
  <si>
    <t>Recommended trended fixed expense ratio:</t>
  </si>
  <si>
    <t>Expense Trend at 2.56%</t>
  </si>
  <si>
    <t>Justification: No significant outliers and no significant trend, so all years average is reasonable.</t>
  </si>
  <si>
    <t>Fixed Expense to Earned Premiums at Current Rates Ratio</t>
  </si>
  <si>
    <t>Recommended fixed expense trend:</t>
  </si>
  <si>
    <t>Future PP Trend</t>
  </si>
  <si>
    <t>Future PP trend period: From average accident date in 2022 to average accident date in future rating period:</t>
  </si>
  <si>
    <t xml:space="preserve">=  </t>
  </si>
  <si>
    <t>to</t>
  </si>
  <si>
    <t>months, or</t>
  </si>
  <si>
    <t>years</t>
  </si>
  <si>
    <t>Past PP Trend</t>
  </si>
  <si>
    <t>Trended Ultimate</t>
  </si>
  <si>
    <t>Pure Premium</t>
  </si>
  <si>
    <t>Total PP Trend</t>
  </si>
  <si>
    <t>Past pure premium trend:</t>
  </si>
  <si>
    <t>Past trend period: For AY2022, from average accident date in AY2022 (July 1, 2022) to December 31, 2022 = 0.5 years</t>
  </si>
  <si>
    <t>Weights</t>
  </si>
  <si>
    <t>Averages</t>
  </si>
  <si>
    <t xml:space="preserve"> - all years straight</t>
  </si>
  <si>
    <t xml:space="preserve"> - weighted</t>
  </si>
  <si>
    <t>Recommended:</t>
  </si>
  <si>
    <t>Justification:</t>
  </si>
  <si>
    <t>Average accident date of prior filing</t>
  </si>
  <si>
    <t>Average accident date of forecast period</t>
  </si>
  <si>
    <t>Trending period in months</t>
  </si>
  <si>
    <t>Pure premium used for complement of credibility</t>
  </si>
  <si>
    <t>Pure premium trend (future, since future trend started Jan. 1, 2023)</t>
  </si>
  <si>
    <t>Weighted average pure premium (from part (b)):</t>
  </si>
  <si>
    <t>Number of claims to use for credibility:</t>
  </si>
  <si>
    <t>Credibility:</t>
  </si>
  <si>
    <t>Credibility-weighted pure premium:</t>
  </si>
  <si>
    <t>Indicated rate:</t>
  </si>
  <si>
    <t xml:space="preserve">  - adjusted to reflect the insurer's mix of business</t>
  </si>
  <si>
    <t xml:space="preserve">  - adjusted to the cost level of the forecast period</t>
  </si>
  <si>
    <t>Either of the following is acceptable:</t>
  </si>
  <si>
    <t>Pure Premium (PP)</t>
  </si>
  <si>
    <t>Trended Ultimate Pure Premium</t>
  </si>
  <si>
    <t>Commentary on Question:</t>
  </si>
  <si>
    <t>Other weights are possible.</t>
  </si>
  <si>
    <t>Past Trending Period (yrs)</t>
  </si>
  <si>
    <t>Future Trending Period (yrs)</t>
  </si>
  <si>
    <t>AY2022 is possibly an anomaly so less weight for that year. Include all years due to credibility (i.e., all years is 4,341 ultimate counts, so still not fully credible even using all years).</t>
  </si>
  <si>
    <t>The number of claims for credibility need to match the years that were included in the part (b) selection. For example, if only the most recent three years were included in the selection in part (b), then the number of claims to use for credibility in this part should be: 2,610 = 875 + 852 + 883.</t>
  </si>
  <si>
    <t>Future pure premium trend:</t>
  </si>
  <si>
    <t>Due to the large claims in 2019 and 2021, the 12-24 and 24-36 age-to-age factors are too high, therefore ultimate claims would be overstated.</t>
  </si>
  <si>
    <t>Recommend adjusting for the large claims (i.e., removing them from the development factor analysis).</t>
  </si>
  <si>
    <t xml:space="preserve">   {alternatively, could use average of the factors that exclude the AY2021 12-24 and AY2019 24-36 factors.}</t>
  </si>
  <si>
    <t>Selected:</t>
  </si>
  <si>
    <t xml:space="preserve"> - Age-to-age:</t>
  </si>
  <si>
    <t xml:space="preserve"> - Age-to-ultimate</t>
  </si>
  <si>
    <t>Age-to-Ultimate Factors</t>
  </si>
  <si>
    <t>Large claims (case estimates) (000)</t>
  </si>
  <si>
    <t>Development factors:</t>
  </si>
  <si>
    <t xml:space="preserve">Simple average </t>
  </si>
  <si>
    <t>Volume-weighted average</t>
  </si>
  <si>
    <t>Ultimate claims, excluding  large claims</t>
  </si>
  <si>
    <t>Ultimate claims, including large claims:</t>
  </si>
  <si>
    <t>The ultimate values would need to include the case estimates for large claims.</t>
  </si>
  <si>
    <t>Construction of right triangle that excludes large claims:</t>
  </si>
  <si>
    <t>Any one of the following is acceptable:</t>
  </si>
  <si>
    <t>First need to determine if the case adequacy was strengthened in calendar year (CY) 2021: Analyze change in average case estimates.</t>
  </si>
  <si>
    <t>Analysis: There appears to have been strengthening in CY 2021 to support colleague's recommendation.</t>
  </si>
  <si>
    <t>Adjusted Average Case Estimates</t>
  </si>
  <si>
    <t>Adjusted Reported Claims</t>
  </si>
  <si>
    <r>
      <t>·</t>
    </r>
    <r>
      <rPr>
        <sz val="7"/>
        <color theme="1"/>
        <rFont val="Times New Roman"/>
        <family val="1"/>
      </rPr>
      <t xml:space="preserve">       </t>
    </r>
    <r>
      <rPr>
        <sz val="12"/>
        <color theme="1"/>
        <rFont val="Times New Roman"/>
        <family val="1"/>
      </rPr>
      <t>new procedures for the payment of claims such as direct deposit to a claimant’s bank account instead of issuance of checks</t>
    </r>
  </si>
  <si>
    <r>
      <t>·</t>
    </r>
    <r>
      <rPr>
        <sz val="7"/>
        <color theme="1"/>
        <rFont val="Times New Roman"/>
        <family val="1"/>
      </rPr>
      <t xml:space="preserve">       </t>
    </r>
    <r>
      <rPr>
        <sz val="12"/>
        <color theme="1"/>
        <rFont val="Times New Roman"/>
        <family val="1"/>
      </rPr>
      <t>changes in the distribution of policy limits purchased by insureds; (or offered by the company)</t>
    </r>
  </si>
  <si>
    <r>
      <t>·</t>
    </r>
    <r>
      <rPr>
        <sz val="7"/>
        <color theme="1"/>
        <rFont val="Times New Roman"/>
        <family val="1"/>
      </rPr>
      <t xml:space="preserve">       </t>
    </r>
    <r>
      <rPr>
        <sz val="12"/>
        <color theme="1"/>
        <rFont val="Times New Roman"/>
        <family val="1"/>
      </rPr>
      <t>changes in the distribution of deductibles purchased by insureds; (or offered by the company)</t>
    </r>
  </si>
  <si>
    <r>
      <t>·</t>
    </r>
    <r>
      <rPr>
        <sz val="7"/>
        <color theme="1"/>
        <rFont val="Times New Roman"/>
        <family val="1"/>
      </rPr>
      <t xml:space="preserve">       </t>
    </r>
    <r>
      <rPr>
        <sz val="12"/>
        <color theme="1"/>
        <rFont val="Times New Roman"/>
        <family val="1"/>
      </rPr>
      <t>changes in the use of partial settlements or ex gratia payments</t>
    </r>
  </si>
  <si>
    <r>
      <t>·</t>
    </r>
    <r>
      <rPr>
        <sz val="7"/>
        <color theme="1"/>
        <rFont val="Times New Roman"/>
        <family val="1"/>
      </rPr>
      <t xml:space="preserve">       </t>
    </r>
    <r>
      <rPr>
        <sz val="12"/>
        <color theme="1"/>
        <rFont val="Times New Roman"/>
        <family val="1"/>
      </rPr>
      <t>shifts in the attitude toward defense of questionable claim files</t>
    </r>
  </si>
  <si>
    <r>
      <t>·</t>
    </r>
    <r>
      <rPr>
        <sz val="7"/>
        <color theme="1"/>
        <rFont val="Times New Roman"/>
        <family val="1"/>
      </rPr>
      <t xml:space="preserve">       </t>
    </r>
    <r>
      <rPr>
        <sz val="12"/>
        <color theme="1"/>
        <rFont val="Times New Roman"/>
        <family val="1"/>
      </rPr>
      <t>change in the definition of reported claims</t>
    </r>
  </si>
  <si>
    <t>Average Case Estimates</t>
  </si>
  <si>
    <t>Change in Average Case Estimates</t>
  </si>
  <si>
    <r>
      <t>·</t>
    </r>
    <r>
      <rPr>
        <sz val="7"/>
        <color theme="1"/>
        <rFont val="Times New Roman"/>
        <family val="1"/>
      </rPr>
      <t xml:space="preserve">       </t>
    </r>
    <r>
      <rPr>
        <sz val="12"/>
        <color theme="1"/>
        <rFont val="Times New Roman"/>
        <family val="1"/>
      </rPr>
      <t>even though the change was in CY 2021, could still use the most recent diagonal to reflect the most recent data point</t>
    </r>
  </si>
  <si>
    <r>
      <t>·</t>
    </r>
    <r>
      <rPr>
        <sz val="7"/>
        <color theme="1"/>
        <rFont val="Times New Roman"/>
        <family val="1"/>
      </rPr>
      <t xml:space="preserve">       </t>
    </r>
    <r>
      <rPr>
        <sz val="12"/>
        <color theme="1"/>
        <rFont val="Times New Roman"/>
        <family val="1"/>
      </rPr>
      <t>common practice to use most recent diagonal, so could use that</t>
    </r>
  </si>
  <si>
    <r>
      <t>·</t>
    </r>
    <r>
      <rPr>
        <sz val="7"/>
        <color theme="1"/>
        <rFont val="Times New Roman"/>
        <family val="1"/>
      </rPr>
      <t xml:space="preserve">       </t>
    </r>
    <r>
      <rPr>
        <sz val="12"/>
        <color theme="1"/>
        <rFont val="Times New Roman"/>
        <family val="1"/>
      </rPr>
      <t>even though it is more common to use most recent diagonal, using CY 2021 still acceptable</t>
    </r>
  </si>
  <si>
    <t>% Written in 2022</t>
  </si>
  <si>
    <t>2022 Written Premiums</t>
  </si>
  <si>
    <t>% Earned in 2022</t>
  </si>
  <si>
    <t>2022 Earned Premiums</t>
  </si>
  <si>
    <t>6/24 =</t>
  </si>
  <si>
    <t>12/36 =</t>
  </si>
  <si>
    <t>4/24 =</t>
  </si>
  <si>
    <t>Equivalent Annual Premium</t>
  </si>
  <si>
    <t>Written Date in 2022</t>
  </si>
  <si>
    <t xml:space="preserve"> (i.e., 12 months less the 6 months the vehicle was not operated)</t>
  </si>
  <si>
    <t>Monthly earned premium:</t>
  </si>
  <si>
    <t># of months in 2022 vehicle was operated:</t>
  </si>
  <si>
    <t>2022 earned premium:</t>
  </si>
  <si>
    <t># Months Unearned as of Dec 31, 2022</t>
  </si>
  <si>
    <t>UEP as of Dec. 31, 2022</t>
  </si>
  <si>
    <t>It would not be appropriate because premiums are not earned evenly throughout the policy term.</t>
  </si>
  <si>
    <t># of months unearned as of Dec. 31, 2022 (excluding months in 2023 vehicle was not operated):</t>
  </si>
  <si>
    <t>Unearned premium as of Dec. 31, 2022:</t>
  </si>
  <si>
    <t xml:space="preserve"> - Need to develop credibility-weighted loadings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</si>
</sst>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mmm\.\ d\,\ yyyy"/>
    <numFmt numFmtId="165" formatCode="mmm\ d\,\ yyyy"/>
    <numFmt numFmtId="166" formatCode="0.000"/>
    <numFmt numFmtId="167" formatCode="0.0%"/>
    <numFmt numFmtId="168" formatCode="mmmm\ d\,\ yyyy"/>
    <numFmt numFmtId="169" formatCode="0.00000"/>
    <numFmt numFmtId="170" formatCode="0.0000"/>
    <numFmt numFmtId="171" formatCode="_(* #,##0_);_(* \(#,##0\);_(* &quot;-&quot;??_);_(@_)"/>
    <numFmt numFmtId="172" formatCode="0.000%"/>
    <numFmt numFmtId="173" formatCode="0.000000"/>
    <numFmt numFmtId="174" formatCode="0.00%;\-;\-"/>
    <numFmt numFmtId="175" formatCode="#,##0.0000_);\(#,##0.0000\)"/>
    <numFmt numFmtId="176" formatCode="#,##0.000_);\(#,##0.000\)"/>
  </numFmts>
  <fonts count="21" x14ac:knownFonts="1">
    <font>
      <sz val="11"/>
      <color theme="1"/>
      <name val="Calibri"/>
      <family val="2"/>
      <scheme val="minor"/>
    </font>
    <font>
      <sz val="12"/>
      <color rgb="FF002060"/>
      <name val="Times New Roman"/>
      <family val="1"/>
    </font>
    <font>
      <sz val="12"/>
      <color theme="1"/>
      <name val="Times New Roman"/>
      <family val="1"/>
    </font>
    <font>
      <b/>
      <sz val="14"/>
      <color rgb="FF002060"/>
      <name val="Times New Roman"/>
      <family val="1"/>
    </font>
    <font>
      <i/>
      <sz val="12"/>
      <color rgb="FF002060"/>
      <name val="Times New Roman"/>
      <family val="1"/>
    </font>
    <font>
      <sz val="12"/>
      <name val="Times New Roman"/>
      <family val="1"/>
    </font>
    <font>
      <b/>
      <i/>
      <sz val="12"/>
      <color rgb="FF002060"/>
      <name val="Times New Roman"/>
      <family val="1"/>
    </font>
    <font>
      <b/>
      <sz val="12"/>
      <color rgb="FF002060"/>
      <name val="Times New Roman"/>
      <family val="1"/>
    </font>
    <font>
      <sz val="11"/>
      <color rgb="FF002060"/>
      <name val="Calibri"/>
      <family val="2"/>
      <scheme val="minor"/>
    </font>
    <font>
      <sz val="11"/>
      <color theme="1"/>
      <name val="Calibri"/>
      <family val="2"/>
      <scheme val="minor"/>
    </font>
    <font>
      <sz val="12"/>
      <color rgb="FF00B050"/>
      <name val="Times New Roman"/>
      <family val="1"/>
    </font>
    <font>
      <u/>
      <sz val="12"/>
      <color theme="1"/>
      <name val="Times New Roman"/>
      <family val="1"/>
    </font>
    <font>
      <sz val="11"/>
      <name val="Calibri"/>
      <family val="2"/>
      <scheme val="minor"/>
    </font>
    <font>
      <u/>
      <sz val="12"/>
      <name val="Times New Roman"/>
      <family val="1"/>
    </font>
    <font>
      <i/>
      <sz val="12"/>
      <name val="Times New Roman"/>
      <family val="1"/>
    </font>
    <font>
      <b/>
      <sz val="12"/>
      <color theme="1"/>
      <name val="Times New Roman"/>
      <family val="1"/>
    </font>
    <font>
      <i/>
      <sz val="12"/>
      <color theme="1"/>
      <name val="Times New Roman"/>
      <family val="1"/>
    </font>
    <font>
      <b/>
      <i/>
      <sz val="12"/>
      <name val="Times New Roman"/>
      <family val="1"/>
    </font>
    <font>
      <sz val="12"/>
      <color theme="1"/>
      <name val="Symbol"/>
      <family val="1"/>
      <charset val="2"/>
    </font>
    <font>
      <sz val="7"/>
      <color theme="1"/>
      <name val="Times New Roman"/>
      <family val="1"/>
    </font>
    <font>
      <sz val="12"/>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399975585192419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223">
    <xf numFmtId="0" fontId="0" fillId="0" borderId="0" xfId="0"/>
    <xf numFmtId="0" fontId="2" fillId="0" borderId="0" xfId="0" applyFont="1"/>
    <xf numFmtId="0" fontId="3" fillId="3" borderId="0" xfId="0" applyFont="1" applyFill="1"/>
    <xf numFmtId="0" fontId="2" fillId="3" borderId="0" xfId="0" applyFont="1" applyFill="1"/>
    <xf numFmtId="0" fontId="1" fillId="3" borderId="0" xfId="0" applyFont="1" applyFill="1"/>
    <xf numFmtId="0" fontId="1" fillId="3" borderId="0" xfId="0" quotePrefix="1" applyFont="1" applyFill="1" applyAlignment="1">
      <alignment vertical="center"/>
    </xf>
    <xf numFmtId="0" fontId="5" fillId="0" borderId="0" xfId="0" applyFont="1"/>
    <xf numFmtId="0" fontId="1" fillId="0" borderId="0" xfId="0" applyFont="1"/>
    <xf numFmtId="0" fontId="1" fillId="2" borderId="0" xfId="0" applyFont="1" applyFill="1"/>
    <xf numFmtId="0" fontId="1" fillId="3" borderId="0" xfId="0" quotePrefix="1" applyFont="1" applyFill="1"/>
    <xf numFmtId="0" fontId="6" fillId="3" borderId="0" xfId="0" applyFont="1" applyFill="1"/>
    <xf numFmtId="0" fontId="6"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7" fillId="2" borderId="9" xfId="0" applyFont="1" applyFill="1" applyBorder="1" applyAlignment="1">
      <alignment horizontal="center" vertical="center" wrapText="1"/>
    </xf>
    <xf numFmtId="0" fontId="1" fillId="2" borderId="9" xfId="0" applyFont="1" applyFill="1" applyBorder="1" applyAlignment="1">
      <alignment horizontal="center" vertical="center" wrapText="1"/>
    </xf>
    <xf numFmtId="3" fontId="1" fillId="2" borderId="9" xfId="0" applyNumberFormat="1" applyFont="1" applyFill="1" applyBorder="1" applyAlignment="1">
      <alignment horizontal="center" vertical="center" wrapText="1"/>
    </xf>
    <xf numFmtId="0" fontId="1" fillId="2" borderId="9" xfId="0" applyFont="1" applyFill="1" applyBorder="1" applyAlignment="1">
      <alignment vertical="center" wrapText="1"/>
    </xf>
    <xf numFmtId="0" fontId="7"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xf>
    <xf numFmtId="0" fontId="1" fillId="2" borderId="9" xfId="0" applyFont="1" applyFill="1" applyBorder="1" applyAlignment="1">
      <alignment horizontal="center" vertical="center"/>
    </xf>
    <xf numFmtId="164" fontId="1" fillId="2" borderId="9" xfId="0" applyNumberFormat="1" applyFont="1" applyFill="1" applyBorder="1" applyAlignment="1">
      <alignment horizontal="center" shrinkToFit="1"/>
    </xf>
    <xf numFmtId="0" fontId="7" fillId="2" borderId="9" xfId="0" applyFont="1" applyFill="1" applyBorder="1" applyAlignment="1">
      <alignment horizontal="center"/>
    </xf>
    <xf numFmtId="0" fontId="7" fillId="2" borderId="9" xfId="0" applyFont="1" applyFill="1" applyBorder="1" applyAlignment="1">
      <alignment horizontal="center" wrapText="1"/>
    </xf>
    <xf numFmtId="164" fontId="1" fillId="2" borderId="9" xfId="0" applyNumberFormat="1" applyFont="1" applyFill="1" applyBorder="1" applyAlignment="1">
      <alignment horizontal="center"/>
    </xf>
    <xf numFmtId="164" fontId="1" fillId="2" borderId="0" xfId="0" applyNumberFormat="1" applyFont="1" applyFill="1" applyAlignment="1">
      <alignment horizontal="center" shrinkToFit="1"/>
    </xf>
    <xf numFmtId="165" fontId="1" fillId="2" borderId="9" xfId="0" applyNumberFormat="1" applyFont="1" applyFill="1" applyBorder="1" applyAlignment="1">
      <alignment horizontal="center"/>
    </xf>
    <xf numFmtId="0" fontId="6" fillId="2" borderId="0" xfId="0" applyFont="1" applyFill="1"/>
    <xf numFmtId="3" fontId="1" fillId="2" borderId="9" xfId="0" applyNumberFormat="1" applyFont="1" applyFill="1" applyBorder="1" applyAlignment="1">
      <alignment horizontal="center" vertical="center"/>
    </xf>
    <xf numFmtId="3" fontId="6" fillId="2" borderId="9" xfId="0" applyNumberFormat="1" applyFont="1" applyFill="1" applyBorder="1" applyAlignment="1">
      <alignment horizontal="center" vertical="center"/>
    </xf>
    <xf numFmtId="3" fontId="7" fillId="2" borderId="9" xfId="0" applyNumberFormat="1" applyFont="1" applyFill="1" applyBorder="1" applyAlignment="1">
      <alignment horizontal="center" vertical="center"/>
    </xf>
    <xf numFmtId="0" fontId="1" fillId="2" borderId="12" xfId="0" applyFont="1" applyFill="1" applyBorder="1"/>
    <xf numFmtId="0" fontId="7" fillId="2" borderId="11" xfId="0" applyFont="1" applyFill="1" applyBorder="1" applyAlignment="1">
      <alignment horizontal="center" wrapText="1"/>
    </xf>
    <xf numFmtId="0" fontId="1" fillId="2" borderId="9" xfId="0" applyFont="1" applyFill="1" applyBorder="1" applyAlignment="1">
      <alignment horizontal="center"/>
    </xf>
    <xf numFmtId="9" fontId="1" fillId="2" borderId="9" xfId="0" applyNumberFormat="1" applyFont="1" applyFill="1" applyBorder="1" applyAlignment="1">
      <alignment horizontal="center"/>
    </xf>
    <xf numFmtId="0" fontId="7"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horizontal="center" vertical="center"/>
    </xf>
    <xf numFmtId="166" fontId="1" fillId="2" borderId="9" xfId="0" applyNumberFormat="1" applyFont="1" applyFill="1" applyBorder="1" applyAlignment="1">
      <alignment horizontal="center" vertical="center"/>
    </xf>
    <xf numFmtId="0" fontId="1" fillId="2" borderId="15" xfId="0" applyFont="1" applyFill="1" applyBorder="1" applyAlignment="1">
      <alignment vertical="center"/>
    </xf>
    <xf numFmtId="0" fontId="1" fillId="2" borderId="14" xfId="0" applyFont="1" applyFill="1" applyBorder="1"/>
    <xf numFmtId="9" fontId="1" fillId="2" borderId="9" xfId="0" applyNumberFormat="1" applyFont="1" applyFill="1" applyBorder="1" applyAlignment="1">
      <alignment horizontal="center" vertical="center"/>
    </xf>
    <xf numFmtId="0" fontId="4" fillId="4" borderId="9" xfId="0" applyFont="1" applyFill="1" applyBorder="1" applyAlignment="1">
      <alignment horizontal="center" vertical="center"/>
    </xf>
    <xf numFmtId="0" fontId="6" fillId="5" borderId="9" xfId="0" applyFont="1" applyFill="1" applyBorder="1" applyAlignment="1">
      <alignment horizontal="center" vertical="center"/>
    </xf>
    <xf numFmtId="2" fontId="1" fillId="2" borderId="9" xfId="0" applyNumberFormat="1" applyFont="1" applyFill="1" applyBorder="1" applyAlignment="1">
      <alignment horizontal="center" vertical="center" wrapText="1"/>
    </xf>
    <xf numFmtId="9" fontId="1" fillId="3" borderId="0" xfId="0" applyNumberFormat="1" applyFont="1" applyFill="1"/>
    <xf numFmtId="9" fontId="1" fillId="3" borderId="9" xfId="0" applyNumberFormat="1" applyFont="1" applyFill="1" applyBorder="1" applyAlignment="1">
      <alignment horizontal="center"/>
    </xf>
    <xf numFmtId="0" fontId="2" fillId="2" borderId="0" xfId="0" applyFont="1" applyFill="1"/>
    <xf numFmtId="0" fontId="1" fillId="2" borderId="0" xfId="0" applyFont="1" applyFill="1" applyAlignment="1">
      <alignment vertical="center"/>
    </xf>
    <xf numFmtId="0" fontId="8" fillId="2" borderId="0" xfId="0" applyFont="1" applyFill="1"/>
    <xf numFmtId="10" fontId="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xf>
    <xf numFmtId="0" fontId="1" fillId="2" borderId="0" xfId="0" quotePrefix="1" applyFont="1" applyFill="1"/>
    <xf numFmtId="168" fontId="1" fillId="2" borderId="9" xfId="0" applyNumberFormat="1" applyFont="1" applyFill="1" applyBorder="1" applyAlignment="1">
      <alignment horizontal="center" vertical="center" wrapText="1"/>
    </xf>
    <xf numFmtId="9" fontId="1" fillId="2" borderId="9" xfId="0" applyNumberFormat="1" applyFont="1" applyFill="1" applyBorder="1" applyAlignment="1">
      <alignment horizontal="center" vertical="center" wrapText="1"/>
    </xf>
    <xf numFmtId="0" fontId="1" fillId="2" borderId="0" xfId="0" applyFont="1" applyFill="1" applyAlignment="1">
      <alignment horizontal="center" vertical="center"/>
    </xf>
    <xf numFmtId="0" fontId="2" fillId="0" borderId="0" xfId="0" applyFont="1" applyAlignment="1">
      <alignment horizontal="left" vertical="center" indent="2"/>
    </xf>
    <xf numFmtId="0" fontId="1" fillId="2" borderId="0" xfId="0" applyFont="1" applyFill="1" applyAlignment="1">
      <alignment horizontal="left" vertical="center"/>
    </xf>
    <xf numFmtId="0" fontId="8" fillId="2" borderId="0" xfId="0" applyFont="1" applyFill="1" applyAlignment="1">
      <alignment horizontal="left"/>
    </xf>
    <xf numFmtId="3" fontId="1" fillId="2" borderId="9" xfId="0" applyNumberFormat="1" applyFont="1" applyFill="1" applyBorder="1" applyAlignment="1">
      <alignment horizont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16" fontId="7" fillId="2" borderId="9" xfId="0" quotePrefix="1" applyNumberFormat="1"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center" shrinkToFit="1"/>
    </xf>
    <xf numFmtId="0" fontId="5" fillId="0" borderId="7" xfId="0" applyFont="1" applyBorder="1" applyAlignment="1">
      <alignment horizontal="center"/>
    </xf>
    <xf numFmtId="0" fontId="5" fillId="0" borderId="7" xfId="0" applyFont="1" applyBorder="1" applyAlignment="1">
      <alignment horizontal="centerContinuous" shrinkToFit="1"/>
    </xf>
    <xf numFmtId="0" fontId="5" fillId="0" borderId="0" xfId="0" applyFont="1" applyAlignment="1">
      <alignment horizontal="centerContinuous" shrinkToFit="1"/>
    </xf>
    <xf numFmtId="0" fontId="2" fillId="0" borderId="0" xfId="0" applyFont="1" applyAlignment="1">
      <alignment horizontal="center"/>
    </xf>
    <xf numFmtId="0" fontId="5" fillId="0" borderId="0" xfId="0" applyFont="1" applyAlignment="1">
      <alignment horizontal="left"/>
    </xf>
    <xf numFmtId="3" fontId="5" fillId="0" borderId="0" xfId="0" applyNumberFormat="1" applyFont="1" applyAlignment="1">
      <alignment horizontal="center"/>
    </xf>
    <xf numFmtId="4" fontId="5" fillId="0" borderId="0" xfId="0" applyNumberFormat="1" applyFont="1" applyAlignment="1">
      <alignment horizontal="center"/>
    </xf>
    <xf numFmtId="3" fontId="2" fillId="0" borderId="0" xfId="0" applyNumberFormat="1" applyFont="1"/>
    <xf numFmtId="0" fontId="2" fillId="0" borderId="0" xfId="0" quotePrefix="1" applyFont="1" applyAlignment="1">
      <alignment horizontal="right"/>
    </xf>
    <xf numFmtId="0" fontId="2" fillId="0" borderId="0" xfId="0" quotePrefix="1" applyFont="1" applyAlignment="1">
      <alignment horizontal="center"/>
    </xf>
    <xf numFmtId="0" fontId="2" fillId="0" borderId="0" xfId="0" quotePrefix="1" applyFont="1"/>
    <xf numFmtId="0" fontId="2" fillId="0" borderId="0" xfId="0" applyFont="1" applyAlignment="1">
      <alignment horizontal="right"/>
    </xf>
    <xf numFmtId="166" fontId="2" fillId="0" borderId="0" xfId="0" applyNumberFormat="1" applyFont="1" applyAlignment="1">
      <alignment horizontal="center"/>
    </xf>
    <xf numFmtId="0" fontId="0" fillId="0" borderId="4" xfId="0" applyBorder="1"/>
    <xf numFmtId="0" fontId="11" fillId="0" borderId="0" xfId="0" applyFont="1" applyAlignment="1">
      <alignment horizontal="centerContinuous"/>
    </xf>
    <xf numFmtId="0" fontId="2" fillId="0" borderId="0" xfId="0" applyFont="1" applyAlignment="1">
      <alignment horizontal="centerContinuous"/>
    </xf>
    <xf numFmtId="0" fontId="2" fillId="0" borderId="7" xfId="0" applyFont="1" applyBorder="1" applyAlignment="1">
      <alignment horizontal="center" wrapText="1"/>
    </xf>
    <xf numFmtId="167" fontId="2" fillId="0" borderId="7" xfId="2" applyNumberFormat="1" applyFont="1" applyFill="1" applyBorder="1" applyAlignment="1">
      <alignment horizontal="center" wrapText="1"/>
    </xf>
    <xf numFmtId="15" fontId="10" fillId="2" borderId="0" xfId="0" applyNumberFormat="1" applyFont="1" applyFill="1"/>
    <xf numFmtId="168" fontId="2" fillId="0" borderId="0" xfId="0" applyNumberFormat="1" applyFont="1"/>
    <xf numFmtId="0" fontId="5" fillId="0" borderId="0" xfId="0" quotePrefix="1" applyFont="1" applyAlignment="1">
      <alignment horizontal="center"/>
    </xf>
    <xf numFmtId="0" fontId="5" fillId="0" borderId="7" xfId="0" applyFont="1" applyBorder="1" applyAlignment="1">
      <alignment horizontal="center" wrapText="1"/>
    </xf>
    <xf numFmtId="166" fontId="5" fillId="0" borderId="0" xfId="0" applyNumberFormat="1" applyFont="1" applyAlignment="1">
      <alignment horizontal="center"/>
    </xf>
    <xf numFmtId="3" fontId="2" fillId="0" borderId="0" xfId="0" applyNumberFormat="1" applyFont="1" applyAlignment="1">
      <alignment horizontal="center"/>
    </xf>
    <xf numFmtId="0" fontId="5" fillId="0" borderId="0" xfId="0" quotePrefix="1" applyFont="1"/>
    <xf numFmtId="2" fontId="2" fillId="0" borderId="0" xfId="0" applyNumberFormat="1" applyFont="1" applyAlignment="1">
      <alignment horizontal="center"/>
    </xf>
    <xf numFmtId="4" fontId="2" fillId="0" borderId="0" xfId="0" applyNumberFormat="1" applyFont="1" applyAlignment="1">
      <alignment horizontal="center"/>
    </xf>
    <xf numFmtId="169" fontId="2" fillId="0" borderId="0" xfId="0" applyNumberFormat="1" applyFont="1" applyAlignment="1">
      <alignment horizontal="center"/>
    </xf>
    <xf numFmtId="0" fontId="2" fillId="0" borderId="7" xfId="0" applyFont="1" applyBorder="1" applyAlignment="1">
      <alignment horizontal="centerContinuous"/>
    </xf>
    <xf numFmtId="0" fontId="2" fillId="0" borderId="7" xfId="0" applyFont="1" applyBorder="1" applyAlignment="1">
      <alignment horizontal="center"/>
    </xf>
    <xf numFmtId="167" fontId="5" fillId="0" borderId="7" xfId="0" applyNumberFormat="1" applyFont="1" applyBorder="1" applyAlignment="1">
      <alignment horizontal="center"/>
    </xf>
    <xf numFmtId="170" fontId="2" fillId="0" borderId="0" xfId="0" applyNumberFormat="1" applyFont="1" applyAlignment="1">
      <alignment horizontal="center"/>
    </xf>
    <xf numFmtId="3" fontId="2" fillId="0" borderId="7" xfId="0" applyNumberFormat="1" applyFont="1" applyBorder="1" applyAlignment="1">
      <alignment horizontal="center"/>
    </xf>
    <xf numFmtId="4" fontId="2" fillId="0" borderId="7" xfId="0" applyNumberFormat="1" applyFont="1" applyBorder="1" applyAlignment="1">
      <alignment horizontal="center"/>
    </xf>
    <xf numFmtId="170" fontId="2" fillId="0" borderId="7" xfId="0" applyNumberFormat="1" applyFont="1" applyBorder="1" applyAlignment="1">
      <alignment horizontal="center"/>
    </xf>
    <xf numFmtId="0" fontId="12" fillId="0" borderId="0" xfId="0" applyFont="1"/>
    <xf numFmtId="10" fontId="5" fillId="0" borderId="0" xfId="2" applyNumberFormat="1" applyFont="1" applyFill="1" applyBorder="1" applyAlignment="1">
      <alignment horizontal="center"/>
    </xf>
    <xf numFmtId="170" fontId="5" fillId="0" borderId="0" xfId="0" applyNumberFormat="1" applyFont="1" applyAlignment="1">
      <alignment horizontal="center"/>
    </xf>
    <xf numFmtId="3" fontId="5" fillId="0" borderId="7" xfId="0" applyNumberFormat="1" applyFont="1" applyBorder="1" applyAlignment="1">
      <alignment horizontal="center"/>
    </xf>
    <xf numFmtId="166" fontId="5" fillId="0" borderId="7" xfId="0" applyNumberFormat="1" applyFont="1" applyBorder="1" applyAlignment="1">
      <alignment horizontal="center"/>
    </xf>
    <xf numFmtId="10" fontId="5" fillId="0" borderId="7" xfId="2" applyNumberFormat="1" applyFont="1" applyFill="1" applyBorder="1" applyAlignment="1">
      <alignment horizontal="center"/>
    </xf>
    <xf numFmtId="170" fontId="5" fillId="0" borderId="7" xfId="0" applyNumberFormat="1" applyFont="1" applyBorder="1" applyAlignment="1">
      <alignment horizontal="center"/>
    </xf>
    <xf numFmtId="171" fontId="5" fillId="0" borderId="0" xfId="1" applyNumberFormat="1" applyFont="1" applyFill="1"/>
    <xf numFmtId="2" fontId="2" fillId="0" borderId="0" xfId="0" applyNumberFormat="1" applyFont="1"/>
    <xf numFmtId="171" fontId="2" fillId="0" borderId="0" xfId="1" applyNumberFormat="1" applyFont="1" applyFill="1"/>
    <xf numFmtId="172" fontId="1" fillId="0" borderId="0" xfId="0" applyNumberFormat="1" applyFont="1" applyAlignment="1">
      <alignment horizontal="center"/>
    </xf>
    <xf numFmtId="10" fontId="1" fillId="0" borderId="0" xfId="0" applyNumberFormat="1" applyFont="1" applyAlignment="1">
      <alignment horizontal="center"/>
    </xf>
    <xf numFmtId="172" fontId="5" fillId="0" borderId="0" xfId="2" applyNumberFormat="1" applyFont="1" applyFill="1" applyBorder="1" applyAlignment="1">
      <alignment horizontal="center"/>
    </xf>
    <xf numFmtId="173" fontId="5" fillId="0" borderId="0" xfId="0" applyNumberFormat="1" applyFont="1" applyAlignment="1">
      <alignment horizontal="center"/>
    </xf>
    <xf numFmtId="172" fontId="5" fillId="0" borderId="7" xfId="2" applyNumberFormat="1" applyFont="1" applyFill="1" applyBorder="1" applyAlignment="1">
      <alignment horizontal="center"/>
    </xf>
    <xf numFmtId="173" fontId="5" fillId="0" borderId="7" xfId="0" applyNumberFormat="1" applyFont="1" applyBorder="1" applyAlignment="1">
      <alignment horizontal="center"/>
    </xf>
    <xf numFmtId="4" fontId="5" fillId="0" borderId="7" xfId="0" applyNumberFormat="1" applyFont="1" applyBorder="1" applyAlignment="1">
      <alignment horizontal="center"/>
    </xf>
    <xf numFmtId="172" fontId="5" fillId="0" borderId="0" xfId="0" applyNumberFormat="1" applyFont="1" applyAlignment="1">
      <alignment horizontal="center"/>
    </xf>
    <xf numFmtId="172" fontId="5" fillId="0" borderId="9" xfId="0" applyNumberFormat="1" applyFont="1" applyBorder="1" applyAlignment="1">
      <alignment horizontal="center"/>
    </xf>
    <xf numFmtId="4" fontId="5" fillId="0" borderId="9" xfId="0" applyNumberFormat="1" applyFont="1" applyBorder="1" applyAlignment="1">
      <alignment horizontal="center"/>
    </xf>
    <xf numFmtId="0" fontId="1" fillId="0" borderId="0" xfId="0" applyFont="1" applyAlignment="1">
      <alignment horizontal="center"/>
    </xf>
    <xf numFmtId="164" fontId="5" fillId="0" borderId="0" xfId="0" applyNumberFormat="1" applyFont="1" applyAlignment="1">
      <alignment horizontal="center"/>
    </xf>
    <xf numFmtId="167" fontId="5" fillId="0" borderId="0" xfId="0" applyNumberFormat="1" applyFont="1" applyAlignment="1">
      <alignment horizontal="center"/>
    </xf>
    <xf numFmtId="9" fontId="5" fillId="0" borderId="0" xfId="0" applyNumberFormat="1" applyFont="1" applyAlignment="1">
      <alignment horizontal="left"/>
    </xf>
    <xf numFmtId="0" fontId="5" fillId="0" borderId="7" xfId="0" applyFont="1" applyBorder="1" applyAlignment="1">
      <alignment horizontal="centerContinuous"/>
    </xf>
    <xf numFmtId="169" fontId="5" fillId="0" borderId="0" xfId="0" applyNumberFormat="1" applyFont="1" applyAlignment="1">
      <alignment horizontal="center"/>
    </xf>
    <xf numFmtId="174" fontId="5" fillId="0" borderId="0" xfId="2" applyNumberFormat="1" applyFont="1" applyFill="1" applyAlignment="1">
      <alignment horizontal="center"/>
    </xf>
    <xf numFmtId="15"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5" fontId="5" fillId="0" borderId="7"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169" fontId="5" fillId="0" borderId="7" xfId="0" applyNumberFormat="1" applyFont="1" applyBorder="1" applyAlignment="1">
      <alignment horizontal="center"/>
    </xf>
    <xf numFmtId="174" fontId="5" fillId="0" borderId="7" xfId="2" applyNumberFormat="1" applyFont="1" applyFill="1" applyBorder="1" applyAlignment="1">
      <alignment horizontal="center"/>
    </xf>
    <xf numFmtId="9" fontId="5" fillId="0" borderId="0" xfId="0" applyNumberFormat="1" applyFont="1" applyAlignment="1">
      <alignment horizontal="center"/>
    </xf>
    <xf numFmtId="9" fontId="2" fillId="0" borderId="0" xfId="0" applyNumberFormat="1" applyFont="1"/>
    <xf numFmtId="9" fontId="5" fillId="0" borderId="0" xfId="0" applyNumberFormat="1" applyFont="1"/>
    <xf numFmtId="0" fontId="13" fillId="0" borderId="0" xfId="0" applyFont="1" applyAlignment="1">
      <alignment horizontal="left"/>
    </xf>
    <xf numFmtId="37" fontId="5" fillId="0" borderId="0" xfId="0" applyNumberFormat="1" applyFont="1" applyAlignment="1">
      <alignment horizontal="center"/>
    </xf>
    <xf numFmtId="175" fontId="5" fillId="0" borderId="0" xfId="1" applyNumberFormat="1" applyFont="1" applyFill="1" applyAlignment="1">
      <alignment horizontal="center"/>
    </xf>
    <xf numFmtId="176" fontId="5" fillId="0" borderId="0" xfId="1" applyNumberFormat="1" applyFont="1" applyFill="1" applyAlignment="1">
      <alignment horizontal="center"/>
    </xf>
    <xf numFmtId="10" fontId="5" fillId="0" borderId="0" xfId="2" applyNumberFormat="1" applyFont="1" applyFill="1" applyAlignment="1">
      <alignment horizontal="center"/>
    </xf>
    <xf numFmtId="39" fontId="5" fillId="0" borderId="0" xfId="1" applyNumberFormat="1" applyFont="1" applyFill="1" applyAlignment="1">
      <alignment horizontal="center"/>
    </xf>
    <xf numFmtId="175" fontId="5" fillId="0" borderId="0" xfId="1" applyNumberFormat="1" applyFont="1" applyFill="1" applyBorder="1" applyAlignment="1">
      <alignment horizontal="center"/>
    </xf>
    <xf numFmtId="176" fontId="5" fillId="0" borderId="0" xfId="1" applyNumberFormat="1" applyFont="1" applyFill="1" applyBorder="1" applyAlignment="1">
      <alignment horizontal="center"/>
    </xf>
    <xf numFmtId="39" fontId="5" fillId="0" borderId="0" xfId="1" applyNumberFormat="1" applyFont="1" applyFill="1" applyBorder="1" applyAlignment="1">
      <alignment horizontal="center"/>
    </xf>
    <xf numFmtId="167" fontId="5" fillId="0" borderId="0" xfId="2" applyNumberFormat="1" applyFont="1" applyFill="1" applyAlignment="1">
      <alignment horizontal="center"/>
    </xf>
    <xf numFmtId="10" fontId="2" fillId="0" borderId="0" xfId="2" applyNumberFormat="1" applyFont="1" applyFill="1" applyBorder="1" applyAlignment="1">
      <alignment horizontal="center"/>
    </xf>
    <xf numFmtId="10" fontId="2" fillId="0" borderId="7" xfId="2" applyNumberFormat="1" applyFont="1" applyFill="1" applyBorder="1" applyAlignment="1">
      <alignment horizontal="center"/>
    </xf>
    <xf numFmtId="10" fontId="2" fillId="0" borderId="0" xfId="0" applyNumberFormat="1" applyFont="1" applyAlignment="1">
      <alignment horizontal="center"/>
    </xf>
    <xf numFmtId="10" fontId="2" fillId="0" borderId="0" xfId="2" applyNumberFormat="1" applyFont="1" applyFill="1" applyAlignment="1">
      <alignment horizontal="center"/>
    </xf>
    <xf numFmtId="10" fontId="5" fillId="0" borderId="0" xfId="0" applyNumberFormat="1" applyFont="1" applyAlignment="1">
      <alignment horizontal="center"/>
    </xf>
    <xf numFmtId="15" fontId="5" fillId="0" borderId="0" xfId="0" applyNumberFormat="1" applyFont="1" applyAlignment="1">
      <alignment horizontal="center"/>
    </xf>
    <xf numFmtId="2" fontId="2" fillId="0" borderId="7" xfId="0" applyNumberFormat="1" applyFont="1" applyBorder="1" applyAlignment="1">
      <alignment horizontal="center"/>
    </xf>
    <xf numFmtId="10" fontId="10" fillId="0" borderId="0" xfId="0" applyNumberFormat="1" applyFont="1" applyAlignment="1">
      <alignment horizontal="center"/>
    </xf>
    <xf numFmtId="14" fontId="2" fillId="0" borderId="0" xfId="0" applyNumberFormat="1" applyFont="1" applyAlignment="1">
      <alignment horizontal="center"/>
    </xf>
    <xf numFmtId="4" fontId="5" fillId="0" borderId="0" xfId="0" applyNumberFormat="1" applyFont="1"/>
    <xf numFmtId="3" fontId="5" fillId="0" borderId="0" xfId="0" applyNumberFormat="1" applyFont="1"/>
    <xf numFmtId="10" fontId="5" fillId="0" borderId="0" xfId="2" applyNumberFormat="1" applyFont="1" applyFill="1"/>
    <xf numFmtId="0" fontId="15" fillId="0" borderId="0" xfId="0" applyFont="1" applyAlignment="1">
      <alignment horizontal="left" vertical="center"/>
    </xf>
    <xf numFmtId="0" fontId="16" fillId="0" borderId="0" xfId="0" applyFont="1" applyAlignment="1">
      <alignment horizontal="left" vertical="center"/>
    </xf>
    <xf numFmtId="0" fontId="14" fillId="0" borderId="0" xfId="0" applyFont="1"/>
    <xf numFmtId="3" fontId="17" fillId="0" borderId="0" xfId="0" applyNumberFormat="1" applyFont="1" applyAlignment="1">
      <alignment horizontal="center"/>
    </xf>
    <xf numFmtId="0" fontId="5" fillId="0" borderId="0" xfId="0" applyFont="1" applyAlignment="1">
      <alignment horizontal="center" vertical="center"/>
    </xf>
    <xf numFmtId="0" fontId="5" fillId="0" borderId="7" xfId="0" applyFont="1" applyBorder="1" applyAlignment="1">
      <alignment horizontal="center" vertical="center"/>
    </xf>
    <xf numFmtId="16" fontId="5" fillId="0" borderId="7" xfId="0" quotePrefix="1" applyNumberFormat="1" applyFont="1" applyBorder="1" applyAlignment="1">
      <alignment horizontal="center"/>
    </xf>
    <xf numFmtId="0" fontId="5" fillId="0" borderId="7" xfId="0" quotePrefix="1" applyFont="1" applyBorder="1" applyAlignment="1">
      <alignment horizontal="center"/>
    </xf>
    <xf numFmtId="0" fontId="5" fillId="0" borderId="9" xfId="0" applyFont="1" applyBorder="1" applyAlignment="1">
      <alignment horizontal="center"/>
    </xf>
    <xf numFmtId="3" fontId="5" fillId="0" borderId="9" xfId="2" applyNumberFormat="1" applyFont="1" applyFill="1" applyBorder="1" applyAlignment="1">
      <alignment horizontal="center"/>
    </xf>
    <xf numFmtId="167" fontId="5" fillId="0" borderId="9" xfId="2" applyNumberFormat="1" applyFont="1" applyFill="1" applyBorder="1" applyAlignment="1">
      <alignment horizontal="center"/>
    </xf>
    <xf numFmtId="0" fontId="5" fillId="0" borderId="12" xfId="0" applyFont="1" applyBorder="1" applyAlignment="1">
      <alignment horizontal="center"/>
    </xf>
    <xf numFmtId="0" fontId="5" fillId="0" borderId="11" xfId="0" applyFont="1" applyBorder="1" applyAlignment="1">
      <alignment horizontal="center"/>
    </xf>
    <xf numFmtId="167" fontId="17" fillId="0" borderId="9" xfId="2" applyNumberFormat="1" applyFont="1" applyFill="1" applyBorder="1" applyAlignment="1">
      <alignment horizontal="center"/>
    </xf>
    <xf numFmtId="3" fontId="14" fillId="0" borderId="9" xfId="2" applyNumberFormat="1" applyFont="1" applyFill="1" applyBorder="1" applyAlignment="1">
      <alignment horizontal="center"/>
    </xf>
    <xf numFmtId="0" fontId="18" fillId="0" borderId="0" xfId="0" applyFont="1" applyAlignment="1">
      <alignment horizontal="left" vertical="center"/>
    </xf>
    <xf numFmtId="168" fontId="5" fillId="0" borderId="7" xfId="0" applyNumberFormat="1" applyFont="1" applyBorder="1" applyAlignment="1">
      <alignment horizontal="center"/>
    </xf>
    <xf numFmtId="9" fontId="5" fillId="0" borderId="7" xfId="0" applyNumberFormat="1" applyFont="1" applyBorder="1" applyAlignment="1">
      <alignment horizontal="center"/>
    </xf>
    <xf numFmtId="168" fontId="5" fillId="0" borderId="0" xfId="0" applyNumberFormat="1" applyFont="1" applyAlignment="1">
      <alignment horizontal="center"/>
    </xf>
    <xf numFmtId="3" fontId="5" fillId="0" borderId="0" xfId="0" quotePrefix="1" applyNumberFormat="1" applyFont="1" applyAlignment="1">
      <alignment horizontal="right"/>
    </xf>
    <xf numFmtId="167" fontId="5" fillId="0" borderId="0" xfId="0" applyNumberFormat="1" applyFont="1" applyAlignment="1">
      <alignment horizontal="left"/>
    </xf>
    <xf numFmtId="0" fontId="5" fillId="0" borderId="7" xfId="0" applyFont="1" applyBorder="1" applyAlignment="1">
      <alignment horizontal="centerContinuous" wrapText="1"/>
    </xf>
    <xf numFmtId="3" fontId="5" fillId="0" borderId="7" xfId="0" quotePrefix="1" applyNumberFormat="1" applyFont="1" applyBorder="1" applyAlignment="1">
      <alignment horizontal="right"/>
    </xf>
    <xf numFmtId="167" fontId="5" fillId="0" borderId="7" xfId="0" applyNumberFormat="1" applyFont="1" applyBorder="1" applyAlignment="1">
      <alignment horizontal="left"/>
    </xf>
    <xf numFmtId="0" fontId="20" fillId="0" borderId="0" xfId="0" applyFont="1"/>
    <xf numFmtId="164" fontId="5" fillId="0" borderId="7" xfId="0" applyNumberFormat="1" applyFont="1" applyBorder="1" applyAlignment="1">
      <alignment horizontal="center"/>
    </xf>
    <xf numFmtId="0" fontId="7" fillId="2" borderId="9" xfId="0" applyFont="1" applyFill="1" applyBorder="1" applyAlignment="1">
      <alignment horizontal="center" vertical="center" wrapText="1"/>
    </xf>
    <xf numFmtId="0" fontId="7" fillId="2" borderId="9" xfId="0" applyFont="1" applyFill="1" applyBorder="1" applyAlignment="1">
      <alignment horizontal="center" wrapText="1"/>
    </xf>
    <xf numFmtId="0" fontId="1" fillId="2" borderId="9"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0" xfId="0" applyFont="1" applyFill="1" applyBorder="1" applyAlignment="1">
      <alignment horizontal="center" vertical="center"/>
    </xf>
    <xf numFmtId="0" fontId="5" fillId="0" borderId="0" xfId="0" applyFont="1" applyAlignment="1">
      <alignment horizontal="center"/>
    </xf>
    <xf numFmtId="0" fontId="7" fillId="2" borderId="10" xfId="0" applyFont="1" applyFill="1" applyBorder="1" applyAlignment="1">
      <alignment horizontal="center" vertical="center" wrapText="1"/>
    </xf>
    <xf numFmtId="0" fontId="6" fillId="3" borderId="0" xfId="0" applyFont="1" applyFill="1" applyAlignment="1">
      <alignment wrapText="1"/>
    </xf>
    <xf numFmtId="0" fontId="7" fillId="2" borderId="9" xfId="0" applyFont="1" applyFill="1" applyBorder="1" applyAlignment="1">
      <alignment horizontal="center"/>
    </xf>
    <xf numFmtId="0" fontId="1" fillId="3" borderId="0" xfId="0" applyFont="1" applyFill="1" applyAlignment="1">
      <alignment wrapText="1"/>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9" xfId="0" applyFont="1" applyFill="1" applyBorder="1" applyAlignment="1">
      <alignment vertical="center"/>
    </xf>
    <xf numFmtId="0" fontId="1" fillId="2" borderId="9" xfId="0" applyFont="1" applyFill="1" applyBorder="1" applyAlignment="1">
      <alignment vertical="center"/>
    </xf>
    <xf numFmtId="0" fontId="1" fillId="2" borderId="0" xfId="0" applyFont="1" applyFill="1" applyAlignment="1">
      <alignment wrapText="1"/>
    </xf>
    <xf numFmtId="0" fontId="1" fillId="0" borderId="0" xfId="0" applyFont="1" applyAlignment="1">
      <alignment horizontal="center"/>
    </xf>
    <xf numFmtId="170" fontId="1" fillId="0" borderId="0" xfId="0" applyNumberFormat="1" applyFont="1"/>
    <xf numFmtId="169" fontId="1" fillId="0" borderId="0" xfId="0" applyNumberFormat="1" applyFont="1"/>
    <xf numFmtId="0" fontId="16" fillId="0" borderId="0" xfId="0" applyFont="1" applyAlignment="1">
      <alignment horizontal="left" vertical="center" wrapText="1"/>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0" borderId="0" xfId="0" applyFont="1" applyAlignment="1">
      <alignment horizontal="center" vertical="center"/>
    </xf>
    <xf numFmtId="0" fontId="5" fillId="0" borderId="9"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0</xdr:colOff>
      <xdr:row>28</xdr:row>
      <xdr:rowOff>9525</xdr:rowOff>
    </xdr:from>
    <xdr:to>
      <xdr:col>18</xdr:col>
      <xdr:colOff>19050</xdr:colOff>
      <xdr:row>31</xdr:row>
      <xdr:rowOff>238125</xdr:rowOff>
    </xdr:to>
    <xdr:cxnSp macro="">
      <xdr:nvCxnSpPr>
        <xdr:cNvPr id="4" name="Straight Connector 3">
          <a:extLst>
            <a:ext uri="{FF2B5EF4-FFF2-40B4-BE49-F238E27FC236}">
              <a16:creationId xmlns:a16="http://schemas.microsoft.com/office/drawing/2014/main" id="{91785BAD-C988-C914-7DAF-1BC79D941107}"/>
            </a:ext>
          </a:extLst>
        </xdr:cNvPr>
        <xdr:cNvCxnSpPr/>
      </xdr:nvCxnSpPr>
      <xdr:spPr>
        <a:xfrm flipV="1">
          <a:off x="9553575" y="5838825"/>
          <a:ext cx="1123950" cy="971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28</xdr:row>
      <xdr:rowOff>20955</xdr:rowOff>
    </xdr:from>
    <xdr:to>
      <xdr:col>22</xdr:col>
      <xdr:colOff>19050</xdr:colOff>
      <xdr:row>32</xdr:row>
      <xdr:rowOff>1905</xdr:rowOff>
    </xdr:to>
    <xdr:cxnSp macro="">
      <xdr:nvCxnSpPr>
        <xdr:cNvPr id="5" name="Straight Connector 4">
          <a:extLst>
            <a:ext uri="{FF2B5EF4-FFF2-40B4-BE49-F238E27FC236}">
              <a16:creationId xmlns:a16="http://schemas.microsoft.com/office/drawing/2014/main" id="{7AFC9890-B21F-4B27-A2BD-96B31BBC8D7D}"/>
            </a:ext>
          </a:extLst>
        </xdr:cNvPr>
        <xdr:cNvCxnSpPr/>
      </xdr:nvCxnSpPr>
      <xdr:spPr>
        <a:xfrm flipV="1">
          <a:off x="10658475" y="5850255"/>
          <a:ext cx="1123950" cy="971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28</xdr:row>
      <xdr:rowOff>9525</xdr:rowOff>
    </xdr:from>
    <xdr:to>
      <xdr:col>29</xdr:col>
      <xdr:colOff>19050</xdr:colOff>
      <xdr:row>31</xdr:row>
      <xdr:rowOff>234315</xdr:rowOff>
    </xdr:to>
    <xdr:cxnSp macro="">
      <xdr:nvCxnSpPr>
        <xdr:cNvPr id="6" name="Straight Connector 5">
          <a:extLst>
            <a:ext uri="{FF2B5EF4-FFF2-40B4-BE49-F238E27FC236}">
              <a16:creationId xmlns:a16="http://schemas.microsoft.com/office/drawing/2014/main" id="{8782D85C-946E-4DDB-A798-AC848FF25BDC}"/>
            </a:ext>
          </a:extLst>
        </xdr:cNvPr>
        <xdr:cNvCxnSpPr/>
      </xdr:nvCxnSpPr>
      <xdr:spPr>
        <a:xfrm flipV="1">
          <a:off x="12592050" y="5838825"/>
          <a:ext cx="1123950" cy="9677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42</xdr:row>
      <xdr:rowOff>9525</xdr:rowOff>
    </xdr:from>
    <xdr:to>
      <xdr:col>18</xdr:col>
      <xdr:colOff>19050</xdr:colOff>
      <xdr:row>45</xdr:row>
      <xdr:rowOff>238125</xdr:rowOff>
    </xdr:to>
    <xdr:cxnSp macro="">
      <xdr:nvCxnSpPr>
        <xdr:cNvPr id="10" name="Straight Connector 9">
          <a:extLst>
            <a:ext uri="{FF2B5EF4-FFF2-40B4-BE49-F238E27FC236}">
              <a16:creationId xmlns:a16="http://schemas.microsoft.com/office/drawing/2014/main" id="{D69DD475-34D1-4339-8E2D-D447D8A27B19}"/>
            </a:ext>
          </a:extLst>
        </xdr:cNvPr>
        <xdr:cNvCxnSpPr/>
      </xdr:nvCxnSpPr>
      <xdr:spPr>
        <a:xfrm flipV="1">
          <a:off x="9553575" y="5840730"/>
          <a:ext cx="1120140" cy="971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42</xdr:row>
      <xdr:rowOff>19050</xdr:rowOff>
    </xdr:from>
    <xdr:to>
      <xdr:col>20</xdr:col>
      <xdr:colOff>9525</xdr:colOff>
      <xdr:row>46</xdr:row>
      <xdr:rowOff>1905</xdr:rowOff>
    </xdr:to>
    <xdr:cxnSp macro="">
      <xdr:nvCxnSpPr>
        <xdr:cNvPr id="11" name="Straight Connector 10">
          <a:extLst>
            <a:ext uri="{FF2B5EF4-FFF2-40B4-BE49-F238E27FC236}">
              <a16:creationId xmlns:a16="http://schemas.microsoft.com/office/drawing/2014/main" id="{034F9A8A-FC6A-45A8-A23F-4DB80490DC19}"/>
            </a:ext>
          </a:extLst>
        </xdr:cNvPr>
        <xdr:cNvCxnSpPr/>
      </xdr:nvCxnSpPr>
      <xdr:spPr>
        <a:xfrm flipV="1">
          <a:off x="10658475" y="8839200"/>
          <a:ext cx="561975" cy="9734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42</xdr:row>
      <xdr:rowOff>19050</xdr:rowOff>
    </xdr:from>
    <xdr:to>
      <xdr:col>27</xdr:col>
      <xdr:colOff>0</xdr:colOff>
      <xdr:row>45</xdr:row>
      <xdr:rowOff>236220</xdr:rowOff>
    </xdr:to>
    <xdr:cxnSp macro="">
      <xdr:nvCxnSpPr>
        <xdr:cNvPr id="12" name="Straight Connector 11">
          <a:extLst>
            <a:ext uri="{FF2B5EF4-FFF2-40B4-BE49-F238E27FC236}">
              <a16:creationId xmlns:a16="http://schemas.microsoft.com/office/drawing/2014/main" id="{891C6FD5-04C6-4947-AAB9-C7B1F0630E07}"/>
            </a:ext>
          </a:extLst>
        </xdr:cNvPr>
        <xdr:cNvCxnSpPr/>
      </xdr:nvCxnSpPr>
      <xdr:spPr>
        <a:xfrm flipV="1">
          <a:off x="12592050" y="8839200"/>
          <a:ext cx="552450" cy="9601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CE2F-AEC1-4A0A-9F06-F548DA5064BE}">
  <dimension ref="A1:R130"/>
  <sheetViews>
    <sheetView tabSelected="1" zoomScaleNormal="100" workbookViewId="0"/>
  </sheetViews>
  <sheetFormatPr defaultColWidth="8.85546875" defaultRowHeight="15.75" x14ac:dyDescent="0.25"/>
  <cols>
    <col min="1" max="1" width="8.85546875" style="1" customWidth="1"/>
    <col min="2" max="7" width="14.7109375" style="1" customWidth="1"/>
    <col min="8" max="8" width="18.140625" style="1" customWidth="1"/>
    <col min="9" max="9" width="14.7109375" style="1" customWidth="1"/>
    <col min="10" max="16384" width="8.85546875" style="1"/>
  </cols>
  <sheetData>
    <row r="1" spans="1:12" ht="18.75" x14ac:dyDescent="0.3">
      <c r="A1" s="2" t="s">
        <v>8</v>
      </c>
      <c r="B1" s="4"/>
      <c r="C1" s="8" t="s">
        <v>11</v>
      </c>
      <c r="D1" s="4"/>
      <c r="E1" s="4"/>
      <c r="F1" s="4"/>
      <c r="G1" s="4"/>
      <c r="H1" s="4"/>
      <c r="I1" s="4"/>
      <c r="J1" s="4"/>
      <c r="K1" s="4"/>
      <c r="L1" s="3"/>
    </row>
    <row r="2" spans="1:12" x14ac:dyDescent="0.25">
      <c r="A2" s="4"/>
      <c r="B2" s="4"/>
      <c r="C2" s="4"/>
      <c r="D2" s="4"/>
      <c r="E2" s="4"/>
      <c r="F2" s="4"/>
      <c r="G2" s="4"/>
      <c r="H2" s="4"/>
      <c r="I2" s="4"/>
      <c r="J2" s="4"/>
      <c r="K2" s="4"/>
      <c r="L2" s="3"/>
    </row>
    <row r="3" spans="1:12" x14ac:dyDescent="0.25">
      <c r="A3" s="4" t="s">
        <v>12</v>
      </c>
      <c r="B3" s="4"/>
      <c r="C3" s="4"/>
      <c r="D3" s="4"/>
      <c r="E3" s="4"/>
      <c r="F3" s="4"/>
      <c r="G3" s="4"/>
      <c r="H3" s="4"/>
      <c r="I3" s="4"/>
      <c r="J3" s="4"/>
      <c r="K3" s="4"/>
      <c r="L3" s="3"/>
    </row>
    <row r="4" spans="1:12" x14ac:dyDescent="0.25">
      <c r="A4" s="9"/>
      <c r="B4" s="4"/>
      <c r="C4" s="4"/>
      <c r="D4" s="4"/>
      <c r="E4" s="4"/>
      <c r="F4" s="4"/>
      <c r="G4" s="4"/>
      <c r="H4" s="8"/>
      <c r="I4" s="8"/>
      <c r="J4" s="8"/>
      <c r="K4" s="8"/>
      <c r="L4" s="8"/>
    </row>
    <row r="5" spans="1:12" x14ac:dyDescent="0.25">
      <c r="A5" s="9"/>
      <c r="B5" s="27" t="s">
        <v>13</v>
      </c>
      <c r="C5" s="202" t="s">
        <v>15</v>
      </c>
      <c r="D5" s="195"/>
      <c r="E5" s="195"/>
      <c r="F5" s="195"/>
      <c r="G5" s="4"/>
      <c r="H5" s="8"/>
      <c r="I5" s="8"/>
      <c r="J5" s="8"/>
      <c r="K5" s="8"/>
      <c r="L5" s="8"/>
    </row>
    <row r="6" spans="1:12" x14ac:dyDescent="0.25">
      <c r="A6" s="9"/>
      <c r="B6" s="28" t="s">
        <v>14</v>
      </c>
      <c r="C6" s="24">
        <v>12</v>
      </c>
      <c r="D6" s="20">
        <v>24</v>
      </c>
      <c r="E6" s="20">
        <v>36</v>
      </c>
      <c r="F6" s="20">
        <v>48</v>
      </c>
      <c r="G6" s="4"/>
      <c r="H6" s="8"/>
      <c r="I6" s="8"/>
      <c r="J6" s="8"/>
      <c r="K6" s="8"/>
      <c r="L6" s="8"/>
    </row>
    <row r="7" spans="1:12" x14ac:dyDescent="0.25">
      <c r="A7" s="9"/>
      <c r="B7" s="25">
        <v>2019</v>
      </c>
      <c r="C7" s="22">
        <v>1148</v>
      </c>
      <c r="D7" s="22">
        <v>1783</v>
      </c>
      <c r="E7" s="22">
        <v>2526</v>
      </c>
      <c r="F7" s="22">
        <v>3410</v>
      </c>
      <c r="G7" s="4"/>
      <c r="H7" s="8"/>
      <c r="I7" s="8"/>
      <c r="J7" s="8"/>
      <c r="K7" s="8"/>
      <c r="L7" s="8"/>
    </row>
    <row r="8" spans="1:12" x14ac:dyDescent="0.25">
      <c r="A8" s="9"/>
      <c r="B8" s="21">
        <v>2020</v>
      </c>
      <c r="C8" s="22">
        <v>3427</v>
      </c>
      <c r="D8" s="22">
        <v>4893</v>
      </c>
      <c r="E8" s="22">
        <v>6847</v>
      </c>
      <c r="F8" s="21"/>
      <c r="G8" s="4"/>
      <c r="H8" s="8"/>
      <c r="I8" s="8"/>
      <c r="J8" s="8"/>
      <c r="K8" s="8"/>
      <c r="L8" s="8"/>
    </row>
    <row r="9" spans="1:12" x14ac:dyDescent="0.25">
      <c r="A9" s="4"/>
      <c r="B9" s="21">
        <v>2021</v>
      </c>
      <c r="C9" s="22">
        <v>5710</v>
      </c>
      <c r="D9" s="22">
        <v>12170</v>
      </c>
      <c r="E9" s="21"/>
      <c r="F9" s="21"/>
      <c r="G9" s="4"/>
      <c r="H9" s="8"/>
      <c r="I9" s="8"/>
      <c r="J9" s="8"/>
      <c r="K9" s="8"/>
      <c r="L9" s="8"/>
    </row>
    <row r="10" spans="1:12" x14ac:dyDescent="0.25">
      <c r="A10" s="4"/>
      <c r="B10" s="21">
        <v>2022</v>
      </c>
      <c r="C10" s="22">
        <v>8035</v>
      </c>
      <c r="D10" s="21"/>
      <c r="E10" s="21"/>
      <c r="F10" s="23"/>
      <c r="G10" s="4"/>
      <c r="H10" s="8"/>
      <c r="I10" s="8"/>
      <c r="J10" s="8"/>
      <c r="K10" s="8"/>
      <c r="L10" s="8"/>
    </row>
    <row r="11" spans="1:12" x14ac:dyDescent="0.25">
      <c r="A11" s="9"/>
      <c r="B11" s="4"/>
      <c r="C11" s="4"/>
      <c r="D11" s="4"/>
      <c r="E11" s="4"/>
      <c r="F11" s="4"/>
      <c r="G11" s="4"/>
      <c r="H11" s="8"/>
      <c r="I11" s="8"/>
      <c r="J11" s="8"/>
      <c r="K11" s="8"/>
      <c r="L11" s="8"/>
    </row>
    <row r="12" spans="1:12" ht="16.149999999999999" customHeight="1" x14ac:dyDescent="0.25">
      <c r="A12" s="9"/>
      <c r="B12" s="27" t="s">
        <v>13</v>
      </c>
      <c r="C12" s="202" t="s">
        <v>16</v>
      </c>
      <c r="D12" s="195"/>
      <c r="E12" s="195"/>
      <c r="F12" s="195"/>
      <c r="G12" s="4"/>
      <c r="H12" s="8"/>
      <c r="I12" s="8"/>
      <c r="J12" s="8"/>
      <c r="K12" s="8"/>
      <c r="L12" s="8"/>
    </row>
    <row r="13" spans="1:12" x14ac:dyDescent="0.25">
      <c r="A13" s="9"/>
      <c r="B13" s="28" t="s">
        <v>14</v>
      </c>
      <c r="C13" s="24">
        <v>12</v>
      </c>
      <c r="D13" s="20">
        <v>24</v>
      </c>
      <c r="E13" s="20">
        <v>36</v>
      </c>
      <c r="F13" s="20">
        <v>48</v>
      </c>
      <c r="G13" s="4"/>
      <c r="H13" s="8"/>
      <c r="I13" s="8"/>
      <c r="J13" s="8"/>
      <c r="K13" s="8"/>
      <c r="L13" s="8"/>
    </row>
    <row r="14" spans="1:12" x14ac:dyDescent="0.25">
      <c r="A14" s="9"/>
      <c r="B14" s="25">
        <v>2019</v>
      </c>
      <c r="C14" s="22">
        <v>138</v>
      </c>
      <c r="D14" s="22">
        <v>466</v>
      </c>
      <c r="E14" s="22">
        <v>882</v>
      </c>
      <c r="F14" s="22">
        <v>1425</v>
      </c>
      <c r="G14" s="4"/>
      <c r="H14" s="8"/>
      <c r="I14" s="8"/>
      <c r="J14" s="8"/>
      <c r="K14" s="8"/>
      <c r="L14" s="8"/>
    </row>
    <row r="15" spans="1:12" x14ac:dyDescent="0.25">
      <c r="A15" s="9"/>
      <c r="B15" s="21">
        <v>2020</v>
      </c>
      <c r="C15" s="22">
        <v>413</v>
      </c>
      <c r="D15" s="22">
        <v>1269</v>
      </c>
      <c r="E15" s="22">
        <v>3148</v>
      </c>
      <c r="F15" s="21"/>
      <c r="G15" s="4"/>
      <c r="H15" s="8"/>
      <c r="I15" s="8"/>
      <c r="J15" s="8"/>
      <c r="K15" s="8"/>
      <c r="L15" s="8"/>
    </row>
    <row r="16" spans="1:12" x14ac:dyDescent="0.25">
      <c r="A16" s="9"/>
      <c r="B16" s="21">
        <v>2021</v>
      </c>
      <c r="C16" s="22">
        <v>689</v>
      </c>
      <c r="D16" s="22">
        <v>4140</v>
      </c>
      <c r="E16" s="21"/>
      <c r="F16" s="21"/>
      <c r="G16" s="4"/>
      <c r="H16" s="8"/>
      <c r="I16" s="8"/>
      <c r="J16" s="8"/>
      <c r="K16" s="8"/>
      <c r="L16" s="8"/>
    </row>
    <row r="17" spans="1:12" x14ac:dyDescent="0.25">
      <c r="A17" s="9"/>
      <c r="B17" s="21">
        <v>2022</v>
      </c>
      <c r="C17" s="22">
        <v>1286</v>
      </c>
      <c r="D17" s="21"/>
      <c r="E17" s="21"/>
      <c r="F17" s="23"/>
      <c r="G17" s="4"/>
      <c r="H17" s="8"/>
      <c r="I17" s="8"/>
      <c r="J17" s="8"/>
      <c r="K17" s="8"/>
      <c r="L17" s="8"/>
    </row>
    <row r="18" spans="1:12" x14ac:dyDescent="0.25">
      <c r="A18" s="9"/>
      <c r="B18" s="4"/>
      <c r="C18" s="4"/>
      <c r="D18" s="4"/>
      <c r="E18" s="4"/>
      <c r="F18" s="4"/>
      <c r="G18" s="4"/>
      <c r="H18" s="8"/>
      <c r="I18" s="8"/>
      <c r="J18" s="8"/>
      <c r="K18" s="8"/>
      <c r="L18" s="8"/>
    </row>
    <row r="19" spans="1:12" x14ac:dyDescent="0.25">
      <c r="A19" s="4" t="s">
        <v>17</v>
      </c>
      <c r="B19" s="4"/>
      <c r="C19" s="4"/>
      <c r="D19" s="4"/>
      <c r="E19" s="4"/>
      <c r="F19" s="4"/>
      <c r="G19" s="4"/>
      <c r="H19" s="8"/>
      <c r="I19" s="8"/>
      <c r="J19" s="8"/>
      <c r="K19" s="8"/>
      <c r="L19" s="8"/>
    </row>
    <row r="20" spans="1:12" x14ac:dyDescent="0.25">
      <c r="A20" s="9"/>
      <c r="B20" s="4"/>
      <c r="C20" s="4"/>
      <c r="D20" s="4"/>
      <c r="E20" s="4"/>
      <c r="F20" s="4"/>
      <c r="G20" s="4"/>
      <c r="H20" s="8"/>
      <c r="I20" s="8"/>
      <c r="J20" s="8"/>
      <c r="K20" s="8"/>
      <c r="L20" s="8"/>
    </row>
    <row r="21" spans="1:12" x14ac:dyDescent="0.25">
      <c r="A21" s="9"/>
      <c r="B21" s="27" t="s">
        <v>18</v>
      </c>
      <c r="C21" s="27" t="s">
        <v>20</v>
      </c>
      <c r="D21" s="26"/>
      <c r="E21" s="4"/>
      <c r="F21" s="4"/>
      <c r="G21" s="4"/>
      <c r="H21" s="8"/>
      <c r="I21" s="8"/>
      <c r="J21" s="8"/>
      <c r="K21" s="8"/>
      <c r="L21" s="8"/>
    </row>
    <row r="22" spans="1:12" x14ac:dyDescent="0.25">
      <c r="A22" s="9"/>
      <c r="B22" s="28" t="s">
        <v>19</v>
      </c>
      <c r="C22" s="28" t="s">
        <v>21</v>
      </c>
      <c r="D22" s="26"/>
      <c r="E22" s="4"/>
      <c r="F22" s="4"/>
      <c r="G22" s="4"/>
      <c r="H22" s="8"/>
      <c r="I22" s="8"/>
      <c r="J22" s="8"/>
      <c r="K22" s="8"/>
      <c r="L22" s="8"/>
    </row>
    <row r="23" spans="1:12" x14ac:dyDescent="0.25">
      <c r="A23" s="9"/>
      <c r="B23" s="21">
        <v>100</v>
      </c>
      <c r="C23" s="31">
        <v>43749</v>
      </c>
      <c r="D23" s="35"/>
      <c r="E23" s="4"/>
      <c r="F23" s="4"/>
      <c r="G23" s="4"/>
      <c r="H23" s="8"/>
      <c r="I23" s="8"/>
      <c r="J23" s="8"/>
      <c r="K23" s="8"/>
      <c r="L23" s="8"/>
    </row>
    <row r="24" spans="1:12" x14ac:dyDescent="0.25">
      <c r="A24" s="9"/>
      <c r="B24" s="21">
        <v>200</v>
      </c>
      <c r="C24" s="31">
        <v>43835</v>
      </c>
      <c r="D24" s="35"/>
      <c r="E24" s="4"/>
      <c r="F24" s="4"/>
      <c r="G24" s="4"/>
      <c r="H24" s="8"/>
      <c r="I24" s="8"/>
      <c r="J24" s="8"/>
      <c r="K24" s="8"/>
      <c r="L24" s="8"/>
    </row>
    <row r="25" spans="1:12" x14ac:dyDescent="0.25">
      <c r="A25" s="9"/>
      <c r="B25" s="21">
        <v>300</v>
      </c>
      <c r="C25" s="31">
        <v>44255</v>
      </c>
      <c r="D25" s="35"/>
      <c r="E25" s="4"/>
      <c r="F25" s="4"/>
      <c r="G25" s="4"/>
      <c r="H25" s="8"/>
      <c r="I25" s="8"/>
      <c r="J25" s="8"/>
      <c r="K25" s="8"/>
      <c r="L25" s="8"/>
    </row>
    <row r="26" spans="1:12" x14ac:dyDescent="0.25">
      <c r="A26" s="9"/>
      <c r="B26" s="4"/>
      <c r="C26" s="4"/>
      <c r="D26" s="4"/>
      <c r="E26" s="4"/>
      <c r="F26" s="4"/>
      <c r="G26" s="4"/>
      <c r="H26" s="8"/>
      <c r="I26" s="8"/>
      <c r="J26" s="8"/>
      <c r="K26" s="8"/>
      <c r="L26" s="8"/>
    </row>
    <row r="27" spans="1:12" ht="31.5" x14ac:dyDescent="0.25">
      <c r="A27" s="9"/>
      <c r="B27" s="32" t="s">
        <v>22</v>
      </c>
      <c r="C27" s="32" t="s">
        <v>23</v>
      </c>
      <c r="D27" s="33" t="s">
        <v>24</v>
      </c>
      <c r="E27" s="196" t="s">
        <v>25</v>
      </c>
      <c r="F27" s="196"/>
      <c r="G27" s="196"/>
      <c r="H27" s="33" t="s">
        <v>26</v>
      </c>
      <c r="I27" s="33" t="s">
        <v>27</v>
      </c>
      <c r="J27" s="8"/>
      <c r="K27" s="8"/>
      <c r="L27" s="8"/>
    </row>
    <row r="28" spans="1:12" ht="16.149999999999999" customHeight="1" x14ac:dyDescent="0.25">
      <c r="A28" s="9"/>
      <c r="B28" s="30">
        <v>1</v>
      </c>
      <c r="C28" s="30">
        <v>200</v>
      </c>
      <c r="D28" s="34">
        <v>43868</v>
      </c>
      <c r="E28" s="197" t="s">
        <v>28</v>
      </c>
      <c r="F28" s="197"/>
      <c r="G28" s="197"/>
      <c r="H28" s="30">
        <v>17</v>
      </c>
      <c r="I28" s="30"/>
      <c r="J28" s="8"/>
      <c r="K28" s="8"/>
      <c r="L28" s="8"/>
    </row>
    <row r="29" spans="1:12" x14ac:dyDescent="0.25">
      <c r="A29" s="9"/>
      <c r="B29" s="30">
        <v>2</v>
      </c>
      <c r="C29" s="30">
        <v>100</v>
      </c>
      <c r="D29" s="36">
        <v>43963</v>
      </c>
      <c r="E29" s="197" t="s">
        <v>28</v>
      </c>
      <c r="F29" s="197"/>
      <c r="G29" s="197"/>
      <c r="H29" s="30">
        <v>5</v>
      </c>
      <c r="I29" s="30"/>
      <c r="J29" s="8"/>
      <c r="K29" s="8"/>
      <c r="L29" s="8"/>
    </row>
    <row r="30" spans="1:12" x14ac:dyDescent="0.25">
      <c r="A30" s="9"/>
      <c r="B30" s="30">
        <v>3</v>
      </c>
      <c r="C30" s="30">
        <v>300</v>
      </c>
      <c r="D30" s="34">
        <v>44263</v>
      </c>
      <c r="E30" s="197" t="s">
        <v>28</v>
      </c>
      <c r="F30" s="197"/>
      <c r="G30" s="197"/>
      <c r="H30" s="30">
        <v>29</v>
      </c>
      <c r="I30" s="30"/>
      <c r="J30" s="8"/>
      <c r="K30" s="8"/>
      <c r="L30" s="8"/>
    </row>
    <row r="31" spans="1:12" x14ac:dyDescent="0.25">
      <c r="A31" s="9"/>
      <c r="B31" s="30">
        <v>4</v>
      </c>
      <c r="C31" s="30">
        <v>100</v>
      </c>
      <c r="D31" s="34">
        <v>44399</v>
      </c>
      <c r="E31" s="198" t="s">
        <v>29</v>
      </c>
      <c r="F31" s="199"/>
      <c r="G31" s="200"/>
      <c r="H31" s="30">
        <v>-5</v>
      </c>
      <c r="I31" s="30">
        <v>6</v>
      </c>
      <c r="J31" s="8"/>
      <c r="K31" s="8"/>
      <c r="L31" s="8"/>
    </row>
    <row r="32" spans="1:12" x14ac:dyDescent="0.25">
      <c r="A32" s="9"/>
      <c r="B32" s="30">
        <v>5</v>
      </c>
      <c r="C32" s="30">
        <v>200</v>
      </c>
      <c r="D32" s="34">
        <v>44513</v>
      </c>
      <c r="E32" s="197" t="s">
        <v>29</v>
      </c>
      <c r="F32" s="197"/>
      <c r="G32" s="197"/>
      <c r="H32" s="30">
        <v>-13</v>
      </c>
      <c r="I32" s="30">
        <v>6</v>
      </c>
      <c r="J32" s="8"/>
      <c r="K32" s="8"/>
      <c r="L32" s="8"/>
    </row>
    <row r="33" spans="1:18" x14ac:dyDescent="0.25">
      <c r="A33" s="9"/>
      <c r="B33" s="30">
        <v>6</v>
      </c>
      <c r="C33" s="30">
        <v>300</v>
      </c>
      <c r="D33" s="34">
        <v>44716</v>
      </c>
      <c r="E33" s="197" t="s">
        <v>30</v>
      </c>
      <c r="F33" s="197"/>
      <c r="G33" s="197"/>
      <c r="H33" s="30"/>
      <c r="I33" s="30">
        <v>11</v>
      </c>
      <c r="J33" s="8"/>
      <c r="K33" s="8"/>
      <c r="L33" s="8"/>
    </row>
    <row r="34" spans="1:18" x14ac:dyDescent="0.25">
      <c r="A34" s="4"/>
      <c r="B34" s="4"/>
      <c r="C34" s="4"/>
      <c r="D34" s="4"/>
      <c r="E34" s="4"/>
      <c r="F34" s="4"/>
      <c r="G34" s="4"/>
      <c r="H34" s="8"/>
      <c r="I34" s="8"/>
      <c r="J34" s="8"/>
      <c r="K34" s="8"/>
      <c r="L34" s="8"/>
    </row>
    <row r="35" spans="1:18" x14ac:dyDescent="0.25">
      <c r="A35" s="6"/>
      <c r="B35" s="6"/>
      <c r="C35" s="6"/>
      <c r="D35" s="6"/>
      <c r="E35" s="6"/>
      <c r="F35" s="6"/>
      <c r="G35" s="6"/>
      <c r="H35" s="6"/>
      <c r="I35" s="6"/>
      <c r="J35" s="6"/>
      <c r="K35" s="6"/>
      <c r="L35" s="6"/>
    </row>
    <row r="36" spans="1:18" x14ac:dyDescent="0.25">
      <c r="A36" s="5" t="s">
        <v>4</v>
      </c>
      <c r="B36" s="5" t="s">
        <v>31</v>
      </c>
      <c r="C36" s="4"/>
      <c r="D36" s="4"/>
      <c r="E36" s="4"/>
      <c r="F36" s="4"/>
      <c r="G36" s="4"/>
      <c r="H36" s="4"/>
      <c r="I36" s="4"/>
      <c r="J36" s="4"/>
      <c r="K36" s="4"/>
      <c r="L36" s="4"/>
      <c r="M36" s="7"/>
      <c r="N36" s="7"/>
      <c r="O36" s="7"/>
      <c r="P36" s="7"/>
      <c r="Q36" s="7"/>
      <c r="R36" s="7"/>
    </row>
    <row r="37" spans="1:18" x14ac:dyDescent="0.25">
      <c r="A37" s="6"/>
      <c r="B37" s="6"/>
      <c r="C37" s="6"/>
      <c r="D37" s="6"/>
      <c r="E37" s="6"/>
      <c r="F37" s="6"/>
      <c r="G37" s="6"/>
      <c r="H37" s="6"/>
      <c r="I37" s="6"/>
      <c r="J37" s="6"/>
      <c r="K37" s="6"/>
      <c r="L37" s="6"/>
      <c r="M37" s="6"/>
    </row>
    <row r="38" spans="1:18" x14ac:dyDescent="0.25">
      <c r="A38" s="6" t="s">
        <v>1</v>
      </c>
      <c r="B38" s="6"/>
      <c r="C38" s="6"/>
      <c r="D38" s="6"/>
      <c r="E38" s="6"/>
      <c r="F38" s="6"/>
      <c r="G38" s="6"/>
      <c r="H38" s="6"/>
      <c r="I38" s="6"/>
      <c r="J38" s="6"/>
      <c r="K38" s="6"/>
      <c r="L38" s="6"/>
      <c r="M38" s="6"/>
      <c r="N38" s="7"/>
    </row>
    <row r="39" spans="1:18" x14ac:dyDescent="0.25">
      <c r="A39" s="6"/>
      <c r="B39" s="74" t="s">
        <v>23</v>
      </c>
      <c r="C39" s="75">
        <v>100</v>
      </c>
      <c r="D39" s="75"/>
      <c r="E39" s="74"/>
      <c r="F39" s="74"/>
      <c r="G39" s="6"/>
      <c r="H39" s="6"/>
      <c r="I39" s="6"/>
      <c r="J39" s="6"/>
      <c r="K39" s="6"/>
      <c r="L39" s="6"/>
      <c r="M39" s="6"/>
      <c r="N39" s="7"/>
    </row>
    <row r="40" spans="1:18" x14ac:dyDescent="0.25">
      <c r="A40" s="6"/>
      <c r="B40" s="74"/>
      <c r="C40" s="201" t="s">
        <v>41</v>
      </c>
      <c r="D40" s="201"/>
      <c r="E40" s="201"/>
      <c r="F40" s="201"/>
      <c r="G40" s="6"/>
      <c r="H40" s="6"/>
      <c r="I40" s="6"/>
      <c r="J40" s="6"/>
      <c r="K40" s="6"/>
      <c r="L40" s="6"/>
      <c r="M40" s="6"/>
      <c r="N40" s="7"/>
    </row>
    <row r="41" spans="1:18" x14ac:dyDescent="0.25">
      <c r="A41" s="6"/>
      <c r="B41" s="76" t="s">
        <v>238</v>
      </c>
      <c r="C41" s="77">
        <v>12</v>
      </c>
      <c r="D41" s="77">
        <f>C41+12</f>
        <v>24</v>
      </c>
      <c r="E41" s="77">
        <f t="shared" ref="E41:F41" si="0">D41+12</f>
        <v>36</v>
      </c>
      <c r="F41" s="77">
        <f t="shared" si="0"/>
        <v>48</v>
      </c>
      <c r="G41" s="6"/>
      <c r="H41" s="6"/>
      <c r="I41" s="6"/>
      <c r="J41" s="6"/>
      <c r="K41" s="6"/>
      <c r="L41" s="6"/>
      <c r="M41" s="6"/>
      <c r="N41" s="7"/>
    </row>
    <row r="42" spans="1:18" x14ac:dyDescent="0.25">
      <c r="A42" s="6"/>
      <c r="B42" s="74">
        <f>YEAR(VLOOKUP(C39,$B$23:$D$25,2,))</f>
        <v>2019</v>
      </c>
      <c r="C42" s="75"/>
      <c r="D42" s="75">
        <f>I29</f>
        <v>0</v>
      </c>
      <c r="E42" s="74">
        <f>I31</f>
        <v>6</v>
      </c>
      <c r="F42" s="74">
        <f>E42</f>
        <v>6</v>
      </c>
      <c r="G42" s="6"/>
      <c r="H42" s="6"/>
      <c r="I42" s="6"/>
      <c r="J42" s="6"/>
      <c r="K42" s="6"/>
      <c r="L42" s="6"/>
      <c r="M42" s="6"/>
      <c r="N42" s="7"/>
    </row>
    <row r="43" spans="1:18" x14ac:dyDescent="0.25">
      <c r="A43" s="6"/>
      <c r="B43" s="74"/>
      <c r="C43" s="78"/>
      <c r="D43" s="78"/>
      <c r="E43" s="74"/>
      <c r="F43" s="74"/>
      <c r="G43" s="6"/>
      <c r="H43" s="6"/>
      <c r="I43" s="6"/>
      <c r="J43" s="6"/>
      <c r="K43" s="6"/>
      <c r="L43" s="6"/>
      <c r="M43" s="6"/>
      <c r="N43" s="7"/>
    </row>
    <row r="44" spans="1:18" x14ac:dyDescent="0.25">
      <c r="A44" s="6"/>
      <c r="B44" s="74"/>
      <c r="C44" s="201" t="s">
        <v>239</v>
      </c>
      <c r="D44" s="201"/>
      <c r="E44" s="201"/>
      <c r="F44" s="201"/>
      <c r="G44" s="6"/>
      <c r="H44" s="6"/>
      <c r="I44" s="6"/>
      <c r="J44" s="6"/>
      <c r="K44" s="6"/>
      <c r="L44" s="6"/>
      <c r="M44" s="6"/>
      <c r="N44" s="7"/>
    </row>
    <row r="45" spans="1:18" x14ac:dyDescent="0.25">
      <c r="A45" s="6"/>
      <c r="B45" s="76" t="s">
        <v>238</v>
      </c>
      <c r="C45" s="77">
        <v>12</v>
      </c>
      <c r="D45" s="77">
        <f>C45+12</f>
        <v>24</v>
      </c>
      <c r="E45" s="77">
        <f t="shared" ref="E45:F45" si="1">D45+12</f>
        <v>36</v>
      </c>
      <c r="F45" s="77">
        <f t="shared" si="1"/>
        <v>48</v>
      </c>
      <c r="G45" s="6"/>
      <c r="H45" s="6"/>
      <c r="I45" s="6"/>
      <c r="J45" s="6"/>
      <c r="K45" s="6"/>
      <c r="L45" s="6"/>
      <c r="M45" s="6"/>
      <c r="N45" s="7"/>
    </row>
    <row r="46" spans="1:18" x14ac:dyDescent="0.25">
      <c r="A46" s="6"/>
      <c r="B46" s="74">
        <f>B42</f>
        <v>2019</v>
      </c>
      <c r="C46" s="74"/>
      <c r="D46" s="74">
        <f>H29</f>
        <v>5</v>
      </c>
      <c r="E46" s="74">
        <f>D46+H31</f>
        <v>0</v>
      </c>
      <c r="F46" s="74">
        <v>0</v>
      </c>
      <c r="G46" s="6"/>
      <c r="H46" s="6"/>
      <c r="I46" s="6"/>
      <c r="J46" s="6"/>
      <c r="K46" s="6"/>
      <c r="L46" s="6"/>
      <c r="M46" s="6"/>
      <c r="N46" s="7"/>
    </row>
    <row r="47" spans="1:18" x14ac:dyDescent="0.25">
      <c r="A47" s="6"/>
      <c r="B47" s="74"/>
      <c r="C47" s="78"/>
      <c r="D47" s="78"/>
      <c r="E47" s="74"/>
      <c r="F47" s="74"/>
      <c r="G47" s="6"/>
      <c r="H47" s="6"/>
      <c r="I47" s="6"/>
      <c r="J47" s="6"/>
      <c r="K47" s="6"/>
      <c r="L47" s="6"/>
      <c r="M47" s="6"/>
      <c r="N47" s="7"/>
    </row>
    <row r="48" spans="1:18" x14ac:dyDescent="0.25">
      <c r="A48" s="6"/>
      <c r="B48" s="74"/>
      <c r="C48" s="201" t="s">
        <v>48</v>
      </c>
      <c r="D48" s="201"/>
      <c r="E48" s="201"/>
      <c r="F48" s="201"/>
      <c r="G48" s="6"/>
      <c r="H48" s="6"/>
      <c r="I48" s="6"/>
      <c r="J48" s="6"/>
      <c r="K48" s="6"/>
      <c r="L48" s="6"/>
      <c r="M48" s="6"/>
      <c r="N48" s="7"/>
    </row>
    <row r="49" spans="1:14" x14ac:dyDescent="0.25">
      <c r="A49" s="6"/>
      <c r="B49" s="76" t="s">
        <v>238</v>
      </c>
      <c r="C49" s="77">
        <v>12</v>
      </c>
      <c r="D49" s="77">
        <f>C49+12</f>
        <v>24</v>
      </c>
      <c r="E49" s="77">
        <f t="shared" ref="E49:F49" si="2">D49+12</f>
        <v>36</v>
      </c>
      <c r="F49" s="77">
        <f t="shared" si="2"/>
        <v>48</v>
      </c>
      <c r="G49" s="6"/>
      <c r="H49" s="6"/>
      <c r="I49" s="6"/>
      <c r="J49" s="6"/>
      <c r="K49" s="6"/>
      <c r="L49" s="6"/>
      <c r="M49" s="6"/>
      <c r="N49" s="7"/>
    </row>
    <row r="50" spans="1:14" x14ac:dyDescent="0.25">
      <c r="A50" s="6"/>
      <c r="B50" s="74">
        <f>B46</f>
        <v>2019</v>
      </c>
      <c r="C50" s="79">
        <f>C42+C46</f>
        <v>0</v>
      </c>
      <c r="D50" s="79">
        <f>D42+D46</f>
        <v>5</v>
      </c>
      <c r="E50" s="79">
        <f>E42+E46</f>
        <v>6</v>
      </c>
      <c r="F50" s="79">
        <f>F42+F46</f>
        <v>6</v>
      </c>
      <c r="G50" s="6"/>
      <c r="H50" s="6"/>
      <c r="I50" s="6"/>
      <c r="J50" s="6"/>
      <c r="K50" s="6"/>
      <c r="L50" s="6"/>
      <c r="M50" s="6"/>
      <c r="N50" s="7"/>
    </row>
    <row r="51" spans="1:14" x14ac:dyDescent="0.25">
      <c r="A51" s="6"/>
      <c r="B51" s="74"/>
      <c r="C51" s="78"/>
      <c r="D51" s="78"/>
      <c r="E51" s="74"/>
      <c r="F51" s="74"/>
      <c r="G51" s="6"/>
      <c r="H51" s="6"/>
      <c r="I51" s="6"/>
      <c r="J51" s="6"/>
      <c r="K51" s="6"/>
      <c r="L51" s="6"/>
      <c r="M51" s="6"/>
      <c r="N51" s="7"/>
    </row>
    <row r="52" spans="1:14" x14ac:dyDescent="0.25">
      <c r="A52" s="6"/>
      <c r="B52" s="74" t="s">
        <v>23</v>
      </c>
      <c r="C52" s="75">
        <v>200</v>
      </c>
      <c r="D52" s="75"/>
      <c r="E52" s="74"/>
      <c r="F52" s="74"/>
      <c r="G52" s="6"/>
      <c r="H52" s="6"/>
      <c r="I52" s="6"/>
      <c r="J52" s="6"/>
      <c r="K52" s="6"/>
      <c r="L52" s="6"/>
      <c r="M52" s="6"/>
      <c r="N52" s="7"/>
    </row>
    <row r="53" spans="1:14" x14ac:dyDescent="0.25">
      <c r="A53" s="6"/>
      <c r="B53" s="74"/>
      <c r="C53" s="201" t="s">
        <v>41</v>
      </c>
      <c r="D53" s="201"/>
      <c r="E53" s="201"/>
      <c r="F53" s="74"/>
      <c r="G53" s="6"/>
      <c r="H53" s="6"/>
      <c r="I53" s="6"/>
      <c r="J53" s="6"/>
      <c r="K53" s="6"/>
      <c r="L53" s="6"/>
      <c r="M53" s="6"/>
      <c r="N53" s="7"/>
    </row>
    <row r="54" spans="1:14" x14ac:dyDescent="0.25">
      <c r="A54" s="6"/>
      <c r="B54" s="76" t="s">
        <v>238</v>
      </c>
      <c r="C54" s="77">
        <v>12</v>
      </c>
      <c r="D54" s="77">
        <f>C54+12</f>
        <v>24</v>
      </c>
      <c r="E54" s="77">
        <f t="shared" ref="E54" si="3">D54+12</f>
        <v>36</v>
      </c>
      <c r="F54" s="75"/>
      <c r="G54" s="6"/>
      <c r="H54" s="6"/>
      <c r="I54" s="6"/>
      <c r="J54" s="6"/>
      <c r="K54" s="6"/>
      <c r="L54" s="6"/>
      <c r="M54" s="6"/>
      <c r="N54" s="7"/>
    </row>
    <row r="55" spans="1:14" x14ac:dyDescent="0.25">
      <c r="A55" s="6"/>
      <c r="B55" s="74">
        <f>YEAR(VLOOKUP(C52,$B$23:$D$25,2,))</f>
        <v>2020</v>
      </c>
      <c r="C55" s="75">
        <f>I28</f>
        <v>0</v>
      </c>
      <c r="D55" s="75">
        <f>C55+I32</f>
        <v>6</v>
      </c>
      <c r="E55" s="74">
        <f>D55</f>
        <v>6</v>
      </c>
      <c r="F55" s="74"/>
      <c r="G55" s="6"/>
      <c r="H55" s="6"/>
      <c r="I55" s="6"/>
      <c r="J55" s="6"/>
      <c r="K55" s="6"/>
      <c r="L55" s="6"/>
      <c r="M55" s="6"/>
      <c r="N55" s="7"/>
    </row>
    <row r="56" spans="1:14" x14ac:dyDescent="0.25">
      <c r="A56" s="6"/>
      <c r="B56" s="74"/>
      <c r="C56" s="75"/>
      <c r="D56" s="75"/>
      <c r="E56" s="74"/>
      <c r="F56" s="74"/>
      <c r="G56" s="6"/>
      <c r="H56" s="6"/>
      <c r="I56" s="6"/>
      <c r="J56" s="6"/>
      <c r="K56" s="6"/>
      <c r="L56" s="6"/>
      <c r="M56" s="6"/>
      <c r="N56" s="7"/>
    </row>
    <row r="57" spans="1:14" x14ac:dyDescent="0.25">
      <c r="A57" s="6"/>
      <c r="B57" s="74"/>
      <c r="C57" s="201" t="s">
        <v>239</v>
      </c>
      <c r="D57" s="201"/>
      <c r="E57" s="201"/>
      <c r="F57" s="74"/>
      <c r="G57" s="6"/>
      <c r="H57" s="6"/>
      <c r="I57" s="6"/>
      <c r="J57" s="6"/>
      <c r="K57" s="6"/>
      <c r="L57" s="6"/>
      <c r="M57" s="6"/>
      <c r="N57" s="7"/>
    </row>
    <row r="58" spans="1:14" x14ac:dyDescent="0.25">
      <c r="A58" s="6"/>
      <c r="B58" s="76" t="s">
        <v>238</v>
      </c>
      <c r="C58" s="77">
        <v>12</v>
      </c>
      <c r="D58" s="77">
        <f>C58+12</f>
        <v>24</v>
      </c>
      <c r="E58" s="77">
        <f t="shared" ref="E58" si="4">D58+12</f>
        <v>36</v>
      </c>
      <c r="F58" s="75"/>
      <c r="G58" s="6"/>
      <c r="H58" s="6"/>
      <c r="I58" s="6"/>
      <c r="J58" s="6"/>
      <c r="K58" s="6"/>
      <c r="L58" s="6"/>
      <c r="M58" s="6"/>
      <c r="N58" s="7"/>
    </row>
    <row r="59" spans="1:14" x14ac:dyDescent="0.25">
      <c r="A59" s="6"/>
      <c r="B59" s="74">
        <f>B55</f>
        <v>2020</v>
      </c>
      <c r="C59" s="74">
        <f>H28</f>
        <v>17</v>
      </c>
      <c r="D59" s="74">
        <f>C59+H32</f>
        <v>4</v>
      </c>
      <c r="E59" s="74">
        <f>D59</f>
        <v>4</v>
      </c>
      <c r="F59" s="74"/>
      <c r="G59" s="6"/>
      <c r="H59" s="6"/>
      <c r="I59" s="6"/>
      <c r="J59" s="6"/>
      <c r="K59" s="6"/>
      <c r="L59" s="6"/>
      <c r="M59" s="6"/>
      <c r="N59" s="7"/>
    </row>
    <row r="60" spans="1:14" x14ac:dyDescent="0.25">
      <c r="A60" s="6"/>
      <c r="B60" s="74"/>
      <c r="C60" s="75"/>
      <c r="D60" s="75"/>
      <c r="E60" s="74"/>
      <c r="F60" s="74"/>
      <c r="G60" s="6"/>
      <c r="H60" s="6"/>
      <c r="I60" s="6"/>
      <c r="J60" s="6"/>
      <c r="K60" s="6"/>
      <c r="L60" s="6"/>
      <c r="M60" s="6"/>
      <c r="N60" s="7"/>
    </row>
    <row r="61" spans="1:14" x14ac:dyDescent="0.25">
      <c r="A61" s="6"/>
      <c r="B61" s="74"/>
      <c r="C61" s="201" t="s">
        <v>48</v>
      </c>
      <c r="D61" s="201"/>
      <c r="E61" s="201"/>
      <c r="F61" s="74"/>
      <c r="G61" s="6"/>
      <c r="H61" s="6"/>
      <c r="I61" s="6"/>
      <c r="J61" s="6"/>
      <c r="K61" s="6"/>
      <c r="L61" s="6"/>
      <c r="M61" s="6"/>
      <c r="N61" s="7"/>
    </row>
    <row r="62" spans="1:14" x14ac:dyDescent="0.25">
      <c r="A62" s="6"/>
      <c r="B62" s="76" t="s">
        <v>238</v>
      </c>
      <c r="C62" s="77">
        <v>12</v>
      </c>
      <c r="D62" s="77">
        <f>C62+12</f>
        <v>24</v>
      </c>
      <c r="E62" s="77">
        <f t="shared" ref="E62" si="5">D62+12</f>
        <v>36</v>
      </c>
      <c r="F62" s="75"/>
      <c r="G62" s="6"/>
      <c r="H62" s="6"/>
      <c r="I62" s="6"/>
      <c r="J62" s="6"/>
      <c r="K62" s="6"/>
      <c r="L62" s="6"/>
      <c r="M62" s="6"/>
      <c r="N62" s="7"/>
    </row>
    <row r="63" spans="1:14" x14ac:dyDescent="0.25">
      <c r="A63" s="6"/>
      <c r="B63" s="74">
        <f>B59</f>
        <v>2020</v>
      </c>
      <c r="C63" s="79">
        <f>C55+C59</f>
        <v>17</v>
      </c>
      <c r="D63" s="79">
        <f>D55+D59</f>
        <v>10</v>
      </c>
      <c r="E63" s="79">
        <f>E55+E59</f>
        <v>10</v>
      </c>
      <c r="F63" s="79"/>
      <c r="G63" s="6"/>
      <c r="H63" s="6"/>
      <c r="I63" s="6"/>
      <c r="J63" s="6"/>
      <c r="K63" s="6"/>
      <c r="L63" s="6"/>
      <c r="M63" s="6"/>
      <c r="N63" s="7"/>
    </row>
    <row r="64" spans="1:14" x14ac:dyDescent="0.25">
      <c r="A64" s="6"/>
      <c r="B64" s="74"/>
      <c r="C64" s="78"/>
      <c r="D64" s="78"/>
      <c r="E64" s="74"/>
      <c r="F64" s="74"/>
      <c r="G64" s="6"/>
      <c r="H64" s="6"/>
      <c r="I64" s="6"/>
      <c r="J64" s="6"/>
      <c r="K64" s="6"/>
      <c r="L64" s="6"/>
      <c r="M64" s="6"/>
      <c r="N64" s="7"/>
    </row>
    <row r="65" spans="1:14" x14ac:dyDescent="0.25">
      <c r="A65" s="6"/>
      <c r="B65" s="74" t="s">
        <v>23</v>
      </c>
      <c r="C65" s="75">
        <v>300</v>
      </c>
      <c r="D65" s="75"/>
      <c r="E65" s="74"/>
      <c r="F65" s="74"/>
      <c r="G65" s="6"/>
      <c r="H65" s="6"/>
      <c r="I65" s="6"/>
      <c r="J65" s="6"/>
      <c r="K65" s="6"/>
      <c r="L65" s="6"/>
      <c r="M65" s="6"/>
      <c r="N65" s="7"/>
    </row>
    <row r="66" spans="1:14" x14ac:dyDescent="0.25">
      <c r="A66" s="6"/>
      <c r="B66" s="74"/>
      <c r="C66" s="201" t="s">
        <v>41</v>
      </c>
      <c r="D66" s="201"/>
      <c r="E66" s="80"/>
      <c r="F66" s="80"/>
      <c r="G66" s="6"/>
      <c r="H66" s="6"/>
      <c r="I66" s="6"/>
      <c r="J66" s="6"/>
      <c r="K66" s="6"/>
      <c r="L66" s="6"/>
      <c r="M66" s="6"/>
      <c r="N66" s="7"/>
    </row>
    <row r="67" spans="1:14" x14ac:dyDescent="0.25">
      <c r="A67" s="6"/>
      <c r="B67" s="76" t="s">
        <v>238</v>
      </c>
      <c r="C67" s="77">
        <v>12</v>
      </c>
      <c r="D67" s="77">
        <f>C67+12</f>
        <v>24</v>
      </c>
      <c r="E67"/>
      <c r="F67" s="75"/>
      <c r="G67" s="6"/>
      <c r="H67" s="6"/>
      <c r="I67" s="6"/>
      <c r="J67" s="6"/>
      <c r="K67" s="6"/>
      <c r="L67" s="6"/>
      <c r="M67" s="6"/>
      <c r="N67" s="7"/>
    </row>
    <row r="68" spans="1:14" x14ac:dyDescent="0.25">
      <c r="A68" s="6"/>
      <c r="B68" s="74">
        <f>YEAR(VLOOKUP(C65,$B$23:$D$25,2,))</f>
        <v>2021</v>
      </c>
      <c r="C68" s="75">
        <f>I30</f>
        <v>0</v>
      </c>
      <c r="D68" s="75">
        <f>C68+I33</f>
        <v>11</v>
      </c>
      <c r="E68"/>
      <c r="F68" s="74"/>
      <c r="G68" s="6"/>
      <c r="H68" s="6"/>
      <c r="I68" s="6"/>
      <c r="J68" s="6"/>
      <c r="K68" s="6"/>
      <c r="L68" s="6"/>
      <c r="M68" s="6"/>
      <c r="N68" s="7"/>
    </row>
    <row r="69" spans="1:14" x14ac:dyDescent="0.25">
      <c r="A69" s="6"/>
      <c r="B69" s="74"/>
      <c r="C69" s="75"/>
      <c r="D69" s="75"/>
      <c r="E69"/>
      <c r="F69" s="74"/>
      <c r="G69" s="6"/>
      <c r="H69" s="6"/>
      <c r="I69" s="6"/>
      <c r="J69" s="6"/>
      <c r="K69" s="6"/>
      <c r="L69" s="6"/>
      <c r="M69" s="6"/>
      <c r="N69" s="7"/>
    </row>
    <row r="70" spans="1:14" x14ac:dyDescent="0.25">
      <c r="A70" s="6"/>
      <c r="B70" s="74"/>
      <c r="C70" s="201" t="s">
        <v>239</v>
      </c>
      <c r="D70" s="201"/>
      <c r="E70" s="80"/>
      <c r="F70" s="80"/>
      <c r="G70" s="6"/>
      <c r="H70" s="6"/>
      <c r="I70" s="6"/>
      <c r="J70" s="6"/>
      <c r="K70" s="6"/>
      <c r="L70" s="6"/>
      <c r="M70" s="6"/>
      <c r="N70" s="7"/>
    </row>
    <row r="71" spans="1:14" x14ac:dyDescent="0.25">
      <c r="A71" s="6"/>
      <c r="B71" s="76" t="s">
        <v>238</v>
      </c>
      <c r="C71" s="77">
        <v>12</v>
      </c>
      <c r="D71" s="77">
        <f>C71+12</f>
        <v>24</v>
      </c>
      <c r="E71"/>
      <c r="F71" s="75"/>
      <c r="G71" s="6"/>
      <c r="H71" s="6"/>
      <c r="I71" s="6"/>
      <c r="J71" s="6"/>
      <c r="K71" s="6"/>
      <c r="L71" s="6"/>
      <c r="M71" s="6"/>
      <c r="N71" s="7"/>
    </row>
    <row r="72" spans="1:14" x14ac:dyDescent="0.25">
      <c r="A72" s="6"/>
      <c r="B72" s="74">
        <f>B68</f>
        <v>2021</v>
      </c>
      <c r="C72" s="74">
        <f>H30</f>
        <v>29</v>
      </c>
      <c r="D72" s="74">
        <f>C72</f>
        <v>29</v>
      </c>
      <c r="E72"/>
      <c r="F72" s="74"/>
      <c r="G72" s="6"/>
      <c r="H72" s="6"/>
      <c r="I72" s="6"/>
      <c r="J72" s="6"/>
      <c r="K72" s="6"/>
      <c r="L72" s="6"/>
      <c r="M72" s="6"/>
      <c r="N72" s="7"/>
    </row>
    <row r="73" spans="1:14" x14ac:dyDescent="0.25">
      <c r="A73" s="6"/>
      <c r="B73" s="74"/>
      <c r="C73" s="75"/>
      <c r="D73" s="75"/>
      <c r="E73"/>
      <c r="F73" s="74"/>
      <c r="G73" s="6"/>
      <c r="H73" s="6"/>
      <c r="I73" s="6"/>
      <c r="J73" s="6"/>
      <c r="K73" s="6"/>
      <c r="L73" s="6"/>
      <c r="M73" s="6"/>
      <c r="N73" s="7"/>
    </row>
    <row r="74" spans="1:14" x14ac:dyDescent="0.25">
      <c r="A74" s="6"/>
      <c r="B74" s="74"/>
      <c r="C74" s="201" t="s">
        <v>48</v>
      </c>
      <c r="D74" s="201"/>
      <c r="E74" s="80"/>
      <c r="F74" s="80"/>
      <c r="G74" s="6"/>
      <c r="H74" s="6"/>
      <c r="I74" s="6"/>
      <c r="J74" s="6"/>
      <c r="K74" s="6"/>
      <c r="L74" s="6"/>
      <c r="M74" s="6"/>
      <c r="N74" s="7"/>
    </row>
    <row r="75" spans="1:14" x14ac:dyDescent="0.25">
      <c r="A75" s="6"/>
      <c r="B75" s="76" t="s">
        <v>238</v>
      </c>
      <c r="C75" s="77">
        <v>12</v>
      </c>
      <c r="D75" s="77">
        <f>C75+12</f>
        <v>24</v>
      </c>
      <c r="E75"/>
      <c r="F75" s="75"/>
      <c r="G75" s="6"/>
      <c r="H75" s="6"/>
      <c r="I75" s="6"/>
      <c r="J75" s="6"/>
      <c r="K75" s="6"/>
      <c r="L75" s="6"/>
      <c r="M75" s="6"/>
      <c r="N75" s="7"/>
    </row>
    <row r="76" spans="1:14" x14ac:dyDescent="0.25">
      <c r="A76" s="6"/>
      <c r="B76" s="74">
        <f>B72</f>
        <v>2021</v>
      </c>
      <c r="C76" s="79">
        <f>C68+C72</f>
        <v>29</v>
      </c>
      <c r="D76" s="79">
        <f>D68+D72</f>
        <v>40</v>
      </c>
      <c r="E76"/>
      <c r="F76" s="79"/>
      <c r="G76" s="6"/>
      <c r="H76" s="6"/>
      <c r="I76" s="6"/>
      <c r="J76" s="6"/>
      <c r="K76" s="6"/>
      <c r="L76" s="6"/>
      <c r="M76" s="6"/>
      <c r="N76" s="7"/>
    </row>
    <row r="77" spans="1:14" x14ac:dyDescent="0.25">
      <c r="A77" s="6"/>
      <c r="B77"/>
      <c r="C77"/>
      <c r="D77"/>
      <c r="E77"/>
      <c r="F77"/>
      <c r="G77" s="6"/>
      <c r="H77" s="6"/>
      <c r="I77" s="6"/>
      <c r="J77" s="6"/>
      <c r="K77" s="6"/>
      <c r="L77" s="6"/>
      <c r="M77" s="6"/>
      <c r="N77" s="7"/>
    </row>
    <row r="78" spans="1:14" x14ac:dyDescent="0.25">
      <c r="A78" s="6"/>
      <c r="B78" s="74" t="s">
        <v>13</v>
      </c>
      <c r="C78" s="78" t="s">
        <v>15</v>
      </c>
      <c r="D78" s="78"/>
      <c r="E78" s="78"/>
      <c r="F78" s="78"/>
      <c r="G78" s="6"/>
      <c r="H78" s="6"/>
      <c r="I78" s="6"/>
      <c r="J78" s="6"/>
      <c r="K78" s="6"/>
      <c r="L78" s="6"/>
      <c r="M78" s="6"/>
      <c r="N78" s="7"/>
    </row>
    <row r="79" spans="1:14" x14ac:dyDescent="0.25">
      <c r="A79" s="6"/>
      <c r="B79" s="76" t="s">
        <v>14</v>
      </c>
      <c r="C79" s="77">
        <v>12</v>
      </c>
      <c r="D79" s="77">
        <v>24</v>
      </c>
      <c r="E79" s="77">
        <v>36</v>
      </c>
      <c r="F79" s="77">
        <v>48</v>
      </c>
      <c r="G79" s="6"/>
      <c r="H79" s="6"/>
      <c r="I79" s="6"/>
      <c r="J79" s="6"/>
      <c r="K79" s="6"/>
      <c r="L79" s="6"/>
      <c r="M79" s="6"/>
      <c r="N79" s="7"/>
    </row>
    <row r="80" spans="1:14" x14ac:dyDescent="0.25">
      <c r="A80" s="6"/>
      <c r="B80" s="74">
        <v>2019</v>
      </c>
      <c r="C80" s="81">
        <f>$C7+C50</f>
        <v>1148</v>
      </c>
      <c r="D80" s="81">
        <f>$D7+D50</f>
        <v>1788</v>
      </c>
      <c r="E80" s="81">
        <f>$E7+E50</f>
        <v>2532</v>
      </c>
      <c r="F80" s="81">
        <f>$F7+F50</f>
        <v>3416</v>
      </c>
      <c r="G80" s="6"/>
      <c r="H80" s="6"/>
      <c r="I80" s="6"/>
      <c r="J80" s="6"/>
      <c r="K80" s="6"/>
      <c r="L80" s="6"/>
      <c r="M80" s="6"/>
      <c r="N80" s="7"/>
    </row>
    <row r="81" spans="1:14" x14ac:dyDescent="0.25">
      <c r="A81" s="6"/>
      <c r="B81" s="74">
        <v>2020</v>
      </c>
      <c r="C81" s="81">
        <f>$C8+C63</f>
        <v>3444</v>
      </c>
      <c r="D81" s="81">
        <f>$D8+D63</f>
        <v>4903</v>
      </c>
      <c r="E81" s="81">
        <f>$E8+E63</f>
        <v>6857</v>
      </c>
      <c r="F81" s="81"/>
      <c r="G81" s="6"/>
      <c r="H81" s="6"/>
      <c r="I81" s="6"/>
      <c r="J81" s="6"/>
      <c r="K81" s="6"/>
      <c r="L81" s="6"/>
      <c r="M81" s="6"/>
      <c r="N81" s="7"/>
    </row>
    <row r="82" spans="1:14" x14ac:dyDescent="0.25">
      <c r="A82" s="6"/>
      <c r="B82" s="74">
        <v>2021</v>
      </c>
      <c r="C82" s="81">
        <f>$C9+C76</f>
        <v>5739</v>
      </c>
      <c r="D82" s="81">
        <f>$D9+D76</f>
        <v>12210</v>
      </c>
      <c r="E82" s="81"/>
      <c r="F82" s="81"/>
      <c r="G82" s="6"/>
      <c r="H82" s="6"/>
      <c r="I82" s="6"/>
      <c r="J82" s="6"/>
      <c r="K82" s="6"/>
      <c r="L82" s="6"/>
      <c r="M82" s="6"/>
      <c r="N82" s="7"/>
    </row>
    <row r="83" spans="1:14" x14ac:dyDescent="0.25">
      <c r="A83" s="6"/>
      <c r="B83" s="74">
        <v>2022</v>
      </c>
      <c r="C83" s="81">
        <f>$C10</f>
        <v>8035</v>
      </c>
      <c r="D83" s="81"/>
      <c r="E83" s="81"/>
      <c r="F83" s="81"/>
      <c r="G83" s="6"/>
      <c r="H83" s="6"/>
      <c r="I83" s="6"/>
      <c r="J83" s="6"/>
      <c r="K83" s="6"/>
      <c r="L83" s="6"/>
      <c r="M83" s="6"/>
      <c r="N83" s="7"/>
    </row>
    <row r="84" spans="1:14" x14ac:dyDescent="0.25">
      <c r="A84" s="6"/>
      <c r="B84" s="74"/>
      <c r="C84" s="81"/>
      <c r="D84" s="81"/>
      <c r="E84" s="81"/>
      <c r="F84" s="81"/>
      <c r="G84" s="6"/>
      <c r="H84" s="6"/>
      <c r="I84" s="6"/>
      <c r="J84" s="6"/>
      <c r="K84" s="6"/>
      <c r="L84" s="6"/>
      <c r="M84" s="6"/>
      <c r="N84" s="7"/>
    </row>
    <row r="85" spans="1:14" x14ac:dyDescent="0.25">
      <c r="A85" s="6"/>
      <c r="B85" s="74" t="s">
        <v>13</v>
      </c>
      <c r="C85" s="78" t="s">
        <v>16</v>
      </c>
      <c r="D85" s="78"/>
      <c r="E85" s="78"/>
      <c r="F85" s="78"/>
      <c r="G85" s="6"/>
      <c r="H85" s="6"/>
      <c r="I85" s="6"/>
      <c r="J85" s="6"/>
      <c r="K85" s="6"/>
      <c r="L85" s="6"/>
      <c r="M85" s="6"/>
      <c r="N85" s="7"/>
    </row>
    <row r="86" spans="1:14" x14ac:dyDescent="0.25">
      <c r="A86" s="6"/>
      <c r="B86" s="76" t="s">
        <v>14</v>
      </c>
      <c r="C86" s="77">
        <v>12</v>
      </c>
      <c r="D86" s="77">
        <v>24</v>
      </c>
      <c r="E86" s="77">
        <v>36</v>
      </c>
      <c r="F86" s="77">
        <v>48</v>
      </c>
      <c r="G86" s="6"/>
      <c r="H86" s="6"/>
      <c r="I86" s="6"/>
      <c r="J86" s="6"/>
      <c r="K86" s="6"/>
      <c r="L86" s="6"/>
      <c r="M86" s="6"/>
      <c r="N86" s="7"/>
    </row>
    <row r="87" spans="1:14" x14ac:dyDescent="0.25">
      <c r="A87" s="6"/>
      <c r="B87" s="74">
        <v>2019</v>
      </c>
      <c r="C87" s="81">
        <f>$C14+C42</f>
        <v>138</v>
      </c>
      <c r="D87" s="81">
        <f>$D14+D42</f>
        <v>466</v>
      </c>
      <c r="E87" s="81">
        <f>$E14+E42</f>
        <v>888</v>
      </c>
      <c r="F87" s="81">
        <f>$F14+F42</f>
        <v>1431</v>
      </c>
      <c r="G87" s="6"/>
      <c r="H87" s="6"/>
      <c r="I87" s="6"/>
      <c r="J87" s="6"/>
      <c r="K87" s="6"/>
      <c r="L87" s="6"/>
      <c r="M87" s="6"/>
      <c r="N87" s="7"/>
    </row>
    <row r="88" spans="1:14" x14ac:dyDescent="0.25">
      <c r="A88" s="6"/>
      <c r="B88" s="74">
        <v>2020</v>
      </c>
      <c r="C88" s="81">
        <f>$C15+C55</f>
        <v>413</v>
      </c>
      <c r="D88" s="81">
        <f>$D15+D55</f>
        <v>1275</v>
      </c>
      <c r="E88" s="81">
        <f>$E15+E55</f>
        <v>3154</v>
      </c>
      <c r="F88" s="81"/>
      <c r="G88" s="6"/>
      <c r="H88" s="6"/>
      <c r="I88" s="6"/>
      <c r="J88" s="6"/>
      <c r="K88" s="6"/>
      <c r="L88" s="6"/>
      <c r="M88" s="6"/>
      <c r="N88" s="7"/>
    </row>
    <row r="89" spans="1:14" x14ac:dyDescent="0.25">
      <c r="A89" s="6"/>
      <c r="B89" s="74">
        <v>2021</v>
      </c>
      <c r="C89" s="81">
        <f>$C16+C68</f>
        <v>689</v>
      </c>
      <c r="D89" s="81">
        <f>$D16+D68</f>
        <v>4151</v>
      </c>
      <c r="E89" s="81"/>
      <c r="F89" s="81"/>
      <c r="G89" s="6"/>
      <c r="H89" s="6"/>
      <c r="I89" s="6"/>
      <c r="J89" s="6"/>
      <c r="K89" s="6"/>
      <c r="L89" s="6"/>
      <c r="M89" s="6"/>
      <c r="N89" s="7"/>
    </row>
    <row r="90" spans="1:14" x14ac:dyDescent="0.25">
      <c r="A90" s="6"/>
      <c r="B90" s="74">
        <v>2022</v>
      </c>
      <c r="C90" s="81">
        <f>$C17</f>
        <v>1286</v>
      </c>
      <c r="D90" s="81"/>
      <c r="E90" s="81"/>
      <c r="F90" s="81"/>
      <c r="G90" s="6"/>
      <c r="H90" s="6"/>
      <c r="I90" s="6"/>
      <c r="J90" s="6"/>
      <c r="K90" s="6"/>
      <c r="L90" s="6"/>
      <c r="M90" s="6"/>
      <c r="N90" s="7"/>
    </row>
    <row r="92" spans="1:14" x14ac:dyDescent="0.25">
      <c r="A92" s="5" t="s">
        <v>5</v>
      </c>
      <c r="B92" s="4" t="s">
        <v>32</v>
      </c>
      <c r="C92" s="4"/>
      <c r="D92" s="4"/>
      <c r="E92" s="4"/>
      <c r="F92" s="4"/>
      <c r="G92" s="4"/>
      <c r="H92" s="4"/>
      <c r="I92" s="4"/>
      <c r="J92" s="4"/>
      <c r="K92" s="4"/>
      <c r="L92" s="4"/>
    </row>
    <row r="93" spans="1:14" x14ac:dyDescent="0.25">
      <c r="A93" s="6"/>
      <c r="B93" s="6"/>
      <c r="C93" s="6"/>
      <c r="D93" s="6"/>
      <c r="E93" s="6"/>
      <c r="F93" s="6"/>
      <c r="G93" s="6"/>
      <c r="H93" s="6"/>
      <c r="I93" s="6"/>
      <c r="J93" s="6"/>
      <c r="K93" s="6"/>
      <c r="L93" s="6"/>
    </row>
    <row r="94" spans="1:14" x14ac:dyDescent="0.25">
      <c r="A94" s="6" t="s">
        <v>1</v>
      </c>
      <c r="B94" s="6"/>
      <c r="C94" s="6"/>
      <c r="D94" s="6"/>
      <c r="E94" s="6"/>
      <c r="F94" s="6"/>
      <c r="G94" s="6"/>
      <c r="H94" s="6"/>
      <c r="I94" s="6"/>
      <c r="J94" s="6"/>
      <c r="K94" s="6"/>
      <c r="L94" s="6"/>
    </row>
    <row r="95" spans="1:14" x14ac:dyDescent="0.25">
      <c r="M95" s="6"/>
    </row>
    <row r="96" spans="1:14" x14ac:dyDescent="0.25">
      <c r="B96" s="74" t="s">
        <v>13</v>
      </c>
      <c r="C96" s="78" t="s">
        <v>240</v>
      </c>
      <c r="D96" s="78"/>
      <c r="E96" s="78"/>
      <c r="F96" s="78"/>
      <c r="M96" s="6"/>
    </row>
    <row r="97" spans="1:13" x14ac:dyDescent="0.25">
      <c r="B97" s="76" t="s">
        <v>14</v>
      </c>
      <c r="C97" s="77">
        <v>12</v>
      </c>
      <c r="D97" s="77">
        <v>24</v>
      </c>
      <c r="E97" s="77">
        <v>36</v>
      </c>
      <c r="F97" s="77">
        <v>48</v>
      </c>
      <c r="M97" s="6"/>
    </row>
    <row r="98" spans="1:13" x14ac:dyDescent="0.25">
      <c r="B98" s="74">
        <v>2019</v>
      </c>
      <c r="C98" s="82">
        <f>C87/C80</f>
        <v>0.12020905923344948</v>
      </c>
      <c r="D98" s="82">
        <f>D87/D80</f>
        <v>0.26062639821029082</v>
      </c>
      <c r="E98" s="82">
        <f>E87/E80</f>
        <v>0.35071090047393366</v>
      </c>
      <c r="F98" s="82">
        <f>F87/F80</f>
        <v>0.41891100702576112</v>
      </c>
      <c r="M98" s="6"/>
    </row>
    <row r="99" spans="1:13" x14ac:dyDescent="0.25">
      <c r="B99" s="74">
        <v>2020</v>
      </c>
      <c r="C99" s="82">
        <f>C88/C81</f>
        <v>0.11991869918699187</v>
      </c>
      <c r="D99" s="82">
        <f>D88/D81</f>
        <v>0.26004487048745667</v>
      </c>
      <c r="E99" s="82">
        <f>E88/E81</f>
        <v>0.45996791599824999</v>
      </c>
      <c r="F99" s="82"/>
      <c r="M99" s="6"/>
    </row>
    <row r="100" spans="1:13" x14ac:dyDescent="0.25">
      <c r="B100" s="74">
        <v>2021</v>
      </c>
      <c r="C100" s="82">
        <f>C89/C82</f>
        <v>0.12005575884300401</v>
      </c>
      <c r="D100" s="82">
        <f>D89/D82</f>
        <v>0.33996723996723999</v>
      </c>
      <c r="E100" s="82"/>
      <c r="F100" s="82"/>
      <c r="M100" s="6"/>
    </row>
    <row r="101" spans="1:13" x14ac:dyDescent="0.25">
      <c r="B101" s="74">
        <v>2022</v>
      </c>
      <c r="C101" s="82">
        <f>C90/C83</f>
        <v>0.16004978220286248</v>
      </c>
      <c r="D101" s="82"/>
      <c r="E101" s="82"/>
      <c r="F101" s="82"/>
      <c r="M101" s="6"/>
    </row>
    <row r="102" spans="1:13" x14ac:dyDescent="0.25">
      <c r="M102" s="6"/>
    </row>
    <row r="103" spans="1:13" x14ac:dyDescent="0.25">
      <c r="B103" s="1" t="s">
        <v>241</v>
      </c>
    </row>
    <row r="105" spans="1:13" x14ac:dyDescent="0.25">
      <c r="A105" s="5" t="s">
        <v>0</v>
      </c>
      <c r="B105" s="8" t="s">
        <v>33</v>
      </c>
      <c r="C105" s="4"/>
      <c r="D105" s="4"/>
      <c r="E105" s="4"/>
      <c r="F105" s="4"/>
      <c r="G105" s="4"/>
      <c r="H105" s="4"/>
      <c r="I105" s="4"/>
      <c r="J105" s="4"/>
      <c r="K105" s="4"/>
      <c r="L105" s="4"/>
    </row>
    <row r="106" spans="1:13" x14ac:dyDescent="0.25">
      <c r="A106" s="6"/>
      <c r="B106" s="6"/>
      <c r="C106" s="6"/>
      <c r="D106" s="6"/>
      <c r="E106" s="6"/>
      <c r="F106" s="6"/>
      <c r="G106" s="6"/>
      <c r="H106" s="6"/>
      <c r="I106" s="6"/>
      <c r="J106" s="6"/>
      <c r="K106" s="6"/>
      <c r="L106" s="6"/>
    </row>
    <row r="107" spans="1:13" x14ac:dyDescent="0.25">
      <c r="A107" s="6" t="s">
        <v>1</v>
      </c>
      <c r="B107" s="6"/>
      <c r="C107" s="6"/>
      <c r="D107" s="6"/>
      <c r="E107" s="6"/>
      <c r="F107" s="6"/>
      <c r="G107" s="6"/>
      <c r="H107" s="6"/>
      <c r="I107" s="6"/>
      <c r="J107" s="6"/>
      <c r="K107" s="6"/>
      <c r="L107" s="6"/>
    </row>
    <row r="108" spans="1:13" x14ac:dyDescent="0.25">
      <c r="A108" s="6"/>
      <c r="B108" s="6"/>
      <c r="C108" s="6"/>
      <c r="D108" s="6"/>
      <c r="E108" s="6"/>
      <c r="F108" s="6"/>
      <c r="G108" s="6"/>
      <c r="H108" s="6"/>
      <c r="I108" s="6"/>
      <c r="J108" s="6"/>
      <c r="K108" s="6"/>
      <c r="L108" s="6"/>
    </row>
    <row r="109" spans="1:13" x14ac:dyDescent="0.25">
      <c r="A109" s="6"/>
      <c r="B109" s="6" t="s">
        <v>242</v>
      </c>
      <c r="C109" s="6"/>
      <c r="D109" s="6"/>
      <c r="E109" s="6"/>
      <c r="F109" s="6"/>
      <c r="G109" s="6"/>
      <c r="H109" s="6"/>
      <c r="I109" s="6"/>
      <c r="J109" s="6"/>
      <c r="K109" s="6"/>
      <c r="L109" s="6"/>
    </row>
    <row r="110" spans="1:13" x14ac:dyDescent="0.25">
      <c r="B110" s="1" t="s">
        <v>243</v>
      </c>
    </row>
    <row r="113" spans="1:13" x14ac:dyDescent="0.25">
      <c r="A113" s="3"/>
      <c r="B113" s="3"/>
      <c r="C113" s="3"/>
      <c r="D113" s="3"/>
      <c r="E113" s="3"/>
      <c r="F113" s="3"/>
      <c r="G113" s="4"/>
      <c r="H113" s="4"/>
      <c r="I113" s="4"/>
      <c r="J113" s="4"/>
      <c r="K113" s="4"/>
      <c r="L113" s="4"/>
    </row>
    <row r="114" spans="1:13" x14ac:dyDescent="0.25">
      <c r="A114" s="8" t="s">
        <v>34</v>
      </c>
      <c r="B114" s="8"/>
      <c r="C114" s="8"/>
      <c r="D114" s="8"/>
      <c r="E114" s="8"/>
      <c r="F114" s="3"/>
      <c r="G114" s="4"/>
      <c r="H114" s="4"/>
      <c r="I114" s="4"/>
      <c r="J114" s="4"/>
      <c r="K114" s="4"/>
      <c r="L114" s="4"/>
    </row>
    <row r="115" spans="1:13" x14ac:dyDescent="0.25">
      <c r="A115" s="8"/>
      <c r="B115" s="8"/>
      <c r="C115" s="8"/>
      <c r="D115" s="8"/>
      <c r="E115" s="8"/>
      <c r="F115" s="3"/>
      <c r="G115" s="4"/>
      <c r="H115" s="4"/>
      <c r="I115" s="4"/>
      <c r="J115" s="4"/>
      <c r="K115" s="4"/>
      <c r="L115" s="4"/>
    </row>
    <row r="116" spans="1:13" x14ac:dyDescent="0.25">
      <c r="A116" s="8"/>
      <c r="B116" s="195" t="s">
        <v>35</v>
      </c>
      <c r="C116" s="195"/>
      <c r="D116" s="8"/>
      <c r="E116" s="8"/>
      <c r="F116" s="3"/>
      <c r="G116" s="4"/>
      <c r="H116" s="4"/>
      <c r="I116" s="4"/>
      <c r="J116" s="4"/>
      <c r="K116" s="4"/>
      <c r="L116" s="4"/>
    </row>
    <row r="117" spans="1:13" x14ac:dyDescent="0.25">
      <c r="A117" s="8"/>
      <c r="B117" s="34">
        <v>43830</v>
      </c>
      <c r="C117" s="22">
        <v>4591</v>
      </c>
      <c r="D117" s="8"/>
      <c r="E117" s="8"/>
      <c r="F117" s="3"/>
      <c r="G117" s="4"/>
      <c r="H117" s="4"/>
      <c r="I117" s="4"/>
      <c r="J117" s="4"/>
      <c r="K117" s="4"/>
      <c r="L117" s="4"/>
    </row>
    <row r="118" spans="1:13" x14ac:dyDescent="0.25">
      <c r="A118" s="8"/>
      <c r="B118" s="34">
        <v>44196</v>
      </c>
      <c r="C118" s="22">
        <v>17722</v>
      </c>
      <c r="D118" s="8"/>
      <c r="E118" s="8"/>
      <c r="F118" s="3"/>
      <c r="G118" s="4"/>
      <c r="H118" s="4"/>
      <c r="I118" s="4"/>
      <c r="J118" s="4"/>
      <c r="K118" s="4"/>
      <c r="L118" s="4"/>
    </row>
    <row r="119" spans="1:13" x14ac:dyDescent="0.25">
      <c r="A119" s="8"/>
      <c r="B119" s="34">
        <v>44561</v>
      </c>
      <c r="C119" s="22">
        <v>38476</v>
      </c>
      <c r="D119" s="8"/>
      <c r="E119" s="8"/>
      <c r="F119" s="3"/>
      <c r="G119" s="4"/>
      <c r="H119" s="4"/>
      <c r="I119" s="4"/>
      <c r="J119" s="4"/>
      <c r="K119" s="4"/>
      <c r="L119" s="4"/>
    </row>
    <row r="120" spans="1:13" x14ac:dyDescent="0.25">
      <c r="A120" s="8"/>
      <c r="B120" s="34">
        <v>44926</v>
      </c>
      <c r="C120" s="22">
        <v>61299</v>
      </c>
      <c r="D120" s="8"/>
      <c r="E120" s="8"/>
      <c r="F120" s="3"/>
      <c r="G120" s="4"/>
      <c r="H120" s="4"/>
      <c r="I120" s="4"/>
      <c r="J120" s="4"/>
      <c r="K120" s="4"/>
      <c r="L120" s="4"/>
    </row>
    <row r="121" spans="1:13" x14ac:dyDescent="0.25">
      <c r="A121" s="3"/>
      <c r="B121" s="3"/>
      <c r="C121" s="3"/>
      <c r="D121" s="3"/>
      <c r="E121" s="3"/>
      <c r="F121" s="3"/>
      <c r="G121" s="4"/>
      <c r="H121" s="4"/>
      <c r="I121" s="4"/>
      <c r="J121" s="4"/>
      <c r="K121" s="4"/>
      <c r="L121" s="4"/>
    </row>
    <row r="123" spans="1:13" x14ac:dyDescent="0.25">
      <c r="A123" s="5" t="s">
        <v>2</v>
      </c>
      <c r="B123" s="8" t="s">
        <v>36</v>
      </c>
      <c r="C123" s="4"/>
      <c r="D123" s="4"/>
      <c r="E123" s="4"/>
      <c r="F123" s="4"/>
      <c r="G123" s="4"/>
      <c r="H123" s="4"/>
      <c r="I123" s="4"/>
      <c r="J123" s="4"/>
      <c r="K123" s="4"/>
      <c r="L123" s="4"/>
    </row>
    <row r="124" spans="1:13" x14ac:dyDescent="0.25">
      <c r="A124" s="6"/>
      <c r="B124" s="6"/>
      <c r="C124" s="6"/>
      <c r="D124" s="6"/>
      <c r="E124" s="6"/>
      <c r="F124" s="6"/>
      <c r="G124" s="6"/>
      <c r="H124" s="6"/>
      <c r="I124" s="6"/>
      <c r="J124" s="6"/>
      <c r="K124" s="6"/>
      <c r="L124" s="6"/>
    </row>
    <row r="125" spans="1:13" x14ac:dyDescent="0.25">
      <c r="A125" s="6" t="s">
        <v>1</v>
      </c>
      <c r="B125" s="6"/>
      <c r="C125" s="6"/>
      <c r="D125" s="6"/>
      <c r="E125" s="6"/>
      <c r="F125" s="6"/>
      <c r="G125" s="6"/>
      <c r="H125" s="6"/>
      <c r="I125" s="6"/>
      <c r="J125" s="6"/>
      <c r="K125" s="6"/>
      <c r="L125" s="6"/>
    </row>
    <row r="127" spans="1:13" x14ac:dyDescent="0.25">
      <c r="C127" s="1" t="s">
        <v>247</v>
      </c>
      <c r="D127" s="83"/>
      <c r="F127" s="83">
        <f>C82+D81+E80</f>
        <v>13174</v>
      </c>
      <c r="H127" s="83"/>
    </row>
    <row r="128" spans="1:13" x14ac:dyDescent="0.25">
      <c r="C128" s="1" t="s">
        <v>248</v>
      </c>
      <c r="D128" s="83"/>
      <c r="F128" s="83">
        <f>C81+D80</f>
        <v>5232</v>
      </c>
      <c r="H128" s="83"/>
      <c r="M128" s="6"/>
    </row>
    <row r="129" spans="3:13" x14ac:dyDescent="0.25">
      <c r="C129" s="1" t="s">
        <v>249</v>
      </c>
      <c r="D129" s="83"/>
      <c r="F129" s="83"/>
      <c r="M129" s="6"/>
    </row>
    <row r="130" spans="3:13" x14ac:dyDescent="0.25">
      <c r="C130" s="84" t="s">
        <v>244</v>
      </c>
      <c r="D130" s="83">
        <f>F127+C119</f>
        <v>51650</v>
      </c>
      <c r="E130" s="85" t="s">
        <v>245</v>
      </c>
      <c r="F130" s="83">
        <f>F128+C118</f>
        <v>22954</v>
      </c>
      <c r="G130" s="85" t="s">
        <v>246</v>
      </c>
      <c r="H130" s="83">
        <f>D130-F130</f>
        <v>28696</v>
      </c>
    </row>
  </sheetData>
  <mergeCells count="19">
    <mergeCell ref="C74:D74"/>
    <mergeCell ref="C5:F5"/>
    <mergeCell ref="C12:F12"/>
    <mergeCell ref="B116:C116"/>
    <mergeCell ref="E27:G27"/>
    <mergeCell ref="E28:G28"/>
    <mergeCell ref="E29:G29"/>
    <mergeCell ref="E30:G30"/>
    <mergeCell ref="E31:G31"/>
    <mergeCell ref="E32:G32"/>
    <mergeCell ref="E33:G33"/>
    <mergeCell ref="C40:F40"/>
    <mergeCell ref="C44:F44"/>
    <mergeCell ref="C48:F48"/>
    <mergeCell ref="C53:E53"/>
    <mergeCell ref="C57:E57"/>
    <mergeCell ref="C61:E61"/>
    <mergeCell ref="C66:D66"/>
    <mergeCell ref="C70:D7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E2ED-B749-499D-92DF-0C7620ACDC12}">
  <dimension ref="A1:R85"/>
  <sheetViews>
    <sheetView zoomScaleNormal="100" workbookViewId="0"/>
  </sheetViews>
  <sheetFormatPr defaultColWidth="8.85546875" defaultRowHeight="15.75" x14ac:dyDescent="0.25"/>
  <cols>
    <col min="1" max="1" width="8.85546875" style="1" customWidth="1"/>
    <col min="2" max="7" width="13.7109375" style="1" customWidth="1"/>
    <col min="8" max="8" width="23.7109375" style="1" customWidth="1"/>
    <col min="9" max="16384" width="8.85546875" style="1"/>
  </cols>
  <sheetData>
    <row r="1" spans="1:18" ht="18.75" x14ac:dyDescent="0.3">
      <c r="A1" s="2" t="s">
        <v>129</v>
      </c>
      <c r="B1" s="4"/>
      <c r="C1" s="8" t="s">
        <v>9</v>
      </c>
      <c r="D1" s="4"/>
      <c r="E1" s="4"/>
      <c r="F1" s="4"/>
      <c r="G1" s="4"/>
      <c r="H1" s="4"/>
      <c r="I1" s="4"/>
      <c r="J1" s="4"/>
      <c r="K1" s="4"/>
      <c r="L1" s="3"/>
    </row>
    <row r="2" spans="1:18" x14ac:dyDescent="0.25">
      <c r="A2" s="4"/>
      <c r="B2" s="4"/>
      <c r="C2" s="4"/>
      <c r="D2" s="4"/>
      <c r="E2" s="4"/>
      <c r="F2" s="4"/>
      <c r="G2" s="4"/>
      <c r="H2" s="4"/>
      <c r="I2" s="4"/>
      <c r="J2" s="4"/>
      <c r="K2" s="4"/>
      <c r="L2" s="3"/>
    </row>
    <row r="3" spans="1:18" x14ac:dyDescent="0.25">
      <c r="A3" s="8" t="s">
        <v>130</v>
      </c>
      <c r="B3" s="4"/>
      <c r="C3" s="4"/>
      <c r="D3" s="4"/>
      <c r="E3" s="4"/>
      <c r="F3" s="4"/>
      <c r="G3" s="4"/>
      <c r="H3" s="4"/>
      <c r="I3" s="4"/>
      <c r="J3" s="4"/>
      <c r="K3" s="4"/>
      <c r="L3" s="3"/>
    </row>
    <row r="4" spans="1:18" x14ac:dyDescent="0.25">
      <c r="A4" s="6"/>
      <c r="B4" s="6"/>
      <c r="C4" s="6"/>
      <c r="D4" s="6"/>
      <c r="E4" s="6"/>
      <c r="F4" s="6"/>
      <c r="G4" s="6"/>
      <c r="H4" s="6"/>
      <c r="I4" s="6"/>
      <c r="J4" s="6"/>
      <c r="K4" s="6"/>
      <c r="L4" s="6"/>
    </row>
    <row r="5" spans="1:18" x14ac:dyDescent="0.25">
      <c r="A5" s="5" t="s">
        <v>4</v>
      </c>
      <c r="B5" s="8" t="s">
        <v>131</v>
      </c>
      <c r="C5" s="4"/>
      <c r="D5" s="4"/>
      <c r="E5" s="4"/>
      <c r="F5" s="4"/>
      <c r="G5" s="4"/>
      <c r="H5" s="4"/>
      <c r="I5" s="4"/>
      <c r="J5" s="4"/>
      <c r="K5" s="4"/>
      <c r="L5" s="4"/>
      <c r="M5" s="7"/>
      <c r="N5" s="7"/>
      <c r="O5" s="7"/>
      <c r="P5" s="7"/>
      <c r="Q5" s="7"/>
      <c r="R5" s="7"/>
    </row>
    <row r="6" spans="1:18" x14ac:dyDescent="0.25">
      <c r="A6" s="6"/>
      <c r="B6" s="6"/>
      <c r="C6" s="6"/>
      <c r="D6" s="6"/>
      <c r="E6" s="6"/>
      <c r="F6" s="6"/>
      <c r="G6" s="6"/>
      <c r="H6" s="6"/>
      <c r="I6" s="6"/>
      <c r="J6" s="6"/>
      <c r="K6" s="6"/>
      <c r="L6" s="6"/>
      <c r="M6" s="6"/>
    </row>
    <row r="7" spans="1:18" x14ac:dyDescent="0.25">
      <c r="A7" s="6" t="s">
        <v>1</v>
      </c>
      <c r="B7" s="6"/>
      <c r="C7" s="6"/>
      <c r="D7" s="6"/>
      <c r="E7" s="6"/>
      <c r="F7" s="6"/>
      <c r="G7" s="6"/>
      <c r="H7" s="6"/>
      <c r="I7" s="6"/>
      <c r="J7" s="6"/>
      <c r="K7" s="6"/>
      <c r="L7" s="6"/>
      <c r="M7" s="6"/>
      <c r="N7" s="7"/>
    </row>
    <row r="8" spans="1:18" x14ac:dyDescent="0.25">
      <c r="A8" s="6"/>
      <c r="B8" s="6"/>
      <c r="C8" s="6"/>
      <c r="D8" s="6"/>
      <c r="E8" s="6"/>
      <c r="F8" s="6"/>
      <c r="G8" s="6"/>
      <c r="H8" s="6"/>
      <c r="I8" s="6"/>
      <c r="J8" s="6"/>
      <c r="K8" s="6"/>
      <c r="L8" s="6"/>
      <c r="M8" s="6"/>
      <c r="N8" s="7"/>
    </row>
    <row r="9" spans="1:18" x14ac:dyDescent="0.25">
      <c r="A9" s="6" t="s">
        <v>345</v>
      </c>
      <c r="B9" s="6"/>
      <c r="C9" s="6"/>
      <c r="D9" s="6"/>
      <c r="E9" s="6"/>
      <c r="F9" s="6"/>
      <c r="G9" s="6"/>
      <c r="H9" s="6"/>
      <c r="I9" s="6"/>
      <c r="J9" s="6"/>
      <c r="K9" s="6"/>
      <c r="L9" s="6"/>
      <c r="M9" s="6"/>
      <c r="N9" s="7"/>
    </row>
    <row r="10" spans="1:18" x14ac:dyDescent="0.25">
      <c r="A10" s="86" t="s">
        <v>341</v>
      </c>
      <c r="M10" s="7"/>
      <c r="N10" s="7"/>
    </row>
    <row r="11" spans="1:18" x14ac:dyDescent="0.25">
      <c r="A11" s="86" t="s">
        <v>342</v>
      </c>
      <c r="M11" s="7"/>
      <c r="N11" s="7"/>
    </row>
    <row r="12" spans="1:18" x14ac:dyDescent="0.25">
      <c r="A12" s="86" t="s">
        <v>343</v>
      </c>
      <c r="M12" s="7"/>
      <c r="N12" s="7"/>
    </row>
    <row r="13" spans="1:18" x14ac:dyDescent="0.25">
      <c r="A13" s="86" t="s">
        <v>344</v>
      </c>
      <c r="M13" s="7"/>
      <c r="N13" s="7"/>
    </row>
    <row r="15" spans="1:18" x14ac:dyDescent="0.25">
      <c r="A15" s="5" t="s">
        <v>5</v>
      </c>
      <c r="B15" s="8" t="s">
        <v>132</v>
      </c>
      <c r="C15" s="4"/>
      <c r="D15" s="4"/>
      <c r="E15" s="4"/>
      <c r="F15" s="4"/>
      <c r="G15" s="4"/>
      <c r="H15" s="4"/>
      <c r="I15" s="4"/>
      <c r="J15" s="4"/>
      <c r="K15" s="4"/>
      <c r="L15" s="4"/>
    </row>
    <row r="16" spans="1:18" x14ac:dyDescent="0.25">
      <c r="A16" s="6"/>
      <c r="B16" s="6"/>
      <c r="C16" s="6"/>
      <c r="D16" s="6"/>
      <c r="E16" s="6"/>
      <c r="F16" s="6"/>
      <c r="G16" s="6"/>
      <c r="H16" s="6"/>
      <c r="I16" s="6"/>
      <c r="J16" s="6"/>
      <c r="K16" s="6"/>
      <c r="L16" s="6"/>
    </row>
    <row r="17" spans="1:12" x14ac:dyDescent="0.25">
      <c r="A17" s="6" t="s">
        <v>1</v>
      </c>
      <c r="B17" s="6"/>
      <c r="C17" s="6"/>
      <c r="D17" s="6"/>
      <c r="E17" s="6"/>
      <c r="F17" s="6"/>
      <c r="G17" s="6"/>
      <c r="H17" s="6"/>
      <c r="I17" s="6"/>
      <c r="J17" s="6"/>
      <c r="K17" s="6"/>
      <c r="L17" s="6"/>
    </row>
    <row r="18" spans="1:12" x14ac:dyDescent="0.25">
      <c r="A18" s="6"/>
      <c r="B18" s="6"/>
      <c r="C18" s="6"/>
      <c r="D18" s="6"/>
      <c r="E18" s="6"/>
      <c r="F18" s="6"/>
      <c r="G18" s="6"/>
      <c r="H18" s="6"/>
      <c r="I18" s="6"/>
      <c r="J18" s="6"/>
      <c r="K18" s="6"/>
      <c r="L18" s="6"/>
    </row>
    <row r="19" spans="1:12" x14ac:dyDescent="0.25">
      <c r="A19" s="6" t="s">
        <v>346</v>
      </c>
      <c r="B19" s="6"/>
      <c r="C19" s="6"/>
      <c r="D19" s="6"/>
      <c r="E19" s="6"/>
      <c r="F19" s="6"/>
      <c r="G19" s="6"/>
      <c r="H19" s="6"/>
      <c r="I19" s="6"/>
      <c r="J19" s="6"/>
      <c r="K19" s="6"/>
      <c r="L19" s="6"/>
    </row>
    <row r="21" spans="1:12" x14ac:dyDescent="0.25">
      <c r="A21" s="59" t="s">
        <v>133</v>
      </c>
      <c r="B21" s="8"/>
      <c r="C21" s="8"/>
      <c r="D21" s="8"/>
      <c r="E21" s="8"/>
      <c r="F21" s="8"/>
      <c r="G21" s="8"/>
      <c r="H21" s="8"/>
      <c r="I21" s="8"/>
      <c r="J21" s="8"/>
      <c r="K21" s="8"/>
      <c r="L21" s="8"/>
    </row>
    <row r="22" spans="1:12" x14ac:dyDescent="0.25">
      <c r="A22" s="8"/>
      <c r="B22" s="8"/>
      <c r="C22" s="8"/>
      <c r="D22" s="8"/>
      <c r="E22" s="8"/>
      <c r="F22" s="8"/>
      <c r="G22" s="8"/>
      <c r="H22" s="8"/>
      <c r="I22" s="8"/>
      <c r="J22" s="8"/>
      <c r="K22" s="8"/>
      <c r="L22" s="8"/>
    </row>
    <row r="23" spans="1:12" ht="33" customHeight="1" x14ac:dyDescent="0.25">
      <c r="A23" s="8"/>
      <c r="B23" s="196" t="s">
        <v>40</v>
      </c>
      <c r="C23" s="207" t="s">
        <v>15</v>
      </c>
      <c r="D23" s="207"/>
      <c r="E23" s="207"/>
      <c r="F23" s="207"/>
      <c r="G23" s="207"/>
      <c r="H23" s="195" t="s">
        <v>134</v>
      </c>
      <c r="I23" s="8"/>
      <c r="J23" s="8"/>
      <c r="K23" s="8"/>
      <c r="L23" s="8"/>
    </row>
    <row r="24" spans="1:12" x14ac:dyDescent="0.25">
      <c r="A24" s="8"/>
      <c r="B24" s="196"/>
      <c r="C24" s="29">
        <v>12</v>
      </c>
      <c r="D24" s="29">
        <v>24</v>
      </c>
      <c r="E24" s="29">
        <v>36</v>
      </c>
      <c r="F24" s="29">
        <v>48</v>
      </c>
      <c r="G24" s="29">
        <v>60</v>
      </c>
      <c r="H24" s="195"/>
      <c r="I24" s="8"/>
      <c r="J24" s="8"/>
      <c r="K24" s="8"/>
      <c r="L24" s="8"/>
    </row>
    <row r="25" spans="1:12" x14ac:dyDescent="0.25">
      <c r="A25" s="8"/>
      <c r="B25" s="30">
        <v>2018</v>
      </c>
      <c r="C25" s="38">
        <v>6750</v>
      </c>
      <c r="D25" s="38">
        <v>8295</v>
      </c>
      <c r="E25" s="38">
        <v>9780</v>
      </c>
      <c r="F25" s="38">
        <v>10670</v>
      </c>
      <c r="G25" s="38">
        <v>10990</v>
      </c>
      <c r="H25" s="38">
        <v>11753</v>
      </c>
      <c r="I25" s="8"/>
      <c r="J25" s="8"/>
      <c r="K25" s="8"/>
      <c r="L25" s="8"/>
    </row>
    <row r="26" spans="1:12" x14ac:dyDescent="0.25">
      <c r="A26" s="8"/>
      <c r="B26" s="30">
        <v>2019</v>
      </c>
      <c r="C26" s="38">
        <v>7375</v>
      </c>
      <c r="D26" s="38">
        <v>9268</v>
      </c>
      <c r="E26" s="38">
        <v>10843</v>
      </c>
      <c r="F26" s="38">
        <v>11808</v>
      </c>
      <c r="G26" s="30"/>
      <c r="H26" s="38">
        <v>13006</v>
      </c>
      <c r="I26" s="8"/>
      <c r="J26" s="8"/>
      <c r="K26" s="8"/>
      <c r="L26" s="8"/>
    </row>
    <row r="27" spans="1:12" x14ac:dyDescent="0.25">
      <c r="A27" s="8"/>
      <c r="B27" s="30">
        <v>2020</v>
      </c>
      <c r="C27" s="38">
        <v>8000</v>
      </c>
      <c r="D27" s="38">
        <v>10240</v>
      </c>
      <c r="E27" s="38">
        <v>12083</v>
      </c>
      <c r="F27" s="30"/>
      <c r="G27" s="30"/>
      <c r="H27" s="38">
        <v>14507</v>
      </c>
      <c r="I27" s="8"/>
      <c r="J27" s="8"/>
      <c r="K27" s="8"/>
      <c r="L27" s="8"/>
    </row>
    <row r="28" spans="1:12" x14ac:dyDescent="0.25">
      <c r="A28" s="8"/>
      <c r="B28" s="30">
        <v>2021</v>
      </c>
      <c r="C28" s="38">
        <v>8625</v>
      </c>
      <c r="D28" s="38">
        <v>11213</v>
      </c>
      <c r="E28" s="30"/>
      <c r="F28" s="30"/>
      <c r="G28" s="30"/>
      <c r="H28" s="38">
        <v>15836</v>
      </c>
      <c r="I28" s="8"/>
      <c r="J28" s="8"/>
      <c r="K28" s="8"/>
      <c r="L28" s="8"/>
    </row>
    <row r="29" spans="1:12" x14ac:dyDescent="0.25">
      <c r="A29" s="8"/>
      <c r="B29" s="30">
        <v>2022</v>
      </c>
      <c r="C29" s="38">
        <v>9250</v>
      </c>
      <c r="D29" s="30"/>
      <c r="E29" s="30"/>
      <c r="F29" s="30"/>
      <c r="G29" s="30"/>
      <c r="H29" s="38">
        <v>16544</v>
      </c>
      <c r="I29" s="8"/>
      <c r="J29" s="8"/>
      <c r="K29" s="8"/>
      <c r="L29" s="8"/>
    </row>
    <row r="30" spans="1:12" x14ac:dyDescent="0.25">
      <c r="A30" s="8"/>
      <c r="B30" s="8"/>
      <c r="C30" s="8"/>
      <c r="D30" s="8"/>
      <c r="E30" s="8"/>
      <c r="F30" s="8"/>
      <c r="G30" s="8"/>
      <c r="H30" s="8"/>
      <c r="I30" s="8"/>
      <c r="J30" s="8"/>
      <c r="K30" s="8"/>
      <c r="L30" s="8"/>
    </row>
    <row r="31" spans="1:12" ht="47.25" x14ac:dyDescent="0.25">
      <c r="A31" s="8"/>
      <c r="B31" s="33" t="s">
        <v>71</v>
      </c>
      <c r="C31" s="33" t="s">
        <v>135</v>
      </c>
      <c r="D31" s="33" t="s">
        <v>136</v>
      </c>
      <c r="E31" s="33" t="s">
        <v>137</v>
      </c>
      <c r="F31" s="8"/>
      <c r="G31" s="8"/>
      <c r="H31" s="8"/>
      <c r="I31" s="8"/>
      <c r="J31" s="8"/>
      <c r="K31" s="8"/>
      <c r="L31" s="8"/>
    </row>
    <row r="32" spans="1:12" x14ac:dyDescent="0.25">
      <c r="A32" s="8"/>
      <c r="B32" s="30">
        <v>2018</v>
      </c>
      <c r="C32" s="38">
        <v>14750</v>
      </c>
      <c r="D32" s="30">
        <v>195</v>
      </c>
      <c r="E32" s="49">
        <v>1.103</v>
      </c>
      <c r="F32" s="8"/>
      <c r="G32" s="8"/>
      <c r="H32" s="8"/>
      <c r="I32" s="8"/>
      <c r="J32" s="8"/>
      <c r="K32" s="8"/>
      <c r="L32" s="8"/>
    </row>
    <row r="33" spans="1:12" x14ac:dyDescent="0.25">
      <c r="A33" s="8"/>
      <c r="B33" s="30">
        <v>2019</v>
      </c>
      <c r="C33" s="38">
        <v>15895</v>
      </c>
      <c r="D33" s="30">
        <v>205</v>
      </c>
      <c r="E33" s="49">
        <v>1.0980000000000001</v>
      </c>
      <c r="F33" s="8"/>
      <c r="G33" s="8"/>
      <c r="H33" s="8"/>
      <c r="I33" s="8"/>
      <c r="J33" s="8"/>
      <c r="K33" s="8"/>
      <c r="L33" s="8"/>
    </row>
    <row r="34" spans="1:12" x14ac:dyDescent="0.25">
      <c r="A34" s="8"/>
      <c r="B34" s="30">
        <v>2020</v>
      </c>
      <c r="C34" s="38">
        <v>17400</v>
      </c>
      <c r="D34" s="30">
        <v>225</v>
      </c>
      <c r="E34" s="49">
        <v>1.06</v>
      </c>
      <c r="F34" s="8"/>
      <c r="G34" s="8"/>
      <c r="H34" s="8"/>
      <c r="I34" s="8"/>
      <c r="J34" s="8"/>
      <c r="K34" s="8"/>
      <c r="L34" s="8"/>
    </row>
    <row r="35" spans="1:12" x14ac:dyDescent="0.25">
      <c r="A35" s="8"/>
      <c r="B35" s="30">
        <v>2021</v>
      </c>
      <c r="C35" s="38">
        <v>18705</v>
      </c>
      <c r="D35" s="30">
        <v>235</v>
      </c>
      <c r="E35" s="49">
        <v>1.034</v>
      </c>
      <c r="F35" s="8"/>
      <c r="G35" s="8"/>
      <c r="H35" s="8"/>
      <c r="I35" s="8"/>
      <c r="J35" s="8"/>
      <c r="K35" s="8"/>
      <c r="L35" s="8"/>
    </row>
    <row r="36" spans="1:12" x14ac:dyDescent="0.25">
      <c r="A36" s="8"/>
      <c r="B36" s="30">
        <v>2022</v>
      </c>
      <c r="C36" s="38">
        <v>20010</v>
      </c>
      <c r="D36" s="30">
        <v>236</v>
      </c>
      <c r="E36" s="49">
        <v>1</v>
      </c>
      <c r="F36" s="8"/>
      <c r="G36" s="8"/>
      <c r="H36" s="8"/>
      <c r="I36" s="8"/>
      <c r="J36" s="8"/>
      <c r="K36" s="8"/>
      <c r="L36" s="8"/>
    </row>
    <row r="37" spans="1:12" x14ac:dyDescent="0.25">
      <c r="A37" s="8"/>
      <c r="B37" s="8"/>
      <c r="C37" s="8"/>
      <c r="D37" s="8"/>
      <c r="E37" s="8"/>
      <c r="F37" s="8"/>
      <c r="G37" s="8"/>
      <c r="H37" s="8"/>
      <c r="I37" s="8"/>
      <c r="J37" s="8"/>
      <c r="K37" s="8"/>
      <c r="L37" s="8"/>
    </row>
    <row r="38" spans="1:12" x14ac:dyDescent="0.25">
      <c r="A38" s="8"/>
      <c r="B38" s="59" t="s">
        <v>138</v>
      </c>
      <c r="C38" s="8"/>
      <c r="D38" s="8"/>
      <c r="E38" s="8"/>
      <c r="F38" s="52">
        <v>0.03</v>
      </c>
      <c r="G38" s="8"/>
      <c r="H38" s="58"/>
      <c r="I38" s="8"/>
      <c r="J38" s="8"/>
      <c r="K38" s="8"/>
      <c r="L38" s="8"/>
    </row>
    <row r="40" spans="1:12" x14ac:dyDescent="0.25">
      <c r="A40" s="5" t="s">
        <v>0</v>
      </c>
      <c r="B40" s="8" t="s">
        <v>139</v>
      </c>
      <c r="C40" s="4"/>
      <c r="D40" s="4"/>
      <c r="E40" s="4"/>
      <c r="F40" s="4"/>
      <c r="G40" s="4"/>
      <c r="H40" s="4"/>
      <c r="I40" s="4"/>
      <c r="J40" s="4"/>
      <c r="K40" s="4"/>
      <c r="L40" s="4"/>
    </row>
    <row r="41" spans="1:12" x14ac:dyDescent="0.25">
      <c r="A41" s="6"/>
      <c r="B41" s="6"/>
      <c r="C41" s="6"/>
      <c r="D41" s="6"/>
      <c r="E41" s="6"/>
      <c r="F41" s="6"/>
      <c r="G41" s="6"/>
      <c r="H41" s="6"/>
      <c r="I41" s="6"/>
      <c r="J41" s="6"/>
      <c r="K41" s="6"/>
      <c r="L41" s="6"/>
    </row>
    <row r="42" spans="1:12" x14ac:dyDescent="0.25">
      <c r="A42" s="6" t="s">
        <v>1</v>
      </c>
      <c r="B42" s="6"/>
      <c r="C42" s="6"/>
      <c r="D42" s="6"/>
      <c r="E42" s="6"/>
      <c r="F42" s="6"/>
      <c r="G42" s="6"/>
      <c r="H42" s="6"/>
      <c r="I42" s="6"/>
      <c r="J42" s="6"/>
      <c r="K42" s="6"/>
      <c r="L42" s="6"/>
    </row>
    <row r="43" spans="1:12" ht="63" x14ac:dyDescent="0.25">
      <c r="A43" s="97" t="s">
        <v>52</v>
      </c>
      <c r="B43" s="97" t="s">
        <v>347</v>
      </c>
      <c r="C43" s="97" t="s">
        <v>348</v>
      </c>
      <c r="D43" s="97" t="s">
        <v>349</v>
      </c>
      <c r="E43" s="97" t="s">
        <v>137</v>
      </c>
      <c r="F43" s="97" t="s">
        <v>350</v>
      </c>
      <c r="G43" s="97" t="s">
        <v>351</v>
      </c>
      <c r="H43" s="97" t="s">
        <v>352</v>
      </c>
      <c r="J43" s="6"/>
      <c r="K43" s="6"/>
      <c r="L43" s="6"/>
    </row>
    <row r="44" spans="1:12" x14ac:dyDescent="0.25">
      <c r="A44" s="74">
        <v>2018</v>
      </c>
      <c r="B44" s="148">
        <f>C32</f>
        <v>14750</v>
      </c>
      <c r="C44" s="148">
        <f>H25</f>
        <v>11753</v>
      </c>
      <c r="D44" s="149">
        <f t="shared" ref="D44:D46" si="0">D45*(1+$F$38)</f>
        <v>1.1255088100000001</v>
      </c>
      <c r="E44" s="150">
        <f>E32</f>
        <v>1.103</v>
      </c>
      <c r="F44" s="148">
        <f t="shared" ref="F44:F48" si="1">B44*E44</f>
        <v>16269.25</v>
      </c>
      <c r="G44" s="148">
        <f t="shared" ref="G44:G48" si="2">C44*D44</f>
        <v>13228.105043930002</v>
      </c>
      <c r="H44" s="151">
        <f t="shared" ref="H44:H48" si="3">G44/F44</f>
        <v>0.81307405344007877</v>
      </c>
      <c r="J44" s="6"/>
      <c r="K44" s="6"/>
      <c r="L44" s="6"/>
    </row>
    <row r="45" spans="1:12" x14ac:dyDescent="0.25">
      <c r="A45" s="74">
        <v>2019</v>
      </c>
      <c r="B45" s="148">
        <f t="shared" ref="B45:B48" si="4">C33</f>
        <v>15895</v>
      </c>
      <c r="C45" s="148">
        <f>H26</f>
        <v>13006</v>
      </c>
      <c r="D45" s="149">
        <f t="shared" si="0"/>
        <v>1.092727</v>
      </c>
      <c r="E45" s="150">
        <f t="shared" ref="E45:E48" si="5">E33</f>
        <v>1.0980000000000001</v>
      </c>
      <c r="F45" s="148">
        <f t="shared" si="1"/>
        <v>17452.710000000003</v>
      </c>
      <c r="G45" s="148">
        <f t="shared" si="2"/>
        <v>14212.007362</v>
      </c>
      <c r="H45" s="151">
        <f t="shared" si="3"/>
        <v>0.81431521878264168</v>
      </c>
      <c r="J45" s="6"/>
      <c r="K45" s="6"/>
      <c r="L45" s="6"/>
    </row>
    <row r="46" spans="1:12" x14ac:dyDescent="0.25">
      <c r="A46" s="74">
        <v>2020</v>
      </c>
      <c r="B46" s="148">
        <f t="shared" si="4"/>
        <v>17400</v>
      </c>
      <c r="C46" s="148">
        <f>H27</f>
        <v>14507</v>
      </c>
      <c r="D46" s="149">
        <f t="shared" si="0"/>
        <v>1.0609</v>
      </c>
      <c r="E46" s="150">
        <f t="shared" si="5"/>
        <v>1.06</v>
      </c>
      <c r="F46" s="148">
        <f t="shared" si="1"/>
        <v>18444</v>
      </c>
      <c r="G46" s="148">
        <f t="shared" si="2"/>
        <v>15390.476299999998</v>
      </c>
      <c r="H46" s="151">
        <f t="shared" si="3"/>
        <v>0.83444352092821505</v>
      </c>
      <c r="J46" s="6"/>
      <c r="K46" s="6"/>
      <c r="L46" s="6"/>
    </row>
    <row r="47" spans="1:12" x14ac:dyDescent="0.25">
      <c r="A47" s="74">
        <v>2021</v>
      </c>
      <c r="B47" s="148">
        <f t="shared" si="4"/>
        <v>18705</v>
      </c>
      <c r="C47" s="148">
        <f>H28</f>
        <v>15836</v>
      </c>
      <c r="D47" s="149">
        <f>D48*(1+$F$38)</f>
        <v>1.03</v>
      </c>
      <c r="E47" s="150">
        <f t="shared" si="5"/>
        <v>1.034</v>
      </c>
      <c r="F47" s="148">
        <f t="shared" si="1"/>
        <v>19340.97</v>
      </c>
      <c r="G47" s="148">
        <f t="shared" si="2"/>
        <v>16311.08</v>
      </c>
      <c r="H47" s="151">
        <f t="shared" si="3"/>
        <v>0.84334343106886567</v>
      </c>
    </row>
    <row r="48" spans="1:12" x14ac:dyDescent="0.25">
      <c r="A48" s="74">
        <v>2022</v>
      </c>
      <c r="B48" s="148">
        <f t="shared" si="4"/>
        <v>20010</v>
      </c>
      <c r="C48" s="148">
        <f>H29</f>
        <v>16544</v>
      </c>
      <c r="D48" s="153">
        <v>1</v>
      </c>
      <c r="E48" s="154">
        <f t="shared" si="5"/>
        <v>1</v>
      </c>
      <c r="F48" s="148">
        <f t="shared" si="1"/>
        <v>20010</v>
      </c>
      <c r="G48" s="148">
        <f t="shared" si="2"/>
        <v>16544</v>
      </c>
      <c r="H48" s="112">
        <f t="shared" si="3"/>
        <v>0.82678660669665172</v>
      </c>
    </row>
    <row r="50" spans="1:13" x14ac:dyDescent="0.25">
      <c r="A50" s="5" t="s">
        <v>2</v>
      </c>
      <c r="B50" s="8" t="s">
        <v>140</v>
      </c>
      <c r="C50" s="4"/>
      <c r="D50" s="4"/>
      <c r="E50" s="4"/>
      <c r="F50" s="4"/>
      <c r="G50" s="4"/>
      <c r="H50" s="4"/>
      <c r="I50" s="4"/>
      <c r="J50" s="4"/>
      <c r="K50" s="4"/>
      <c r="L50" s="4"/>
    </row>
    <row r="51" spans="1:13" x14ac:dyDescent="0.25">
      <c r="A51" s="6"/>
      <c r="B51" s="6"/>
      <c r="C51" s="6"/>
      <c r="D51" s="6"/>
      <c r="E51" s="6"/>
      <c r="F51" s="6"/>
      <c r="G51" s="6"/>
      <c r="H51" s="6"/>
      <c r="I51" s="6"/>
      <c r="J51" s="6"/>
      <c r="K51" s="6"/>
      <c r="L51" s="6"/>
    </row>
    <row r="52" spans="1:13" x14ac:dyDescent="0.25">
      <c r="A52" s="6" t="s">
        <v>1</v>
      </c>
      <c r="B52" s="6"/>
      <c r="C52" s="6"/>
      <c r="D52" s="6"/>
      <c r="E52" s="6"/>
      <c r="F52" s="6"/>
      <c r="G52" s="6"/>
      <c r="H52" s="6"/>
      <c r="I52" s="6"/>
      <c r="J52" s="6"/>
      <c r="K52" s="6"/>
      <c r="L52" s="6"/>
    </row>
    <row r="53" spans="1:13" x14ac:dyDescent="0.25">
      <c r="A53" s="6"/>
      <c r="B53" s="6"/>
      <c r="C53" s="6"/>
      <c r="D53" s="6"/>
      <c r="E53" s="6"/>
      <c r="F53" s="6"/>
      <c r="G53" s="6"/>
      <c r="H53" s="6"/>
      <c r="I53" s="6"/>
      <c r="J53" s="6"/>
      <c r="K53" s="6"/>
      <c r="L53" s="6"/>
    </row>
    <row r="54" spans="1:13" ht="31.5" x14ac:dyDescent="0.25">
      <c r="A54" s="97" t="s">
        <v>52</v>
      </c>
      <c r="B54" s="97" t="s">
        <v>353</v>
      </c>
      <c r="C54" s="6"/>
      <c r="D54" s="6"/>
      <c r="E54" s="6"/>
      <c r="F54" s="6"/>
      <c r="G54" s="6"/>
      <c r="H54" s="6"/>
      <c r="I54" s="6"/>
      <c r="J54" s="6"/>
      <c r="K54" s="6"/>
      <c r="L54" s="6"/>
    </row>
    <row r="55" spans="1:13" x14ac:dyDescent="0.25">
      <c r="A55" s="74">
        <v>2018</v>
      </c>
      <c r="B55" s="152">
        <f>G44/D32</f>
        <v>67.836436122717956</v>
      </c>
    </row>
    <row r="56" spans="1:13" x14ac:dyDescent="0.25">
      <c r="A56" s="74">
        <v>2019</v>
      </c>
      <c r="B56" s="152">
        <f>G45/D33</f>
        <v>69.3268651804878</v>
      </c>
    </row>
    <row r="57" spans="1:13" x14ac:dyDescent="0.25">
      <c r="A57" s="74">
        <v>2020</v>
      </c>
      <c r="B57" s="152">
        <f>G46/D34</f>
        <v>68.402116888888884</v>
      </c>
      <c r="M57" s="6"/>
    </row>
    <row r="58" spans="1:13" x14ac:dyDescent="0.25">
      <c r="A58" s="74">
        <v>2021</v>
      </c>
      <c r="B58" s="152">
        <f>G47/D35</f>
        <v>69.408851063829786</v>
      </c>
      <c r="M58" s="6"/>
    </row>
    <row r="59" spans="1:13" x14ac:dyDescent="0.25">
      <c r="A59" s="74">
        <v>2022</v>
      </c>
      <c r="B59" s="155">
        <f>G48/D36</f>
        <v>70.101694915254242</v>
      </c>
    </row>
    <row r="61" spans="1:13" x14ac:dyDescent="0.25">
      <c r="A61" s="5" t="s">
        <v>3</v>
      </c>
      <c r="B61" s="8" t="s">
        <v>141</v>
      </c>
      <c r="C61" s="4"/>
      <c r="D61" s="4"/>
      <c r="E61" s="4"/>
      <c r="F61" s="4"/>
      <c r="G61" s="4"/>
      <c r="H61" s="4"/>
      <c r="I61" s="4"/>
      <c r="J61" s="4"/>
      <c r="K61" s="4"/>
      <c r="L61" s="4"/>
    </row>
    <row r="62" spans="1:13" x14ac:dyDescent="0.25">
      <c r="A62" s="5"/>
      <c r="B62" s="4"/>
      <c r="C62" s="4"/>
      <c r="D62" s="4"/>
      <c r="E62" s="4"/>
      <c r="F62" s="4"/>
      <c r="G62" s="4"/>
      <c r="H62" s="4"/>
      <c r="I62" s="4"/>
      <c r="J62" s="4"/>
      <c r="K62" s="4"/>
      <c r="L62" s="4"/>
    </row>
    <row r="63" spans="1:13" x14ac:dyDescent="0.25">
      <c r="A63" s="5"/>
      <c r="B63" s="66" t="s">
        <v>142</v>
      </c>
      <c r="C63" s="68" t="s">
        <v>144</v>
      </c>
      <c r="D63" s="8"/>
      <c r="E63" s="8"/>
      <c r="F63" s="44">
        <v>0.82</v>
      </c>
      <c r="G63" s="68" t="s">
        <v>146</v>
      </c>
      <c r="H63" s="4"/>
      <c r="I63" s="4"/>
      <c r="J63" s="4"/>
      <c r="K63" s="4"/>
      <c r="L63" s="4"/>
    </row>
    <row r="64" spans="1:13" x14ac:dyDescent="0.25">
      <c r="A64" s="5"/>
      <c r="B64" s="66"/>
      <c r="C64" s="69"/>
      <c r="D64" s="8"/>
      <c r="E64" s="8"/>
      <c r="F64" s="8"/>
      <c r="G64" s="8"/>
      <c r="H64" s="4"/>
      <c r="I64" s="4"/>
      <c r="J64" s="4"/>
      <c r="K64" s="4"/>
      <c r="L64" s="4"/>
    </row>
    <row r="65" spans="1:12" x14ac:dyDescent="0.25">
      <c r="A65" s="5"/>
      <c r="B65" s="66" t="s">
        <v>143</v>
      </c>
      <c r="C65" s="68" t="s">
        <v>145</v>
      </c>
      <c r="D65" s="8"/>
      <c r="E65" s="58"/>
      <c r="F65" s="43">
        <v>69</v>
      </c>
      <c r="G65" s="68" t="s">
        <v>146</v>
      </c>
      <c r="H65" s="4"/>
      <c r="I65" s="4"/>
      <c r="J65" s="4"/>
      <c r="K65" s="4"/>
      <c r="L65" s="4"/>
    </row>
    <row r="66" spans="1:12" x14ac:dyDescent="0.25">
      <c r="A66" s="5"/>
      <c r="B66" s="66"/>
      <c r="C66" s="68"/>
      <c r="D66" s="8"/>
      <c r="E66" s="8"/>
      <c r="F66" s="8"/>
      <c r="G66" s="8"/>
      <c r="H66" s="4"/>
      <c r="I66" s="4"/>
      <c r="J66" s="4"/>
      <c r="K66" s="4"/>
      <c r="L66" s="4"/>
    </row>
    <row r="67" spans="1:12" x14ac:dyDescent="0.25">
      <c r="A67" s="6"/>
      <c r="B67" s="67"/>
      <c r="C67"/>
      <c r="D67" s="6"/>
      <c r="E67" s="6"/>
      <c r="F67" s="6"/>
      <c r="G67" s="6"/>
      <c r="H67" s="6"/>
      <c r="I67" s="6"/>
      <c r="J67" s="6"/>
      <c r="K67" s="6"/>
      <c r="L67" s="6"/>
    </row>
    <row r="68" spans="1:12" x14ac:dyDescent="0.25">
      <c r="A68" s="6" t="s">
        <v>1</v>
      </c>
      <c r="B68" s="6"/>
      <c r="C68" s="6"/>
      <c r="D68" s="6"/>
      <c r="E68" s="6"/>
      <c r="F68" s="6"/>
      <c r="G68" s="6"/>
      <c r="H68" s="6"/>
      <c r="I68" s="6"/>
      <c r="J68" s="6"/>
      <c r="K68" s="6"/>
      <c r="L68" s="6"/>
    </row>
    <row r="69" spans="1:12" x14ac:dyDescent="0.25">
      <c r="A69" s="6"/>
      <c r="B69" s="6"/>
      <c r="C69" s="6"/>
      <c r="D69" s="6"/>
      <c r="E69" s="6"/>
      <c r="F69" s="6"/>
      <c r="G69" s="6"/>
      <c r="H69" s="6"/>
      <c r="I69" s="6"/>
      <c r="J69" s="6"/>
      <c r="K69" s="6"/>
      <c r="L69" s="6"/>
    </row>
    <row r="70" spans="1:12" x14ac:dyDescent="0.25">
      <c r="A70" s="6" t="s">
        <v>354</v>
      </c>
      <c r="B70" s="6"/>
      <c r="C70" s="6"/>
      <c r="D70" s="6"/>
      <c r="E70" s="98">
        <f>H28/D28</f>
        <v>1.4122893070543119</v>
      </c>
      <c r="F70" s="6"/>
    </row>
    <row r="71" spans="1:12" x14ac:dyDescent="0.25">
      <c r="A71" s="6" t="s">
        <v>358</v>
      </c>
      <c r="B71" s="6"/>
      <c r="C71" s="6"/>
      <c r="D71" s="6"/>
      <c r="E71" s="156">
        <f>1-1/E70</f>
        <v>0.29192978024753724</v>
      </c>
      <c r="F71" s="6"/>
    </row>
    <row r="72" spans="1:12" x14ac:dyDescent="0.25">
      <c r="A72" s="6"/>
      <c r="B72" s="6"/>
      <c r="C72" s="6"/>
      <c r="D72" s="6"/>
      <c r="E72" s="6"/>
      <c r="F72" s="6"/>
    </row>
    <row r="73" spans="1:12" x14ac:dyDescent="0.25">
      <c r="A73" s="100" t="s">
        <v>355</v>
      </c>
      <c r="B73" s="6"/>
      <c r="C73" s="6"/>
      <c r="D73" s="6"/>
      <c r="E73" s="6"/>
      <c r="F73" s="6"/>
    </row>
    <row r="74" spans="1:12" x14ac:dyDescent="0.25">
      <c r="A74" s="6"/>
      <c r="B74" s="6"/>
      <c r="C74" s="6"/>
      <c r="D74" s="6"/>
      <c r="E74" s="6"/>
      <c r="F74" s="6"/>
    </row>
    <row r="75" spans="1:12" x14ac:dyDescent="0.25">
      <c r="A75" s="6" t="s">
        <v>356</v>
      </c>
      <c r="B75" s="6"/>
      <c r="C75" s="6"/>
      <c r="D75" s="6"/>
      <c r="E75" s="148">
        <f>B47</f>
        <v>18705</v>
      </c>
      <c r="F75" s="6"/>
    </row>
    <row r="76" spans="1:12" x14ac:dyDescent="0.25">
      <c r="A76" s="6" t="s">
        <v>359</v>
      </c>
      <c r="B76" s="6"/>
      <c r="C76" s="6"/>
      <c r="D76" s="6"/>
      <c r="E76" s="98">
        <f>F63*E47/D47</f>
        <v>0.82318446601941742</v>
      </c>
      <c r="F76" s="6"/>
    </row>
    <row r="77" spans="1:12" x14ac:dyDescent="0.25">
      <c r="A77" s="6" t="s">
        <v>360</v>
      </c>
      <c r="B77" s="6"/>
      <c r="C77" s="6"/>
      <c r="D77" s="6"/>
      <c r="E77" s="148">
        <f>E76*E75</f>
        <v>15397.665436893203</v>
      </c>
      <c r="F77" s="6"/>
    </row>
    <row r="78" spans="1:12" x14ac:dyDescent="0.25">
      <c r="A78" s="100" t="s">
        <v>361</v>
      </c>
      <c r="B78" s="6"/>
      <c r="C78" s="6"/>
      <c r="D78" s="6"/>
      <c r="E78" s="148">
        <f>$D$28+E77*$E$71</f>
        <v>15708.037087317332</v>
      </c>
      <c r="F78" s="6"/>
    </row>
    <row r="79" spans="1:12" x14ac:dyDescent="0.25">
      <c r="A79" s="100"/>
      <c r="B79" s="6"/>
      <c r="C79" s="6"/>
      <c r="D79" s="6"/>
      <c r="E79" s="6"/>
      <c r="F79" s="6"/>
    </row>
    <row r="80" spans="1:12" x14ac:dyDescent="0.25">
      <c r="A80" s="100" t="s">
        <v>357</v>
      </c>
      <c r="B80" s="6"/>
      <c r="C80" s="6"/>
      <c r="D80" s="6"/>
      <c r="E80" s="6"/>
      <c r="F80" s="6"/>
    </row>
    <row r="81" spans="1:6" x14ac:dyDescent="0.25">
      <c r="A81" s="100"/>
      <c r="B81" s="6"/>
      <c r="C81" s="6"/>
      <c r="D81" s="6"/>
      <c r="E81" s="6"/>
      <c r="F81" s="6"/>
    </row>
    <row r="82" spans="1:6" x14ac:dyDescent="0.25">
      <c r="A82" s="100" t="s">
        <v>362</v>
      </c>
      <c r="B82" s="6"/>
      <c r="C82" s="6"/>
      <c r="D82" s="6"/>
      <c r="E82" s="148">
        <f>F65*D35/D47</f>
        <v>15742.718446601941</v>
      </c>
      <c r="F82" s="6"/>
    </row>
    <row r="83" spans="1:6" x14ac:dyDescent="0.25">
      <c r="A83" s="100"/>
      <c r="B83" s="6"/>
      <c r="C83" s="6"/>
      <c r="D83" s="6"/>
      <c r="E83" s="6"/>
      <c r="F83" s="6"/>
    </row>
    <row r="84" spans="1:6" x14ac:dyDescent="0.25">
      <c r="A84" s="100" t="s">
        <v>363</v>
      </c>
      <c r="B84" s="6"/>
      <c r="C84" s="6"/>
      <c r="D84" s="6"/>
      <c r="E84" s="148">
        <f>$D$28+E82*$E$71</f>
        <v>15808.768336615354</v>
      </c>
      <c r="F84" s="6"/>
    </row>
    <row r="85" spans="1:6" x14ac:dyDescent="0.25">
      <c r="A85" s="6"/>
      <c r="B85" s="6"/>
      <c r="C85" s="6"/>
      <c r="D85" s="6"/>
      <c r="E85" s="6"/>
      <c r="F85" s="6"/>
    </row>
  </sheetData>
  <mergeCells count="3">
    <mergeCell ref="B23:B24"/>
    <mergeCell ref="C23:G23"/>
    <mergeCell ref="H23:H24"/>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786A-017A-413F-8158-34514445CD9F}">
  <dimension ref="A1:R69"/>
  <sheetViews>
    <sheetView zoomScaleNormal="100" workbookViewId="0"/>
  </sheetViews>
  <sheetFormatPr defaultColWidth="8.85546875" defaultRowHeight="15.75" x14ac:dyDescent="0.25"/>
  <cols>
    <col min="1" max="1" width="12.85546875" style="1" customWidth="1"/>
    <col min="2" max="2" width="19.28515625" style="1" customWidth="1"/>
    <col min="3" max="5" width="14.7109375" style="1" customWidth="1"/>
    <col min="6" max="6" width="17.28515625" style="1" customWidth="1"/>
    <col min="7" max="7" width="8.85546875" style="1"/>
    <col min="8" max="8" width="8.85546875" style="1" customWidth="1"/>
    <col min="9" max="16384" width="8.85546875" style="1"/>
  </cols>
  <sheetData>
    <row r="1" spans="1:18" ht="18.75" x14ac:dyDescent="0.3">
      <c r="A1" s="2" t="s">
        <v>147</v>
      </c>
      <c r="B1" s="4"/>
      <c r="C1" s="8" t="s">
        <v>9</v>
      </c>
      <c r="D1" s="4"/>
      <c r="E1" s="4"/>
      <c r="F1" s="4"/>
      <c r="G1" s="4"/>
      <c r="H1" s="4"/>
      <c r="I1" s="4"/>
      <c r="J1" s="4"/>
      <c r="K1" s="4"/>
      <c r="L1" s="3"/>
    </row>
    <row r="2" spans="1:18" x14ac:dyDescent="0.25">
      <c r="A2" s="4"/>
      <c r="B2" s="4"/>
      <c r="C2" s="4"/>
      <c r="D2" s="4"/>
      <c r="E2" s="4"/>
      <c r="F2" s="4"/>
      <c r="G2" s="4"/>
      <c r="H2" s="4"/>
      <c r="I2" s="4"/>
      <c r="J2" s="4"/>
      <c r="K2" s="4"/>
      <c r="L2" s="3"/>
    </row>
    <row r="3" spans="1:18" x14ac:dyDescent="0.25">
      <c r="A3" s="8" t="s">
        <v>148</v>
      </c>
      <c r="B3" s="8"/>
      <c r="C3" s="8"/>
      <c r="D3" s="8"/>
      <c r="E3" s="8"/>
      <c r="F3" s="8"/>
      <c r="G3" s="8"/>
      <c r="H3" s="8"/>
      <c r="I3" s="8"/>
      <c r="J3" s="8"/>
      <c r="K3" s="8"/>
      <c r="L3" s="3"/>
    </row>
    <row r="4" spans="1:18" x14ac:dyDescent="0.25">
      <c r="A4" s="8"/>
      <c r="B4" s="8"/>
      <c r="C4" s="8"/>
      <c r="D4" s="8"/>
      <c r="E4" s="8"/>
      <c r="F4" s="8"/>
      <c r="G4" s="8"/>
      <c r="H4" s="8"/>
      <c r="I4" s="8"/>
      <c r="J4" s="8"/>
      <c r="K4" s="8"/>
      <c r="L4" s="8"/>
    </row>
    <row r="5" spans="1:18" x14ac:dyDescent="0.25">
      <c r="A5" s="6"/>
      <c r="B5" s="6"/>
      <c r="C5" s="6"/>
      <c r="D5" s="6"/>
      <c r="E5" s="6"/>
      <c r="F5" s="6"/>
      <c r="G5" s="6"/>
      <c r="H5" s="6"/>
      <c r="I5" s="6"/>
      <c r="J5" s="6"/>
      <c r="K5" s="6"/>
      <c r="L5" s="6"/>
    </row>
    <row r="6" spans="1:18" x14ac:dyDescent="0.25">
      <c r="A6" s="5" t="s">
        <v>4</v>
      </c>
      <c r="B6" s="8" t="s">
        <v>149</v>
      </c>
      <c r="C6" s="4"/>
      <c r="D6" s="4"/>
      <c r="E6" s="4"/>
      <c r="F6" s="4"/>
      <c r="G6" s="4"/>
      <c r="H6" s="4"/>
      <c r="I6" s="4"/>
      <c r="J6" s="4"/>
      <c r="K6" s="4"/>
      <c r="L6" s="4"/>
      <c r="M6" s="7"/>
      <c r="N6" s="7"/>
      <c r="O6" s="7"/>
      <c r="P6" s="7"/>
      <c r="Q6" s="7"/>
      <c r="R6" s="7"/>
    </row>
    <row r="7" spans="1:18" x14ac:dyDescent="0.25">
      <c r="A7" s="6"/>
      <c r="B7" s="6"/>
      <c r="C7" s="6"/>
      <c r="D7" s="6"/>
      <c r="E7" s="6"/>
      <c r="F7" s="6"/>
      <c r="G7" s="6"/>
      <c r="H7" s="6"/>
      <c r="I7" s="6"/>
      <c r="J7" s="6"/>
      <c r="K7" s="6"/>
      <c r="L7" s="6"/>
      <c r="M7" s="6"/>
    </row>
    <row r="8" spans="1:18" x14ac:dyDescent="0.25">
      <c r="A8" s="6" t="s">
        <v>1</v>
      </c>
      <c r="B8" s="6"/>
      <c r="C8" s="6"/>
      <c r="D8" s="6"/>
      <c r="E8" s="6"/>
      <c r="F8" s="6"/>
      <c r="G8" s="6"/>
      <c r="H8" s="6"/>
      <c r="I8" s="6"/>
      <c r="J8" s="6"/>
      <c r="K8" s="6"/>
      <c r="L8" s="6"/>
      <c r="M8" s="6"/>
      <c r="N8" s="7"/>
    </row>
    <row r="9" spans="1:18" x14ac:dyDescent="0.25">
      <c r="A9" s="6"/>
      <c r="B9" s="6"/>
      <c r="C9" s="6"/>
      <c r="D9" s="6"/>
      <c r="E9" s="6"/>
      <c r="F9" s="6"/>
      <c r="G9" s="6"/>
      <c r="H9" s="6"/>
      <c r="I9" s="6"/>
      <c r="J9" s="6"/>
      <c r="K9" s="6"/>
      <c r="L9" s="6"/>
      <c r="M9" s="6"/>
      <c r="N9" s="7"/>
    </row>
    <row r="10" spans="1:18" x14ac:dyDescent="0.25">
      <c r="A10" s="6" t="s">
        <v>364</v>
      </c>
      <c r="B10" s="6"/>
      <c r="C10" s="6"/>
      <c r="D10" s="6"/>
      <c r="E10" s="6"/>
      <c r="F10" s="6"/>
      <c r="G10" s="6"/>
      <c r="H10" s="6"/>
      <c r="I10" s="6"/>
      <c r="J10" s="6"/>
      <c r="K10" s="6"/>
      <c r="L10" s="6"/>
      <c r="M10" s="6"/>
      <c r="N10" s="7"/>
    </row>
    <row r="11" spans="1:18" x14ac:dyDescent="0.25">
      <c r="M11" s="7"/>
      <c r="N11" s="7"/>
    </row>
    <row r="12" spans="1:18" x14ac:dyDescent="0.25">
      <c r="A12" s="8"/>
      <c r="B12" s="8"/>
      <c r="C12" s="8"/>
      <c r="D12" s="8"/>
      <c r="E12" s="8"/>
      <c r="F12" s="8"/>
      <c r="G12" s="8"/>
      <c r="H12" s="8"/>
      <c r="I12" s="8"/>
      <c r="J12" s="8"/>
      <c r="K12" s="8"/>
      <c r="L12" s="8"/>
    </row>
    <row r="13" spans="1:18" x14ac:dyDescent="0.25">
      <c r="A13" s="59" t="s">
        <v>51</v>
      </c>
      <c r="B13" s="8"/>
      <c r="C13" s="8"/>
      <c r="D13" s="8"/>
      <c r="E13" s="8"/>
      <c r="F13" s="8"/>
      <c r="G13" s="8"/>
      <c r="H13" s="8"/>
      <c r="I13" s="8"/>
      <c r="J13" s="8"/>
      <c r="K13" s="8"/>
      <c r="L13" s="8"/>
    </row>
    <row r="14" spans="1:18" x14ac:dyDescent="0.25">
      <c r="A14" s="8"/>
      <c r="B14" s="8"/>
      <c r="C14" s="8"/>
      <c r="D14" s="8"/>
      <c r="E14" s="8"/>
      <c r="F14" s="8"/>
      <c r="G14" s="8"/>
      <c r="H14" s="8"/>
      <c r="I14" s="8"/>
      <c r="J14" s="8"/>
      <c r="K14" s="8"/>
      <c r="L14" s="8"/>
    </row>
    <row r="15" spans="1:18" ht="63" x14ac:dyDescent="0.25">
      <c r="A15" s="8"/>
      <c r="B15" s="33" t="s">
        <v>71</v>
      </c>
      <c r="C15" s="33" t="s">
        <v>150</v>
      </c>
      <c r="D15" s="33" t="s">
        <v>151</v>
      </c>
      <c r="E15" s="33" t="s">
        <v>152</v>
      </c>
      <c r="F15" s="8"/>
      <c r="G15" s="8"/>
      <c r="H15" s="8"/>
      <c r="I15" s="8"/>
      <c r="J15" s="8"/>
      <c r="K15" s="8"/>
      <c r="L15" s="8"/>
    </row>
    <row r="16" spans="1:18" x14ac:dyDescent="0.25">
      <c r="A16" s="8"/>
      <c r="B16" s="30">
        <v>2016</v>
      </c>
      <c r="C16" s="38">
        <v>461512</v>
      </c>
      <c r="D16" s="38">
        <v>5177046</v>
      </c>
      <c r="E16" s="38">
        <v>6750220</v>
      </c>
      <c r="F16" s="8"/>
      <c r="G16" s="8"/>
      <c r="H16" s="8"/>
      <c r="I16" s="8"/>
      <c r="J16" s="8"/>
      <c r="K16" s="8"/>
      <c r="L16" s="8"/>
    </row>
    <row r="17" spans="1:12" x14ac:dyDescent="0.25">
      <c r="A17" s="8"/>
      <c r="B17" s="30">
        <v>2017</v>
      </c>
      <c r="C17" s="38">
        <v>493686</v>
      </c>
      <c r="D17" s="38">
        <v>5615887</v>
      </c>
      <c r="E17" s="38">
        <v>7026059</v>
      </c>
      <c r="F17" s="8"/>
      <c r="G17" s="8"/>
      <c r="H17" s="8"/>
      <c r="I17" s="8"/>
      <c r="J17" s="8"/>
      <c r="K17" s="8"/>
      <c r="L17" s="8"/>
    </row>
    <row r="18" spans="1:12" x14ac:dyDescent="0.25">
      <c r="A18" s="8"/>
      <c r="B18" s="30">
        <v>2018</v>
      </c>
      <c r="C18" s="38">
        <v>530358</v>
      </c>
      <c r="D18" s="38">
        <v>6172433</v>
      </c>
      <c r="E18" s="38">
        <v>7435117</v>
      </c>
      <c r="F18" s="8"/>
      <c r="G18" s="8"/>
      <c r="H18" s="8"/>
      <c r="I18" s="8"/>
      <c r="J18" s="8"/>
      <c r="K18" s="8"/>
      <c r="L18" s="8"/>
    </row>
    <row r="19" spans="1:12" x14ac:dyDescent="0.25">
      <c r="A19" s="8"/>
      <c r="B19" s="30">
        <v>2019</v>
      </c>
      <c r="C19" s="38">
        <v>571399</v>
      </c>
      <c r="D19" s="38">
        <v>6749414</v>
      </c>
      <c r="E19" s="38">
        <v>7835156</v>
      </c>
      <c r="F19" s="8"/>
      <c r="G19" s="8"/>
      <c r="H19" s="8"/>
      <c r="I19" s="8"/>
      <c r="J19" s="8"/>
      <c r="K19" s="8"/>
      <c r="L19" s="8"/>
    </row>
    <row r="20" spans="1:12" x14ac:dyDescent="0.25">
      <c r="A20" s="8"/>
      <c r="B20" s="30">
        <v>2020</v>
      </c>
      <c r="C20" s="38">
        <v>622827</v>
      </c>
      <c r="D20" s="38">
        <v>7607009</v>
      </c>
      <c r="E20" s="38">
        <v>8295015</v>
      </c>
      <c r="F20" s="8"/>
      <c r="G20" s="8"/>
      <c r="H20" s="8"/>
      <c r="I20" s="8"/>
      <c r="J20" s="8"/>
      <c r="K20" s="8"/>
      <c r="L20" s="8"/>
    </row>
    <row r="21" spans="1:12" x14ac:dyDescent="0.25">
      <c r="A21" s="8"/>
      <c r="B21" s="30">
        <v>2021</v>
      </c>
      <c r="C21" s="38">
        <v>665497</v>
      </c>
      <c r="D21" s="38">
        <v>8102719</v>
      </c>
      <c r="E21" s="38">
        <v>8667071</v>
      </c>
      <c r="F21" s="8"/>
      <c r="G21" s="8"/>
      <c r="H21" s="8"/>
      <c r="I21" s="8"/>
      <c r="J21" s="8"/>
      <c r="K21" s="8"/>
      <c r="L21" s="8"/>
    </row>
    <row r="22" spans="1:12" x14ac:dyDescent="0.25">
      <c r="A22" s="8"/>
      <c r="B22" s="30">
        <v>2022</v>
      </c>
      <c r="C22" s="38">
        <v>725652</v>
      </c>
      <c r="D22" s="38">
        <v>8760790</v>
      </c>
      <c r="E22" s="38">
        <v>9164015</v>
      </c>
      <c r="F22" s="8"/>
      <c r="G22" s="8"/>
      <c r="H22" s="8"/>
      <c r="I22" s="8"/>
      <c r="J22" s="8"/>
      <c r="K22" s="8"/>
      <c r="L22" s="8"/>
    </row>
    <row r="23" spans="1:12" x14ac:dyDescent="0.25">
      <c r="A23" s="8"/>
      <c r="B23" s="8"/>
      <c r="C23" s="8"/>
      <c r="D23" s="8"/>
      <c r="E23" s="8"/>
      <c r="F23" s="8"/>
      <c r="G23" s="8"/>
      <c r="H23" s="8"/>
      <c r="I23" s="8"/>
      <c r="J23" s="8"/>
      <c r="K23" s="8"/>
      <c r="L23" s="8"/>
    </row>
    <row r="24" spans="1:12" x14ac:dyDescent="0.25">
      <c r="A24" s="8"/>
      <c r="B24" s="8" t="s">
        <v>156</v>
      </c>
      <c r="C24" s="8"/>
      <c r="D24" s="36">
        <v>45231</v>
      </c>
      <c r="E24" s="8" t="s">
        <v>157</v>
      </c>
      <c r="F24" s="8"/>
      <c r="G24" s="8"/>
      <c r="H24" s="8"/>
      <c r="I24" s="8"/>
      <c r="J24" s="8"/>
      <c r="K24" s="8"/>
      <c r="L24" s="8"/>
    </row>
    <row r="25" spans="1:12" x14ac:dyDescent="0.25">
      <c r="A25" s="8"/>
      <c r="B25" s="8" t="s">
        <v>153</v>
      </c>
      <c r="C25" s="8"/>
      <c r="D25" s="8"/>
      <c r="E25" s="8"/>
      <c r="F25" s="8"/>
      <c r="G25" s="8"/>
      <c r="H25" s="8"/>
      <c r="I25" s="8"/>
      <c r="J25" s="8"/>
      <c r="K25" s="8"/>
      <c r="L25" s="8"/>
    </row>
    <row r="26" spans="1:12" x14ac:dyDescent="0.25">
      <c r="A26" s="8"/>
      <c r="B26" s="8" t="s">
        <v>154</v>
      </c>
      <c r="C26" s="8"/>
      <c r="D26" s="8"/>
      <c r="E26" s="8"/>
      <c r="F26" s="8"/>
      <c r="G26" s="8"/>
      <c r="H26" s="8"/>
      <c r="I26" s="8"/>
      <c r="J26" s="8"/>
      <c r="K26" s="8"/>
      <c r="L26" s="8"/>
    </row>
    <row r="27" spans="1:12" x14ac:dyDescent="0.25">
      <c r="A27" s="8"/>
      <c r="B27" s="8" t="s">
        <v>155</v>
      </c>
      <c r="C27" s="8"/>
      <c r="D27" s="8"/>
      <c r="E27" s="8"/>
      <c r="F27" s="8"/>
      <c r="G27" s="8"/>
      <c r="H27" s="8"/>
      <c r="I27" s="8"/>
      <c r="J27" s="8"/>
      <c r="K27" s="8"/>
      <c r="L27" s="8"/>
    </row>
    <row r="28" spans="1:12" x14ac:dyDescent="0.25">
      <c r="A28" s="8"/>
      <c r="B28" s="8"/>
      <c r="C28" s="8"/>
      <c r="D28" s="8"/>
      <c r="E28" s="8"/>
      <c r="F28" s="8"/>
      <c r="G28" s="8"/>
      <c r="H28" s="8"/>
      <c r="I28" s="8"/>
      <c r="J28" s="8"/>
      <c r="K28" s="8"/>
      <c r="L28" s="8"/>
    </row>
    <row r="30" spans="1:12" x14ac:dyDescent="0.25">
      <c r="A30" s="5" t="s">
        <v>5</v>
      </c>
      <c r="B30" s="8" t="s">
        <v>158</v>
      </c>
      <c r="C30" s="4"/>
      <c r="D30" s="4"/>
      <c r="E30" s="4"/>
      <c r="F30" s="4"/>
      <c r="G30" s="4"/>
      <c r="H30" s="4"/>
      <c r="I30" s="4"/>
      <c r="J30" s="4"/>
      <c r="K30" s="4"/>
      <c r="L30" s="4"/>
    </row>
    <row r="31" spans="1:12" x14ac:dyDescent="0.25">
      <c r="A31" s="6"/>
      <c r="B31" s="6"/>
      <c r="C31" s="6"/>
      <c r="D31" s="6"/>
      <c r="E31" s="6"/>
      <c r="F31" s="6"/>
      <c r="G31" s="6"/>
      <c r="H31" s="6"/>
      <c r="I31" s="6"/>
      <c r="J31" s="6"/>
      <c r="K31" s="6"/>
      <c r="L31" s="6"/>
    </row>
    <row r="32" spans="1:12" x14ac:dyDescent="0.25">
      <c r="A32" s="6" t="s">
        <v>1</v>
      </c>
      <c r="B32" s="6"/>
      <c r="C32" s="6"/>
      <c r="D32" s="6"/>
      <c r="E32" s="6"/>
      <c r="F32" s="6"/>
      <c r="G32" s="6"/>
      <c r="H32" s="6"/>
      <c r="I32" s="6"/>
      <c r="J32" s="6"/>
      <c r="K32" s="6"/>
      <c r="L32" s="6"/>
    </row>
    <row r="33" spans="1:13" x14ac:dyDescent="0.25">
      <c r="A33" s="6"/>
      <c r="B33" s="6"/>
      <c r="C33" s="6"/>
      <c r="D33" s="6"/>
      <c r="E33" s="6"/>
      <c r="F33" s="6"/>
      <c r="G33" s="6"/>
      <c r="H33" s="6"/>
      <c r="I33" s="6"/>
      <c r="J33" s="6"/>
      <c r="K33" s="6"/>
      <c r="L33" s="6"/>
    </row>
    <row r="34" spans="1:13" ht="47.25" x14ac:dyDescent="0.25">
      <c r="A34" s="97" t="s">
        <v>71</v>
      </c>
      <c r="B34" s="97" t="s">
        <v>379</v>
      </c>
      <c r="C34" s="97" t="s">
        <v>365</v>
      </c>
      <c r="E34" s="6"/>
      <c r="F34" s="6"/>
      <c r="G34" s="6"/>
      <c r="H34" s="6"/>
      <c r="I34" s="6"/>
      <c r="J34" s="6"/>
      <c r="K34" s="6"/>
      <c r="L34" s="6"/>
    </row>
    <row r="35" spans="1:13" x14ac:dyDescent="0.25">
      <c r="A35" s="74">
        <f t="shared" ref="A35:A41" si="0">B16</f>
        <v>2016</v>
      </c>
      <c r="B35" s="157">
        <f t="shared" ref="B35:B41" si="1">C16/E16</f>
        <v>6.836991979520668E-2</v>
      </c>
      <c r="M35" s="6"/>
    </row>
    <row r="36" spans="1:13" x14ac:dyDescent="0.25">
      <c r="A36" s="74">
        <f t="shared" si="0"/>
        <v>2017</v>
      </c>
      <c r="B36" s="157">
        <f t="shared" si="1"/>
        <v>7.0264994928166707E-2</v>
      </c>
      <c r="C36" s="157">
        <f t="shared" ref="C36:C41" si="2">B36/B35-1</f>
        <v>2.7717966302088337E-2</v>
      </c>
      <c r="M36" s="6"/>
    </row>
    <row r="37" spans="1:13" x14ac:dyDescent="0.25">
      <c r="A37" s="74">
        <f t="shared" si="0"/>
        <v>2018</v>
      </c>
      <c r="B37" s="157">
        <f t="shared" si="1"/>
        <v>7.1331493505751159E-2</v>
      </c>
      <c r="C37" s="157">
        <f t="shared" si="2"/>
        <v>1.5178234605649044E-2</v>
      </c>
      <c r="M37" s="6"/>
    </row>
    <row r="38" spans="1:13" x14ac:dyDescent="0.25">
      <c r="A38" s="74">
        <f t="shared" si="0"/>
        <v>2019</v>
      </c>
      <c r="B38" s="157">
        <f t="shared" si="1"/>
        <v>7.2927584339099308E-2</v>
      </c>
      <c r="C38" s="157">
        <f t="shared" si="2"/>
        <v>2.2375682253441997E-2</v>
      </c>
      <c r="M38" s="6"/>
    </row>
    <row r="39" spans="1:13" x14ac:dyDescent="0.25">
      <c r="A39" s="74">
        <f t="shared" si="0"/>
        <v>2020</v>
      </c>
      <c r="B39" s="157">
        <f t="shared" si="1"/>
        <v>7.5084493518094902E-2</v>
      </c>
      <c r="C39" s="157">
        <f t="shared" si="2"/>
        <v>2.9576040376798618E-2</v>
      </c>
      <c r="M39" s="6"/>
    </row>
    <row r="40" spans="1:13" x14ac:dyDescent="0.25">
      <c r="A40" s="74">
        <f t="shared" si="0"/>
        <v>2021</v>
      </c>
      <c r="B40" s="157">
        <f t="shared" si="1"/>
        <v>7.6784533090821575E-2</v>
      </c>
      <c r="C40" s="157">
        <f t="shared" si="2"/>
        <v>2.2641686626240221E-2</v>
      </c>
      <c r="M40" s="6"/>
    </row>
    <row r="41" spans="1:13" x14ac:dyDescent="0.25">
      <c r="A41" s="76">
        <f t="shared" si="0"/>
        <v>2022</v>
      </c>
      <c r="B41" s="158">
        <f t="shared" si="1"/>
        <v>7.9184942407885622E-2</v>
      </c>
      <c r="C41" s="158">
        <f t="shared" si="2"/>
        <v>3.126162549200906E-2</v>
      </c>
      <c r="M41" s="6"/>
    </row>
    <row r="42" spans="1:13" x14ac:dyDescent="0.25">
      <c r="A42" s="1" t="s">
        <v>366</v>
      </c>
      <c r="C42" s="159">
        <f>AVERAGE(C36:C41)</f>
        <v>2.4791872609371213E-2</v>
      </c>
      <c r="M42" s="6"/>
    </row>
    <row r="43" spans="1:13" x14ac:dyDescent="0.25">
      <c r="A43" s="1" t="s">
        <v>367</v>
      </c>
      <c r="C43" s="159">
        <f>AVERAGE(C36,C38,C39,C40)</f>
        <v>2.5577843889642293E-2</v>
      </c>
      <c r="M43" s="6"/>
    </row>
    <row r="44" spans="1:13" x14ac:dyDescent="0.25">
      <c r="A44" s="86"/>
    </row>
    <row r="45" spans="1:13" x14ac:dyDescent="0.25">
      <c r="A45" s="1" t="s">
        <v>380</v>
      </c>
      <c r="C45" s="161">
        <f>C43</f>
        <v>2.5577843889642293E-2</v>
      </c>
    </row>
    <row r="46" spans="1:13" x14ac:dyDescent="0.25">
      <c r="A46" s="1" t="s">
        <v>368</v>
      </c>
      <c r="B46"/>
    </row>
    <row r="47" spans="1:13" x14ac:dyDescent="0.25">
      <c r="C47"/>
    </row>
    <row r="49" spans="1:14" x14ac:dyDescent="0.25">
      <c r="A49" s="5" t="s">
        <v>0</v>
      </c>
      <c r="B49" s="8" t="s">
        <v>159</v>
      </c>
      <c r="C49" s="4"/>
      <c r="D49" s="4"/>
      <c r="E49" s="4"/>
      <c r="F49" s="4"/>
      <c r="G49" s="4"/>
      <c r="H49" s="4"/>
      <c r="I49" s="4"/>
      <c r="J49" s="4"/>
      <c r="K49" s="4"/>
      <c r="L49" s="4"/>
    </row>
    <row r="50" spans="1:14" x14ac:dyDescent="0.25">
      <c r="A50" s="6"/>
      <c r="B50" s="6"/>
      <c r="C50" s="6"/>
      <c r="D50" s="6"/>
      <c r="E50" s="6"/>
      <c r="F50" s="6"/>
      <c r="G50" s="6"/>
      <c r="H50" s="6"/>
      <c r="I50" s="6"/>
      <c r="J50" s="6"/>
      <c r="K50" s="6"/>
      <c r="L50" s="6"/>
    </row>
    <row r="51" spans="1:14" x14ac:dyDescent="0.25">
      <c r="A51" s="6" t="s">
        <v>1</v>
      </c>
      <c r="B51" s="6"/>
      <c r="C51" s="6"/>
      <c r="D51" s="6"/>
      <c r="E51" s="6"/>
      <c r="F51" s="6"/>
      <c r="G51" s="6"/>
      <c r="H51" s="6"/>
      <c r="I51" s="6"/>
      <c r="J51" s="6"/>
      <c r="K51" s="6"/>
      <c r="L51" s="6"/>
    </row>
    <row r="52" spans="1:14" x14ac:dyDescent="0.25">
      <c r="A52" s="6"/>
      <c r="B52" s="6"/>
      <c r="C52" s="6"/>
      <c r="D52" s="6"/>
      <c r="E52" s="6"/>
      <c r="F52" s="6"/>
      <c r="G52" s="6"/>
      <c r="H52" s="6"/>
      <c r="I52" s="6"/>
      <c r="J52" s="6"/>
      <c r="K52" s="6"/>
      <c r="L52" s="6"/>
    </row>
    <row r="53" spans="1:14" x14ac:dyDescent="0.25">
      <c r="A53" s="1" t="str">
        <f>"Average earned premium date in "&amp;A41</f>
        <v>Average earned premium date in 2022</v>
      </c>
      <c r="B53"/>
      <c r="C53"/>
      <c r="D53" s="162">
        <f>DATE(A41,7,1)</f>
        <v>44743</v>
      </c>
      <c r="F53"/>
      <c r="G53"/>
      <c r="H53"/>
      <c r="I53"/>
      <c r="J53"/>
      <c r="K53"/>
      <c r="M53" s="6"/>
      <c r="N53" s="6"/>
    </row>
    <row r="54" spans="1:14" x14ac:dyDescent="0.25">
      <c r="A54" s="1" t="s">
        <v>369</v>
      </c>
      <c r="C54"/>
      <c r="E54" s="79" t="s">
        <v>370</v>
      </c>
      <c r="F54"/>
      <c r="G54"/>
      <c r="H54"/>
      <c r="I54"/>
      <c r="J54"/>
      <c r="K54"/>
      <c r="M54" s="6"/>
      <c r="N54" s="6"/>
    </row>
    <row r="55" spans="1:14" x14ac:dyDescent="0.25">
      <c r="A55"/>
      <c r="B55" s="86" t="s">
        <v>371</v>
      </c>
      <c r="C55"/>
      <c r="D55" s="162">
        <f>DATE(1+YEAR(D24),MONTH(D24),1)</f>
        <v>45597</v>
      </c>
      <c r="E55" s="79">
        <f>(12*YEAR(D55)+MONTH(D55))-(12*YEAR($D$53)+MONTH($D$53))</f>
        <v>28</v>
      </c>
      <c r="F55"/>
      <c r="G55"/>
      <c r="H55"/>
      <c r="I55"/>
      <c r="J55"/>
      <c r="K55"/>
    </row>
    <row r="56" spans="1:14" x14ac:dyDescent="0.25">
      <c r="F56"/>
      <c r="G56"/>
      <c r="H56"/>
      <c r="I56"/>
      <c r="J56"/>
      <c r="K56"/>
      <c r="L56"/>
      <c r="M56"/>
    </row>
    <row r="57" spans="1:14" ht="31.5" x14ac:dyDescent="0.25">
      <c r="A57" s="97" t="s">
        <v>71</v>
      </c>
      <c r="B57" s="97" t="s">
        <v>257</v>
      </c>
      <c r="C57" s="97" t="s">
        <v>372</v>
      </c>
      <c r="D57" s="97" t="s">
        <v>377</v>
      </c>
      <c r="E57" s="97" t="s">
        <v>373</v>
      </c>
      <c r="F57" s="97" t="s">
        <v>374</v>
      </c>
      <c r="G57"/>
      <c r="H57"/>
      <c r="I57"/>
      <c r="J57"/>
      <c r="K57"/>
      <c r="L57"/>
      <c r="M57"/>
    </row>
    <row r="58" spans="1:14" x14ac:dyDescent="0.25">
      <c r="A58" s="74">
        <f t="shared" ref="A58:A64" si="3">B16</f>
        <v>2016</v>
      </c>
      <c r="B58" s="79">
        <f t="shared" ref="B58:B62" si="4">B59+12</f>
        <v>100</v>
      </c>
      <c r="C58" s="101">
        <f>B58/12</f>
        <v>8.3333333333333339</v>
      </c>
      <c r="D58" s="107">
        <f t="shared" ref="D58:D64" si="5">(1+$C$45)^C58</f>
        <v>1.2342560077303741</v>
      </c>
      <c r="E58" s="99">
        <f t="shared" ref="E58:E64" si="6">D58*C16</f>
        <v>569623.95863966038</v>
      </c>
      <c r="F58" s="160">
        <f t="shared" ref="F58:F64" si="7">E58/E16</f>
        <v>8.4385984255277657E-2</v>
      </c>
      <c r="G58"/>
      <c r="H58"/>
      <c r="I58"/>
      <c r="J58"/>
      <c r="K58"/>
      <c r="L58"/>
      <c r="M58"/>
    </row>
    <row r="59" spans="1:14" x14ac:dyDescent="0.25">
      <c r="A59" s="74">
        <f t="shared" si="3"/>
        <v>2017</v>
      </c>
      <c r="B59" s="79">
        <f t="shared" si="4"/>
        <v>88</v>
      </c>
      <c r="C59" s="101">
        <f t="shared" ref="C59:C64" si="8">B59/12</f>
        <v>7.333333333333333</v>
      </c>
      <c r="D59" s="107">
        <f t="shared" si="5"/>
        <v>1.2034737441765431</v>
      </c>
      <c r="E59" s="99">
        <f t="shared" si="6"/>
        <v>594138.13886754087</v>
      </c>
      <c r="F59" s="160">
        <f t="shared" si="7"/>
        <v>8.4562076530746585E-2</v>
      </c>
      <c r="G59"/>
      <c r="H59"/>
      <c r="I59"/>
      <c r="J59"/>
      <c r="K59"/>
      <c r="L59"/>
      <c r="M59"/>
    </row>
    <row r="60" spans="1:14" x14ac:dyDescent="0.25">
      <c r="A60" s="74">
        <f t="shared" si="3"/>
        <v>2018</v>
      </c>
      <c r="B60" s="79">
        <f t="shared" si="4"/>
        <v>76</v>
      </c>
      <c r="C60" s="101">
        <f t="shared" si="8"/>
        <v>6.333333333333333</v>
      </c>
      <c r="D60" s="107">
        <f t="shared" si="5"/>
        <v>1.1734591882486527</v>
      </c>
      <c r="E60" s="99">
        <f t="shared" si="6"/>
        <v>622353.46816117899</v>
      </c>
      <c r="F60" s="160">
        <f t="shared" si="7"/>
        <v>8.3704596465822789E-2</v>
      </c>
      <c r="G60"/>
      <c r="H60"/>
      <c r="I60"/>
      <c r="J60"/>
      <c r="K60"/>
      <c r="L60"/>
      <c r="M60"/>
    </row>
    <row r="61" spans="1:14" x14ac:dyDescent="0.25">
      <c r="A61" s="74">
        <f t="shared" si="3"/>
        <v>2019</v>
      </c>
      <c r="B61" s="79">
        <f t="shared" si="4"/>
        <v>64</v>
      </c>
      <c r="C61" s="101">
        <f t="shared" si="8"/>
        <v>5.333333333333333</v>
      </c>
      <c r="D61" s="107">
        <f t="shared" si="5"/>
        <v>1.1441931933690672</v>
      </c>
      <c r="E61" s="99">
        <f t="shared" si="6"/>
        <v>653790.84649789159</v>
      </c>
      <c r="F61" s="160">
        <f t="shared" si="7"/>
        <v>8.3443245609646013E-2</v>
      </c>
      <c r="G61"/>
      <c r="H61"/>
      <c r="I61"/>
      <c r="J61"/>
      <c r="K61"/>
      <c r="L61"/>
      <c r="M61"/>
    </row>
    <row r="62" spans="1:14" x14ac:dyDescent="0.25">
      <c r="A62" s="74">
        <f t="shared" si="3"/>
        <v>2020</v>
      </c>
      <c r="B62" s="79">
        <f t="shared" si="4"/>
        <v>52</v>
      </c>
      <c r="C62" s="101">
        <f t="shared" si="8"/>
        <v>4.333333333333333</v>
      </c>
      <c r="D62" s="107">
        <f t="shared" si="5"/>
        <v>1.1156570904745371</v>
      </c>
      <c r="E62" s="99">
        <f t="shared" si="6"/>
        <v>694861.35868898453</v>
      </c>
      <c r="F62" s="160">
        <f t="shared" si="7"/>
        <v>8.3768547578151997E-2</v>
      </c>
      <c r="G62"/>
      <c r="H62"/>
      <c r="I62"/>
      <c r="J62"/>
      <c r="K62"/>
      <c r="L62"/>
      <c r="M62"/>
    </row>
    <row r="63" spans="1:14" x14ac:dyDescent="0.25">
      <c r="A63" s="74">
        <f t="shared" si="3"/>
        <v>2021</v>
      </c>
      <c r="B63" s="79">
        <f>B64+12</f>
        <v>40</v>
      </c>
      <c r="C63" s="101">
        <f t="shared" si="8"/>
        <v>3.3333333333333335</v>
      </c>
      <c r="D63" s="107">
        <f t="shared" si="5"/>
        <v>1.0878326761070198</v>
      </c>
      <c r="E63" s="99">
        <f t="shared" si="6"/>
        <v>723949.38245119341</v>
      </c>
      <c r="F63" s="160">
        <f t="shared" si="7"/>
        <v>8.3528724115816452E-2</v>
      </c>
      <c r="G63"/>
      <c r="H63"/>
      <c r="I63"/>
      <c r="J63"/>
      <c r="K63"/>
      <c r="L63"/>
      <c r="M63"/>
    </row>
    <row r="64" spans="1:14" x14ac:dyDescent="0.25">
      <c r="A64" s="76">
        <f t="shared" si="3"/>
        <v>2022</v>
      </c>
      <c r="B64" s="105">
        <f>E55</f>
        <v>28</v>
      </c>
      <c r="C64" s="163">
        <f t="shared" si="8"/>
        <v>2.3333333333333335</v>
      </c>
      <c r="D64" s="110">
        <f t="shared" si="5"/>
        <v>1.0607022008015186</v>
      </c>
      <c r="E64" s="108">
        <f t="shared" si="6"/>
        <v>769700.67341602349</v>
      </c>
      <c r="F64" s="158">
        <f t="shared" si="7"/>
        <v>8.3991642682385778E-2</v>
      </c>
      <c r="G64"/>
      <c r="H64"/>
      <c r="I64"/>
      <c r="J64"/>
      <c r="K64"/>
      <c r="L64"/>
      <c r="M64"/>
    </row>
    <row r="65" spans="1:13" x14ac:dyDescent="0.25">
      <c r="D65" s="1" t="s">
        <v>375</v>
      </c>
      <c r="F65" s="159">
        <f>AVERAGE(F58:F64)</f>
        <v>8.3912116748263904E-2</v>
      </c>
      <c r="G65"/>
      <c r="H65"/>
      <c r="I65"/>
      <c r="J65"/>
      <c r="K65"/>
      <c r="L65"/>
      <c r="M65"/>
    </row>
    <row r="66" spans="1:13" x14ac:dyDescent="0.25">
      <c r="G66"/>
      <c r="H66"/>
      <c r="I66"/>
      <c r="J66"/>
      <c r="K66"/>
      <c r="L66"/>
      <c r="M66"/>
    </row>
    <row r="67" spans="1:13" x14ac:dyDescent="0.25">
      <c r="A67" s="1" t="s">
        <v>376</v>
      </c>
      <c r="B67"/>
      <c r="F67" s="159">
        <f>F65</f>
        <v>8.3912116748263904E-2</v>
      </c>
      <c r="G67"/>
      <c r="H67"/>
      <c r="I67"/>
      <c r="J67"/>
      <c r="K67"/>
      <c r="L67"/>
      <c r="M67"/>
    </row>
    <row r="68" spans="1:13" x14ac:dyDescent="0.25">
      <c r="A68" s="1" t="s">
        <v>378</v>
      </c>
      <c r="G68"/>
      <c r="H68"/>
      <c r="I68"/>
      <c r="J68"/>
      <c r="K68"/>
      <c r="L68"/>
      <c r="M68"/>
    </row>
    <row r="69" spans="1:13" x14ac:dyDescent="0.25">
      <c r="G69"/>
      <c r="H69"/>
      <c r="I69"/>
      <c r="J69"/>
      <c r="K69"/>
      <c r="L69"/>
      <c r="M69"/>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C718-38C3-48E3-9480-60C664B4E07E}">
  <dimension ref="A1:R106"/>
  <sheetViews>
    <sheetView zoomScaleNormal="100" workbookViewId="0"/>
  </sheetViews>
  <sheetFormatPr defaultColWidth="8.85546875" defaultRowHeight="15.75" x14ac:dyDescent="0.25"/>
  <cols>
    <col min="1" max="1" width="8.85546875" style="1" customWidth="1"/>
    <col min="2" max="2" width="16.28515625" style="1" customWidth="1"/>
    <col min="3" max="6" width="15.7109375" style="1" customWidth="1"/>
    <col min="7" max="10" width="12.7109375" style="1" customWidth="1"/>
    <col min="11" max="11" width="14.28515625" style="1" customWidth="1"/>
    <col min="12" max="12" width="12.7109375" style="1" customWidth="1"/>
    <col min="13" max="16384" width="8.85546875" style="1"/>
  </cols>
  <sheetData>
    <row r="1" spans="1:12" ht="18.75" x14ac:dyDescent="0.3">
      <c r="A1" s="2" t="s">
        <v>160</v>
      </c>
      <c r="B1" s="4"/>
      <c r="C1" s="8" t="s">
        <v>11</v>
      </c>
      <c r="D1" s="4"/>
      <c r="E1" s="4"/>
      <c r="F1" s="4"/>
      <c r="G1" s="4"/>
      <c r="H1" s="4"/>
      <c r="I1" s="4"/>
      <c r="J1" s="4"/>
      <c r="K1" s="4"/>
      <c r="L1" s="3"/>
    </row>
    <row r="2" spans="1:12" x14ac:dyDescent="0.25">
      <c r="A2" s="4"/>
      <c r="B2" s="4"/>
      <c r="C2" s="4"/>
      <c r="D2" s="4"/>
      <c r="E2" s="4"/>
      <c r="F2" s="4"/>
      <c r="G2" s="4"/>
      <c r="H2" s="4"/>
      <c r="I2" s="4"/>
      <c r="J2" s="4"/>
      <c r="K2" s="4"/>
      <c r="L2" s="3"/>
    </row>
    <row r="3" spans="1:12" x14ac:dyDescent="0.25">
      <c r="A3" s="8" t="s">
        <v>161</v>
      </c>
      <c r="B3" s="8"/>
      <c r="C3" s="8"/>
      <c r="D3" s="8"/>
      <c r="E3" s="8"/>
      <c r="F3" s="8"/>
      <c r="G3" s="8"/>
      <c r="H3" s="8"/>
      <c r="I3" s="8"/>
      <c r="J3" s="8"/>
      <c r="K3" s="8"/>
      <c r="L3" s="3"/>
    </row>
    <row r="4" spans="1:12" x14ac:dyDescent="0.25">
      <c r="A4" s="8"/>
      <c r="B4" s="8"/>
      <c r="C4" s="8"/>
      <c r="D4" s="8"/>
      <c r="E4" s="8"/>
      <c r="F4" s="8"/>
      <c r="G4" s="8"/>
      <c r="H4" s="8"/>
      <c r="I4" s="8"/>
      <c r="J4" s="8"/>
      <c r="K4" s="8"/>
      <c r="L4" s="8"/>
    </row>
    <row r="5" spans="1:12" ht="63" x14ac:dyDescent="0.25">
      <c r="A5" s="63"/>
      <c r="B5" s="33" t="s">
        <v>52</v>
      </c>
      <c r="C5" s="33" t="s">
        <v>100</v>
      </c>
      <c r="D5" s="33" t="s">
        <v>162</v>
      </c>
      <c r="E5" s="33" t="s">
        <v>101</v>
      </c>
      <c r="F5" s="33" t="s">
        <v>163</v>
      </c>
      <c r="G5" s="8"/>
      <c r="H5" s="8"/>
      <c r="I5" s="8"/>
      <c r="J5" s="8"/>
      <c r="K5" s="8"/>
      <c r="L5" s="8"/>
    </row>
    <row r="6" spans="1:12" x14ac:dyDescent="0.25">
      <c r="A6" s="63"/>
      <c r="B6" s="30">
        <v>2018</v>
      </c>
      <c r="C6" s="38">
        <v>10146</v>
      </c>
      <c r="D6" s="38">
        <v>9400897</v>
      </c>
      <c r="E6" s="30">
        <v>862</v>
      </c>
      <c r="F6" s="38">
        <v>13085953</v>
      </c>
      <c r="G6" s="8"/>
      <c r="H6" s="8"/>
      <c r="I6" s="8"/>
      <c r="J6" s="8"/>
      <c r="K6" s="8"/>
      <c r="L6" s="8"/>
    </row>
    <row r="7" spans="1:12" x14ac:dyDescent="0.25">
      <c r="A7" s="63"/>
      <c r="B7" s="30">
        <v>2019</v>
      </c>
      <c r="C7" s="38">
        <v>10127</v>
      </c>
      <c r="D7" s="38">
        <v>9537898</v>
      </c>
      <c r="E7" s="30">
        <v>869</v>
      </c>
      <c r="F7" s="38">
        <v>14011147</v>
      </c>
      <c r="G7" s="8"/>
      <c r="H7" s="8"/>
      <c r="I7" s="8"/>
      <c r="J7" s="8"/>
      <c r="K7" s="8"/>
      <c r="L7" s="8"/>
    </row>
    <row r="8" spans="1:12" x14ac:dyDescent="0.25">
      <c r="A8" s="63"/>
      <c r="B8" s="30">
        <v>2020</v>
      </c>
      <c r="C8" s="38">
        <v>10298</v>
      </c>
      <c r="D8" s="38">
        <v>9901002</v>
      </c>
      <c r="E8" s="30">
        <v>875</v>
      </c>
      <c r="F8" s="38">
        <v>14968858</v>
      </c>
      <c r="G8" s="8"/>
      <c r="H8" s="8"/>
      <c r="I8" s="8"/>
      <c r="J8" s="8"/>
      <c r="K8" s="8"/>
      <c r="L8" s="8"/>
    </row>
    <row r="9" spans="1:12" x14ac:dyDescent="0.25">
      <c r="A9" s="8"/>
      <c r="B9" s="30">
        <v>2021</v>
      </c>
      <c r="C9" s="38">
        <v>10291</v>
      </c>
      <c r="D9" s="38">
        <v>10263291</v>
      </c>
      <c r="E9" s="30">
        <v>852</v>
      </c>
      <c r="F9" s="38">
        <v>15499745</v>
      </c>
      <c r="G9" s="8"/>
      <c r="H9" s="8"/>
      <c r="I9" s="8"/>
      <c r="J9" s="8"/>
      <c r="K9" s="8"/>
      <c r="L9" s="8"/>
    </row>
    <row r="10" spans="1:12" x14ac:dyDescent="0.25">
      <c r="A10" s="8"/>
      <c r="B10" s="30">
        <v>2022</v>
      </c>
      <c r="C10" s="38">
        <v>10573</v>
      </c>
      <c r="D10" s="38">
        <v>10713349</v>
      </c>
      <c r="E10" s="30">
        <v>883</v>
      </c>
      <c r="F10" s="38">
        <v>18068228</v>
      </c>
      <c r="G10" s="8"/>
      <c r="H10" s="8"/>
      <c r="I10" s="8"/>
      <c r="J10" s="8"/>
      <c r="K10" s="8"/>
      <c r="L10" s="8"/>
    </row>
    <row r="11" spans="1:12" x14ac:dyDescent="0.25">
      <c r="A11" s="63"/>
      <c r="B11" s="8"/>
      <c r="C11" s="8"/>
      <c r="D11" s="8"/>
      <c r="E11" s="8"/>
      <c r="F11" s="8"/>
      <c r="G11" s="8"/>
      <c r="H11" s="8"/>
      <c r="I11" s="8"/>
      <c r="J11" s="8"/>
      <c r="K11" s="8"/>
      <c r="L11" s="8"/>
    </row>
    <row r="12" spans="1:12" x14ac:dyDescent="0.25">
      <c r="A12" s="8"/>
      <c r="B12" s="8" t="s">
        <v>165</v>
      </c>
      <c r="C12" s="8"/>
      <c r="D12" s="8"/>
      <c r="E12" s="62">
        <v>-0.01</v>
      </c>
      <c r="F12" s="8"/>
      <c r="G12" s="8"/>
      <c r="H12" s="8"/>
      <c r="I12" s="8"/>
      <c r="J12" s="8"/>
      <c r="K12" s="8"/>
      <c r="L12" s="8"/>
    </row>
    <row r="13" spans="1:12" x14ac:dyDescent="0.25">
      <c r="A13" s="8"/>
      <c r="B13" s="8" t="s">
        <v>166</v>
      </c>
      <c r="C13" s="8"/>
      <c r="D13" s="8"/>
      <c r="E13" s="8"/>
      <c r="F13" s="62">
        <v>0.01</v>
      </c>
      <c r="G13" s="8" t="s">
        <v>167</v>
      </c>
      <c r="H13" s="8"/>
      <c r="I13" s="8"/>
      <c r="J13" s="8"/>
      <c r="K13" s="8"/>
      <c r="L13" s="8"/>
    </row>
    <row r="14" spans="1:12" x14ac:dyDescent="0.25">
      <c r="A14" s="8"/>
      <c r="B14" s="8" t="s">
        <v>168</v>
      </c>
      <c r="C14" s="8"/>
      <c r="D14" s="8"/>
      <c r="E14" s="62">
        <v>0.06</v>
      </c>
      <c r="F14" s="8" t="s">
        <v>169</v>
      </c>
      <c r="G14" s="8"/>
      <c r="H14" s="8"/>
      <c r="I14" s="8"/>
      <c r="J14" s="8"/>
      <c r="K14" s="8"/>
      <c r="L14" s="8"/>
    </row>
    <row r="15" spans="1:12" x14ac:dyDescent="0.25">
      <c r="A15" s="8"/>
      <c r="B15" s="8" t="s">
        <v>171</v>
      </c>
      <c r="C15" s="8"/>
      <c r="D15" s="36">
        <v>45352</v>
      </c>
      <c r="E15" s="8" t="s">
        <v>170</v>
      </c>
      <c r="F15" s="8"/>
      <c r="G15" s="8"/>
      <c r="H15" s="8"/>
      <c r="I15" s="8"/>
      <c r="J15" s="8"/>
      <c r="K15" s="8"/>
      <c r="L15" s="8"/>
    </row>
    <row r="16" spans="1:12" x14ac:dyDescent="0.25">
      <c r="A16" s="8"/>
      <c r="B16" s="8" t="s">
        <v>153</v>
      </c>
      <c r="C16" s="8"/>
      <c r="D16" s="8"/>
      <c r="E16" s="8"/>
      <c r="F16" s="8"/>
      <c r="G16" s="8"/>
      <c r="H16" s="8"/>
      <c r="I16" s="8"/>
      <c r="J16" s="8"/>
      <c r="K16" s="8"/>
      <c r="L16" s="8"/>
    </row>
    <row r="17" spans="1:18" x14ac:dyDescent="0.25">
      <c r="A17" s="8"/>
      <c r="B17" s="8" t="s">
        <v>173</v>
      </c>
      <c r="C17" s="8"/>
      <c r="D17" s="38">
        <v>4654</v>
      </c>
      <c r="E17" s="8" t="s">
        <v>172</v>
      </c>
      <c r="F17" s="8"/>
      <c r="G17" s="8"/>
      <c r="H17" s="8"/>
      <c r="I17" s="8"/>
      <c r="J17" s="8"/>
      <c r="K17" s="8"/>
      <c r="L17" s="8"/>
    </row>
    <row r="18" spans="1:18" x14ac:dyDescent="0.25">
      <c r="A18" s="8"/>
      <c r="B18" s="8" t="s">
        <v>164</v>
      </c>
      <c r="C18" s="8"/>
      <c r="D18" s="8"/>
      <c r="E18" s="8"/>
      <c r="F18" s="8"/>
      <c r="G18" s="8"/>
      <c r="H18" s="8"/>
      <c r="I18" s="8"/>
      <c r="J18" s="8"/>
      <c r="K18" s="8"/>
      <c r="L18" s="8"/>
    </row>
    <row r="19" spans="1:18" x14ac:dyDescent="0.25">
      <c r="A19" s="8"/>
      <c r="B19" s="8"/>
      <c r="C19" s="8"/>
      <c r="D19" s="8"/>
      <c r="E19" s="8"/>
      <c r="F19" s="8"/>
      <c r="G19" s="8"/>
      <c r="H19" s="8"/>
      <c r="I19" s="8"/>
      <c r="J19" s="8"/>
      <c r="K19" s="8"/>
      <c r="L19" s="8"/>
    </row>
    <row r="20" spans="1:18" x14ac:dyDescent="0.25">
      <c r="A20" s="6"/>
      <c r="B20" s="6"/>
      <c r="C20" s="6"/>
      <c r="D20" s="6"/>
      <c r="E20" s="6"/>
      <c r="F20" s="6"/>
      <c r="G20" s="6"/>
      <c r="H20" s="6"/>
      <c r="I20" s="6"/>
      <c r="J20" s="6"/>
      <c r="K20" s="6"/>
      <c r="L20" s="6"/>
    </row>
    <row r="21" spans="1:18" x14ac:dyDescent="0.25">
      <c r="A21" s="5" t="s">
        <v>4</v>
      </c>
      <c r="B21" s="8" t="s">
        <v>174</v>
      </c>
      <c r="C21" s="4"/>
      <c r="D21" s="4"/>
      <c r="E21" s="4"/>
      <c r="F21" s="4"/>
      <c r="G21" s="4"/>
      <c r="H21" s="4"/>
      <c r="I21" s="4"/>
      <c r="J21" s="4"/>
      <c r="K21" s="4"/>
      <c r="L21" s="4"/>
      <c r="M21" s="7"/>
      <c r="N21" s="7"/>
      <c r="O21" s="7"/>
      <c r="P21" s="7"/>
      <c r="Q21" s="7"/>
      <c r="R21" s="7"/>
    </row>
    <row r="22" spans="1:18" x14ac:dyDescent="0.25">
      <c r="A22" s="6"/>
      <c r="B22" s="6"/>
      <c r="C22" s="6"/>
      <c r="D22" s="6"/>
      <c r="E22" s="6"/>
      <c r="F22" s="6"/>
      <c r="G22" s="6"/>
      <c r="H22" s="6"/>
      <c r="I22" s="6"/>
      <c r="J22" s="6"/>
      <c r="K22" s="6"/>
      <c r="L22" s="6"/>
      <c r="M22" s="6"/>
    </row>
    <row r="23" spans="1:18" x14ac:dyDescent="0.25">
      <c r="A23" s="6" t="s">
        <v>1</v>
      </c>
      <c r="B23" s="6"/>
      <c r="C23" s="6"/>
      <c r="D23" s="6"/>
      <c r="E23" s="6"/>
      <c r="F23" s="6"/>
      <c r="G23" s="6"/>
      <c r="H23" s="6"/>
      <c r="I23" s="6"/>
      <c r="J23" s="6"/>
      <c r="K23" s="6"/>
      <c r="L23" s="6"/>
      <c r="M23" s="6"/>
      <c r="N23" s="7"/>
    </row>
    <row r="24" spans="1:18" x14ac:dyDescent="0.25">
      <c r="A24" s="6"/>
      <c r="E24"/>
      <c r="L24" s="6"/>
      <c r="M24" s="6"/>
      <c r="N24" s="7"/>
    </row>
    <row r="25" spans="1:18" x14ac:dyDescent="0.25">
      <c r="A25" s="6"/>
      <c r="B25" s="1" t="s">
        <v>391</v>
      </c>
      <c r="C25"/>
      <c r="D25" s="160">
        <f>(1+$E$12)*(1+E14)-1</f>
        <v>4.940000000000011E-2</v>
      </c>
      <c r="E25"/>
      <c r="L25" s="6"/>
      <c r="M25" s="6"/>
      <c r="N25" s="7"/>
    </row>
    <row r="26" spans="1:18" x14ac:dyDescent="0.25">
      <c r="A26" s="6"/>
      <c r="B26" s="1" t="s">
        <v>420</v>
      </c>
      <c r="C26"/>
      <c r="D26" s="160">
        <f>(1+$F$13)*(1+E14)-1</f>
        <v>7.0599999999999996E-2</v>
      </c>
      <c r="E26"/>
      <c r="L26" s="6"/>
      <c r="M26" s="6"/>
      <c r="N26" s="7"/>
    </row>
    <row r="27" spans="1:18" x14ac:dyDescent="0.25">
      <c r="A27" s="6"/>
      <c r="B27" s="1" t="s">
        <v>392</v>
      </c>
      <c r="C27"/>
      <c r="D27" s="160"/>
      <c r="E27" s="164"/>
      <c r="L27" s="6"/>
      <c r="M27" s="6"/>
      <c r="N27" s="7"/>
    </row>
    <row r="28" spans="1:18" x14ac:dyDescent="0.25">
      <c r="A28" s="6"/>
      <c r="B28" s="1" t="s">
        <v>382</v>
      </c>
      <c r="L28" s="6"/>
      <c r="M28" s="6"/>
      <c r="N28" s="7"/>
    </row>
    <row r="29" spans="1:18" x14ac:dyDescent="0.25">
      <c r="A29" s="6"/>
      <c r="B29" s="84" t="s">
        <v>383</v>
      </c>
      <c r="C29" s="165">
        <v>44927</v>
      </c>
      <c r="D29" s="79" t="s">
        <v>384</v>
      </c>
      <c r="E29" s="165">
        <f>DATE(1+YEAR(D15),MONTH(D15),DAY(D15))</f>
        <v>45717</v>
      </c>
      <c r="F29" s="85" t="s">
        <v>246</v>
      </c>
      <c r="G29" s="79">
        <f>(12*YEAR(E29)+MONTH(E29))-(12*YEAR(C29)+MONTH(C29))</f>
        <v>26</v>
      </c>
      <c r="H29" s="79" t="s">
        <v>385</v>
      </c>
      <c r="J29" s="88">
        <f>G29/12</f>
        <v>2.1666666666666665</v>
      </c>
      <c r="K29" s="1" t="s">
        <v>386</v>
      </c>
      <c r="L29" s="6"/>
      <c r="M29" s="6"/>
      <c r="N29" s="7"/>
    </row>
    <row r="30" spans="1:18" x14ac:dyDescent="0.25">
      <c r="A30" s="6"/>
      <c r="L30" s="6"/>
      <c r="M30" s="6"/>
      <c r="N30" s="7"/>
    </row>
    <row r="31" spans="1:18" ht="47.25" x14ac:dyDescent="0.25">
      <c r="A31" s="6"/>
      <c r="B31" s="92" t="s">
        <v>52</v>
      </c>
      <c r="C31" s="92" t="s">
        <v>100</v>
      </c>
      <c r="D31" s="105" t="s">
        <v>163</v>
      </c>
      <c r="E31" s="92" t="s">
        <v>412</v>
      </c>
      <c r="F31" s="92" t="s">
        <v>416</v>
      </c>
      <c r="G31" s="92" t="s">
        <v>417</v>
      </c>
      <c r="H31" s="92" t="s">
        <v>387</v>
      </c>
      <c r="I31" s="92" t="s">
        <v>381</v>
      </c>
      <c r="J31" s="92" t="s">
        <v>390</v>
      </c>
      <c r="K31" s="92" t="s">
        <v>413</v>
      </c>
      <c r="L31" s="6"/>
      <c r="M31" s="6"/>
      <c r="N31" s="7"/>
    </row>
    <row r="32" spans="1:18" x14ac:dyDescent="0.25">
      <c r="A32" s="6"/>
      <c r="B32" s="79">
        <f>$B$6</f>
        <v>2018</v>
      </c>
      <c r="C32" s="99">
        <f>C6</f>
        <v>10146</v>
      </c>
      <c r="D32" s="99">
        <f>F6</f>
        <v>13085953</v>
      </c>
      <c r="E32" s="102">
        <f>D32/C32</f>
        <v>1289.7647348708851</v>
      </c>
      <c r="F32" s="79">
        <f t="shared" ref="F32:F34" si="0">F33+1</f>
        <v>4.5</v>
      </c>
      <c r="G32" s="88">
        <f>$J$29</f>
        <v>2.1666666666666665</v>
      </c>
      <c r="H32" s="107">
        <f>(1+$D$25)^F32</f>
        <v>1.2423236970732177</v>
      </c>
      <c r="I32" s="107">
        <f>(1+$D$26)^G32</f>
        <v>1.1592906983044149</v>
      </c>
      <c r="J32" s="107">
        <f>H32*I32</f>
        <v>1.4402143063001329</v>
      </c>
      <c r="K32" s="102">
        <f>J32*E32</f>
        <v>1857.5376229224466</v>
      </c>
      <c r="L32" s="6"/>
      <c r="M32" s="6"/>
      <c r="N32" s="7"/>
    </row>
    <row r="33" spans="1:14" x14ac:dyDescent="0.25">
      <c r="A33" s="6"/>
      <c r="B33" s="79">
        <f>B32+1</f>
        <v>2019</v>
      </c>
      <c r="C33" s="99">
        <f>C7</f>
        <v>10127</v>
      </c>
      <c r="D33" s="99">
        <f>F7</f>
        <v>14011147</v>
      </c>
      <c r="E33" s="102">
        <f t="shared" ref="E33:E36" si="1">D33/C33</f>
        <v>1383.5436950725782</v>
      </c>
      <c r="F33" s="79">
        <f t="shared" si="0"/>
        <v>3.5</v>
      </c>
      <c r="G33" s="88">
        <f>$J$29</f>
        <v>2.1666666666666665</v>
      </c>
      <c r="H33" s="107">
        <f t="shared" ref="H33:H36" si="2">(1+$D$25)^F33</f>
        <v>1.1838419068736588</v>
      </c>
      <c r="I33" s="107">
        <f t="shared" ref="I33:I36" si="3">(1+$D$26)^G33</f>
        <v>1.1592906983044149</v>
      </c>
      <c r="J33" s="107">
        <f t="shared" ref="J33:J36" si="4">H33*I33</f>
        <v>1.372416910901594</v>
      </c>
      <c r="K33" s="102">
        <f t="shared" ref="K33:K36" si="5">J33*E33</f>
        <v>1898.7987640888848</v>
      </c>
      <c r="L33" s="6"/>
      <c r="M33" s="6"/>
      <c r="N33" s="7"/>
    </row>
    <row r="34" spans="1:14" x14ac:dyDescent="0.25">
      <c r="A34" s="6"/>
      <c r="B34" s="79">
        <f t="shared" ref="B34:B36" si="6">B33+1</f>
        <v>2020</v>
      </c>
      <c r="C34" s="99">
        <f>C8</f>
        <v>10298</v>
      </c>
      <c r="D34" s="99">
        <f>F8</f>
        <v>14968858</v>
      </c>
      <c r="E34" s="102">
        <f t="shared" si="1"/>
        <v>1453.5694309574674</v>
      </c>
      <c r="F34" s="79">
        <f t="shared" si="0"/>
        <v>2.5</v>
      </c>
      <c r="G34" s="88">
        <f>$J$29</f>
        <v>2.1666666666666665</v>
      </c>
      <c r="H34" s="107">
        <f t="shared" si="2"/>
        <v>1.1281131188047062</v>
      </c>
      <c r="I34" s="107">
        <f t="shared" si="3"/>
        <v>1.1592906983044149</v>
      </c>
      <c r="J34" s="107">
        <f t="shared" si="4"/>
        <v>1.3078110452654792</v>
      </c>
      <c r="K34" s="102">
        <f t="shared" si="5"/>
        <v>1900.9941568664333</v>
      </c>
      <c r="L34" s="6"/>
      <c r="M34" s="6"/>
      <c r="N34" s="7"/>
    </row>
    <row r="35" spans="1:14" x14ac:dyDescent="0.25">
      <c r="A35" s="6"/>
      <c r="B35" s="79">
        <f t="shared" si="6"/>
        <v>2021</v>
      </c>
      <c r="C35" s="99">
        <f>C9</f>
        <v>10291</v>
      </c>
      <c r="D35" s="99">
        <f>F9</f>
        <v>15499745</v>
      </c>
      <c r="E35" s="102">
        <f t="shared" si="1"/>
        <v>1506.1456612574093</v>
      </c>
      <c r="F35" s="79">
        <f>F36+1</f>
        <v>1.5</v>
      </c>
      <c r="G35" s="88">
        <f>$J$29</f>
        <v>2.1666666666666665</v>
      </c>
      <c r="H35" s="107">
        <f t="shared" si="2"/>
        <v>1.0750077366158814</v>
      </c>
      <c r="I35" s="107">
        <f t="shared" si="3"/>
        <v>1.1592906983044149</v>
      </c>
      <c r="J35" s="107">
        <f t="shared" si="4"/>
        <v>1.2462464696640738</v>
      </c>
      <c r="K35" s="102">
        <f t="shared" si="5"/>
        <v>1877.0287131419084</v>
      </c>
      <c r="L35" s="6"/>
      <c r="M35" s="6"/>
      <c r="N35" s="7"/>
    </row>
    <row r="36" spans="1:14" x14ac:dyDescent="0.25">
      <c r="A36" s="6"/>
      <c r="B36" s="79">
        <f t="shared" si="6"/>
        <v>2022</v>
      </c>
      <c r="C36" s="99">
        <f>C10</f>
        <v>10573</v>
      </c>
      <c r="D36" s="99">
        <f>F10</f>
        <v>18068228</v>
      </c>
      <c r="E36" s="102">
        <f t="shared" si="1"/>
        <v>1708.9026766291497</v>
      </c>
      <c r="F36" s="131">
        <v>0.5</v>
      </c>
      <c r="G36" s="88">
        <f>$J$29</f>
        <v>2.1666666666666665</v>
      </c>
      <c r="H36" s="107">
        <f t="shared" si="2"/>
        <v>1.0244022647378324</v>
      </c>
      <c r="I36" s="107">
        <f t="shared" si="3"/>
        <v>1.1592906983044149</v>
      </c>
      <c r="J36" s="107">
        <f t="shared" si="4"/>
        <v>1.1875800168325457</v>
      </c>
      <c r="K36" s="102">
        <f t="shared" si="5"/>
        <v>2029.458669476428</v>
      </c>
      <c r="L36" s="6"/>
      <c r="M36" s="6"/>
      <c r="N36" s="7"/>
    </row>
    <row r="38" spans="1:14" x14ac:dyDescent="0.25">
      <c r="A38" s="5" t="s">
        <v>5</v>
      </c>
      <c r="B38" s="8" t="s">
        <v>175</v>
      </c>
      <c r="C38" s="4"/>
      <c r="D38" s="4"/>
      <c r="E38" s="4"/>
      <c r="F38" s="4"/>
      <c r="G38" s="4"/>
      <c r="H38" s="4"/>
      <c r="I38" s="4"/>
      <c r="J38" s="4"/>
      <c r="K38" s="4"/>
      <c r="L38" s="4"/>
    </row>
    <row r="39" spans="1:14" x14ac:dyDescent="0.25">
      <c r="A39" s="6"/>
      <c r="B39" s="6"/>
      <c r="C39" s="6"/>
      <c r="D39" s="6"/>
      <c r="E39" s="6"/>
      <c r="F39" s="6"/>
      <c r="G39" s="6"/>
      <c r="H39" s="6"/>
      <c r="I39" s="6"/>
      <c r="J39" s="6"/>
      <c r="K39" s="6"/>
      <c r="L39" s="6"/>
    </row>
    <row r="40" spans="1:14" x14ac:dyDescent="0.25">
      <c r="A40" s="6" t="s">
        <v>1</v>
      </c>
      <c r="B40" s="6"/>
      <c r="C40" s="6"/>
      <c r="D40" s="6"/>
      <c r="E40" s="6"/>
      <c r="F40" s="6"/>
      <c r="G40" s="6"/>
      <c r="H40" s="6"/>
      <c r="I40" s="6"/>
      <c r="J40" s="6"/>
      <c r="K40" s="6"/>
      <c r="L40" s="6"/>
    </row>
    <row r="41" spans="1:14" x14ac:dyDescent="0.25">
      <c r="A41" s="6"/>
      <c r="B41" s="169" t="s">
        <v>414</v>
      </c>
      <c r="C41" s="6"/>
      <c r="D41" s="6"/>
      <c r="E41" s="6"/>
      <c r="F41" s="6"/>
      <c r="G41" s="6"/>
      <c r="H41" s="6"/>
      <c r="I41" s="6"/>
      <c r="J41" s="6"/>
      <c r="K41" s="6"/>
      <c r="L41" s="6"/>
    </row>
    <row r="42" spans="1:14" x14ac:dyDescent="0.25">
      <c r="A42" s="6"/>
      <c r="B42" s="170" t="s">
        <v>415</v>
      </c>
      <c r="C42" s="6"/>
      <c r="D42" s="6"/>
      <c r="E42" s="6"/>
      <c r="F42" s="6"/>
      <c r="G42" s="6"/>
      <c r="H42" s="6"/>
      <c r="I42" s="6"/>
      <c r="J42" s="6"/>
      <c r="K42" s="6"/>
      <c r="L42" s="6"/>
    </row>
    <row r="43" spans="1:14" x14ac:dyDescent="0.25">
      <c r="A43" s="6"/>
      <c r="B43" s="6"/>
      <c r="C43" s="6"/>
      <c r="D43" s="6"/>
      <c r="E43" s="6"/>
      <c r="F43" s="6"/>
      <c r="G43" s="6"/>
      <c r="H43" s="6"/>
      <c r="I43" s="6"/>
      <c r="J43" s="6"/>
      <c r="K43" s="6"/>
      <c r="L43" s="6"/>
    </row>
    <row r="44" spans="1:14" x14ac:dyDescent="0.25">
      <c r="A44" s="6"/>
      <c r="B44" s="111"/>
      <c r="C44" s="74" t="s">
        <v>388</v>
      </c>
      <c r="D44" s="111"/>
      <c r="F44" s="111"/>
      <c r="G44" s="6"/>
      <c r="H44" s="6"/>
      <c r="I44" s="6"/>
      <c r="J44" s="6"/>
      <c r="K44" s="6"/>
      <c r="L44" s="6"/>
    </row>
    <row r="45" spans="1:14" x14ac:dyDescent="0.25">
      <c r="A45" s="6"/>
      <c r="B45" s="76" t="s">
        <v>238</v>
      </c>
      <c r="C45" s="76" t="s">
        <v>389</v>
      </c>
      <c r="D45" s="76" t="s">
        <v>393</v>
      </c>
      <c r="F45" s="111"/>
      <c r="G45" s="6"/>
      <c r="H45" s="6"/>
      <c r="I45" s="6"/>
      <c r="J45" s="6"/>
      <c r="K45" s="6"/>
      <c r="L45" s="6"/>
    </row>
    <row r="46" spans="1:14" x14ac:dyDescent="0.25">
      <c r="A46" s="6"/>
      <c r="B46" s="74">
        <f>$B$6</f>
        <v>2018</v>
      </c>
      <c r="C46" s="82">
        <f>K32</f>
        <v>1857.5376229224466</v>
      </c>
      <c r="D46" s="151">
        <v>0.22500000000000001</v>
      </c>
      <c r="F46" s="111"/>
      <c r="G46" s="6"/>
      <c r="H46" s="6"/>
      <c r="I46" s="6"/>
      <c r="J46" s="6"/>
      <c r="K46" s="6"/>
      <c r="L46" s="6"/>
    </row>
    <row r="47" spans="1:14" x14ac:dyDescent="0.25">
      <c r="A47" s="6"/>
      <c r="B47" s="74">
        <f>B46+1</f>
        <v>2019</v>
      </c>
      <c r="C47" s="82">
        <f>K33</f>
        <v>1898.7987640888848</v>
      </c>
      <c r="D47" s="151">
        <v>0.22500000000000001</v>
      </c>
      <c r="F47" s="111"/>
      <c r="G47" s="6"/>
      <c r="H47" s="6"/>
      <c r="I47" s="6"/>
      <c r="J47" s="6"/>
      <c r="K47" s="6"/>
      <c r="L47" s="6"/>
    </row>
    <row r="48" spans="1:14" x14ac:dyDescent="0.25">
      <c r="A48" s="6"/>
      <c r="B48" s="74">
        <f t="shared" ref="B48:B50" si="7">B47+1</f>
        <v>2020</v>
      </c>
      <c r="C48" s="82">
        <f>K34</f>
        <v>1900.9941568664333</v>
      </c>
      <c r="D48" s="151">
        <v>0.22500000000000001</v>
      </c>
      <c r="F48" s="111"/>
      <c r="G48" s="6"/>
      <c r="H48" s="6"/>
      <c r="I48" s="6"/>
      <c r="J48" s="6"/>
      <c r="K48" s="6"/>
      <c r="L48" s="6"/>
    </row>
    <row r="49" spans="1:13" x14ac:dyDescent="0.25">
      <c r="A49" s="6"/>
      <c r="B49" s="74">
        <f t="shared" si="7"/>
        <v>2021</v>
      </c>
      <c r="C49" s="82">
        <f>K35</f>
        <v>1877.0287131419084</v>
      </c>
      <c r="D49" s="151">
        <v>0.22500000000000001</v>
      </c>
      <c r="F49" s="111"/>
      <c r="G49" s="6"/>
      <c r="H49" s="6"/>
      <c r="I49" s="6"/>
      <c r="J49" s="6"/>
      <c r="K49" s="6"/>
      <c r="L49" s="6"/>
    </row>
    <row r="50" spans="1:13" x14ac:dyDescent="0.25">
      <c r="A50" s="6"/>
      <c r="B50" s="74">
        <f t="shared" si="7"/>
        <v>2022</v>
      </c>
      <c r="C50" s="82">
        <f>K36</f>
        <v>2029.458669476428</v>
      </c>
      <c r="D50" s="151">
        <f>1-SUM(D46:D49)</f>
        <v>9.9999999999999978E-2</v>
      </c>
      <c r="F50" s="111"/>
      <c r="G50" s="6"/>
      <c r="H50" s="6"/>
      <c r="I50" s="6"/>
      <c r="J50" s="6"/>
      <c r="K50" s="6"/>
      <c r="L50" s="6"/>
    </row>
    <row r="51" spans="1:13" x14ac:dyDescent="0.25">
      <c r="A51" s="6"/>
      <c r="B51" s="6" t="s">
        <v>394</v>
      </c>
      <c r="C51" s="6"/>
      <c r="D51" s="111"/>
      <c r="F51" s="111"/>
      <c r="G51" s="6"/>
      <c r="H51" s="6"/>
      <c r="I51" s="6"/>
      <c r="J51" s="6"/>
      <c r="K51" s="6"/>
      <c r="L51" s="6"/>
    </row>
    <row r="52" spans="1:13" x14ac:dyDescent="0.25">
      <c r="A52" s="6"/>
      <c r="B52" s="100" t="s">
        <v>395</v>
      </c>
      <c r="C52" s="82">
        <f>AVERAGE(C46:C50)</f>
        <v>1912.7635852992203</v>
      </c>
      <c r="D52" s="100"/>
      <c r="F52" s="111"/>
      <c r="G52" s="6"/>
      <c r="H52" s="6"/>
      <c r="I52" s="6"/>
      <c r="J52" s="6"/>
      <c r="K52" s="6"/>
      <c r="L52" s="6"/>
    </row>
    <row r="53" spans="1:13" x14ac:dyDescent="0.25">
      <c r="A53" s="6"/>
      <c r="B53" s="100" t="s">
        <v>396</v>
      </c>
      <c r="C53" s="82">
        <f>SUMPRODUCT(C46:C50,D46:D50)</f>
        <v>1898.1766997770692</v>
      </c>
      <c r="D53" s="111"/>
      <c r="F53" s="111"/>
      <c r="G53" s="6"/>
      <c r="H53" s="6"/>
      <c r="I53" s="6"/>
      <c r="J53" s="6"/>
      <c r="K53" s="6"/>
      <c r="L53" s="6"/>
    </row>
    <row r="54" spans="1:13" x14ac:dyDescent="0.25">
      <c r="B54" s="6" t="s">
        <v>397</v>
      </c>
      <c r="C54" s="82">
        <f>C53</f>
        <v>1898.1766997770692</v>
      </c>
      <c r="D54" s="111"/>
      <c r="F54" s="111"/>
      <c r="M54" s="6"/>
    </row>
    <row r="55" spans="1:13" x14ac:dyDescent="0.25">
      <c r="B55" s="6"/>
      <c r="C55" s="6"/>
      <c r="D55" s="6"/>
      <c r="E55" s="111"/>
      <c r="F55" s="111"/>
      <c r="M55" s="6"/>
    </row>
    <row r="56" spans="1:13" x14ac:dyDescent="0.25">
      <c r="B56" s="6" t="s">
        <v>398</v>
      </c>
      <c r="C56" s="6" t="s">
        <v>418</v>
      </c>
      <c r="D56" s="6"/>
      <c r="E56" s="111"/>
      <c r="F56" s="111"/>
      <c r="M56" s="6"/>
    </row>
    <row r="58" spans="1:13" x14ac:dyDescent="0.25">
      <c r="A58" s="8"/>
      <c r="B58" s="8"/>
      <c r="C58" s="8"/>
      <c r="D58" s="8"/>
      <c r="E58" s="8"/>
      <c r="F58" s="8"/>
      <c r="G58" s="8"/>
      <c r="H58" s="8"/>
      <c r="I58" s="8"/>
      <c r="J58" s="8"/>
      <c r="K58" s="8"/>
      <c r="L58" s="8"/>
    </row>
    <row r="59" spans="1:13" x14ac:dyDescent="0.25">
      <c r="A59" s="59" t="s">
        <v>108</v>
      </c>
      <c r="B59" s="8"/>
      <c r="C59" s="8"/>
      <c r="D59" s="8"/>
      <c r="E59" s="8"/>
      <c r="F59" s="8"/>
      <c r="G59" s="8"/>
      <c r="H59" s="8"/>
      <c r="I59" s="8"/>
      <c r="J59" s="8"/>
      <c r="K59" s="8"/>
      <c r="L59" s="8"/>
    </row>
    <row r="60" spans="1:13" x14ac:dyDescent="0.25">
      <c r="A60" s="8"/>
      <c r="B60" s="8" t="s">
        <v>176</v>
      </c>
      <c r="C60" s="8"/>
      <c r="D60" s="8"/>
      <c r="E60" s="8"/>
      <c r="F60" s="8"/>
      <c r="G60" s="8"/>
      <c r="H60" s="8"/>
      <c r="I60" s="8"/>
      <c r="J60" s="8"/>
      <c r="K60" s="8"/>
      <c r="L60" s="8"/>
    </row>
    <row r="61" spans="1:13" x14ac:dyDescent="0.25">
      <c r="A61" s="8"/>
      <c r="B61" s="8"/>
      <c r="C61" s="8" t="s">
        <v>177</v>
      </c>
      <c r="D61" s="8"/>
      <c r="E61" s="8"/>
      <c r="F61" s="8"/>
      <c r="G61" s="8"/>
      <c r="H61" s="8"/>
      <c r="I61" s="8"/>
      <c r="J61" s="8"/>
      <c r="K61" s="8"/>
      <c r="L61" s="8"/>
    </row>
    <row r="62" spans="1:13" x14ac:dyDescent="0.25">
      <c r="A62" s="8"/>
      <c r="B62" s="8" t="s">
        <v>178</v>
      </c>
      <c r="C62" s="8"/>
      <c r="D62" s="8"/>
      <c r="E62" s="8"/>
      <c r="F62" s="8"/>
      <c r="G62" s="8"/>
      <c r="H62" s="8"/>
      <c r="I62" s="8"/>
      <c r="J62" s="8"/>
      <c r="K62" s="8"/>
      <c r="L62" s="8"/>
    </row>
    <row r="63" spans="1:13" x14ac:dyDescent="0.25">
      <c r="A63" s="8"/>
      <c r="B63" s="8"/>
      <c r="C63" s="8" t="s">
        <v>179</v>
      </c>
      <c r="D63" s="8"/>
      <c r="E63" s="70">
        <v>1700</v>
      </c>
      <c r="F63" s="8"/>
      <c r="G63" s="8"/>
      <c r="H63" s="8"/>
      <c r="I63" s="8"/>
      <c r="J63" s="8"/>
      <c r="K63" s="8"/>
      <c r="L63" s="8"/>
    </row>
    <row r="64" spans="1:13" x14ac:dyDescent="0.25">
      <c r="A64" s="8"/>
      <c r="B64" s="8"/>
      <c r="C64" s="8"/>
      <c r="D64" s="8"/>
      <c r="E64" s="8"/>
      <c r="F64" s="8"/>
      <c r="G64" s="8"/>
      <c r="H64" s="8"/>
      <c r="I64" s="8"/>
      <c r="J64" s="8"/>
      <c r="K64" s="8"/>
      <c r="L64" s="8"/>
    </row>
    <row r="66" spans="1:14" x14ac:dyDescent="0.25">
      <c r="A66" s="5" t="s">
        <v>0</v>
      </c>
      <c r="B66" s="8" t="s">
        <v>180</v>
      </c>
      <c r="C66" s="4"/>
      <c r="D66" s="4"/>
      <c r="E66" s="4"/>
      <c r="F66" s="4"/>
      <c r="G66" s="4"/>
      <c r="H66" s="4"/>
      <c r="I66" s="4"/>
      <c r="J66" s="4"/>
      <c r="K66" s="4"/>
      <c r="L66" s="4"/>
    </row>
    <row r="67" spans="1:14" x14ac:dyDescent="0.25">
      <c r="A67" s="6"/>
      <c r="B67" s="6"/>
      <c r="C67" s="6"/>
      <c r="D67" s="6"/>
      <c r="E67" s="6"/>
      <c r="F67" s="6"/>
      <c r="G67" s="6"/>
      <c r="H67" s="6"/>
      <c r="I67" s="6"/>
      <c r="J67" s="6"/>
      <c r="K67" s="6"/>
      <c r="L67" s="6"/>
    </row>
    <row r="68" spans="1:14" x14ac:dyDescent="0.25">
      <c r="A68" s="6" t="s">
        <v>1</v>
      </c>
      <c r="B68" s="6"/>
      <c r="C68" s="6"/>
      <c r="D68" s="6"/>
      <c r="E68" s="6"/>
      <c r="F68" s="6"/>
      <c r="G68" s="6"/>
      <c r="H68" s="6"/>
      <c r="I68" s="6"/>
      <c r="J68" s="6"/>
      <c r="K68" s="6"/>
      <c r="L68" s="6"/>
    </row>
    <row r="69" spans="1:14" x14ac:dyDescent="0.25">
      <c r="A69" s="6"/>
      <c r="B69" s="6"/>
      <c r="C69" s="6"/>
      <c r="D69" s="6"/>
      <c r="E69" s="6"/>
      <c r="F69" s="6"/>
      <c r="G69" s="6"/>
      <c r="H69" s="82"/>
      <c r="I69" s="6"/>
      <c r="J69" s="6"/>
      <c r="K69" s="6"/>
      <c r="L69" s="6"/>
    </row>
    <row r="70" spans="1:14" x14ac:dyDescent="0.25">
      <c r="A70" s="6"/>
      <c r="B70" s="6" t="s">
        <v>403</v>
      </c>
      <c r="C70" s="6"/>
      <c r="D70" s="6"/>
      <c r="E70" s="6"/>
      <c r="F70" s="161">
        <f>D26</f>
        <v>7.0599999999999996E-2</v>
      </c>
      <c r="G70" s="6"/>
      <c r="I70" s="6"/>
      <c r="J70" s="6"/>
      <c r="K70" s="6"/>
      <c r="L70" s="6"/>
    </row>
    <row r="71" spans="1:14" x14ac:dyDescent="0.25">
      <c r="B71" s="6" t="s">
        <v>399</v>
      </c>
      <c r="C71" s="6"/>
      <c r="D71" s="6"/>
      <c r="E71" s="6"/>
      <c r="F71" s="132">
        <v>45108</v>
      </c>
      <c r="G71" s="6"/>
    </row>
    <row r="72" spans="1:14" x14ac:dyDescent="0.25">
      <c r="B72" s="6" t="s">
        <v>400</v>
      </c>
      <c r="C72" s="6"/>
      <c r="D72" s="6"/>
      <c r="E72" s="6"/>
      <c r="F72" s="132">
        <f>E29</f>
        <v>45717</v>
      </c>
      <c r="G72" s="6"/>
    </row>
    <row r="73" spans="1:14" x14ac:dyDescent="0.25">
      <c r="B73" s="6" t="s">
        <v>401</v>
      </c>
      <c r="C73" s="6"/>
      <c r="D73" s="6"/>
      <c r="E73" s="6"/>
      <c r="F73" s="74">
        <f>(12*YEAR(F72)+MONTH(F72))-(12*YEAR(F71)+MONTH(F71))</f>
        <v>20</v>
      </c>
      <c r="G73" s="6"/>
      <c r="M73" s="6"/>
      <c r="N73" s="6"/>
    </row>
    <row r="74" spans="1:14" x14ac:dyDescent="0.25">
      <c r="B74" s="6" t="s">
        <v>402</v>
      </c>
      <c r="C74" s="6"/>
      <c r="D74" s="6"/>
      <c r="E74" s="6"/>
      <c r="F74" s="82">
        <f>E63*(1+F70)^(F73/12)</f>
        <v>1904.7046985737852</v>
      </c>
      <c r="G74" s="6"/>
      <c r="M74" s="6"/>
      <c r="N74" s="6"/>
    </row>
    <row r="76" spans="1:14" x14ac:dyDescent="0.25">
      <c r="A76" s="8"/>
      <c r="B76" s="8"/>
      <c r="C76" s="8"/>
      <c r="D76" s="8"/>
      <c r="E76" s="8"/>
      <c r="F76" s="8"/>
      <c r="G76" s="8"/>
      <c r="H76" s="8"/>
      <c r="I76" s="8"/>
      <c r="J76" s="8"/>
      <c r="K76" s="8"/>
      <c r="L76" s="8"/>
    </row>
    <row r="77" spans="1:14" x14ac:dyDescent="0.25">
      <c r="A77" s="59" t="s">
        <v>108</v>
      </c>
      <c r="B77" s="8"/>
      <c r="C77" s="8"/>
      <c r="D77" s="8"/>
      <c r="E77" s="8"/>
      <c r="F77" s="8"/>
      <c r="G77" s="8"/>
      <c r="H77" s="8"/>
      <c r="I77" s="8"/>
      <c r="J77" s="8"/>
      <c r="K77" s="8"/>
      <c r="L77" s="8"/>
    </row>
    <row r="78" spans="1:14" x14ac:dyDescent="0.25">
      <c r="A78" s="8"/>
      <c r="B78" s="8" t="s">
        <v>181</v>
      </c>
      <c r="C78" s="8"/>
      <c r="D78" s="8"/>
      <c r="E78" s="43">
        <v>125</v>
      </c>
      <c r="F78" s="8"/>
      <c r="G78" s="8"/>
      <c r="H78" s="8"/>
      <c r="I78" s="8"/>
      <c r="J78" s="8"/>
      <c r="K78" s="8"/>
      <c r="L78" s="8"/>
    </row>
    <row r="79" spans="1:14" x14ac:dyDescent="0.25">
      <c r="A79" s="8"/>
      <c r="B79" s="8" t="s">
        <v>182</v>
      </c>
      <c r="C79" s="8"/>
      <c r="D79" s="8"/>
      <c r="E79" s="44">
        <v>0.04</v>
      </c>
      <c r="F79" s="8"/>
      <c r="G79" s="8"/>
      <c r="H79" s="8"/>
      <c r="I79" s="8"/>
      <c r="J79" s="8"/>
      <c r="K79" s="8"/>
      <c r="L79" s="8"/>
    </row>
    <row r="80" spans="1:14" x14ac:dyDescent="0.25">
      <c r="A80" s="8"/>
      <c r="B80" s="8" t="s">
        <v>183</v>
      </c>
      <c r="C80" s="8"/>
      <c r="D80" s="8"/>
      <c r="E80" s="44">
        <v>0.18</v>
      </c>
      <c r="F80" s="8"/>
      <c r="G80" s="8"/>
      <c r="H80" s="8"/>
      <c r="I80" s="8"/>
      <c r="J80" s="8"/>
      <c r="K80" s="8"/>
      <c r="L80" s="8"/>
    </row>
    <row r="81" spans="1:13" x14ac:dyDescent="0.25">
      <c r="A81" s="8"/>
      <c r="B81" s="8" t="s">
        <v>184</v>
      </c>
      <c r="C81" s="8"/>
      <c r="D81" s="8"/>
      <c r="E81" s="44">
        <v>0.05</v>
      </c>
      <c r="F81" s="8"/>
      <c r="G81" s="8"/>
      <c r="H81" s="8"/>
      <c r="I81" s="8"/>
      <c r="J81" s="8"/>
      <c r="K81" s="8"/>
      <c r="L81" s="8"/>
    </row>
    <row r="82" spans="1:13" x14ac:dyDescent="0.25">
      <c r="A82" s="8"/>
      <c r="B82" s="8"/>
      <c r="C82" s="8"/>
      <c r="D82" s="8"/>
      <c r="E82" s="8"/>
      <c r="F82" s="8"/>
      <c r="G82" s="8"/>
      <c r="H82" s="8"/>
      <c r="I82" s="8"/>
      <c r="J82" s="8"/>
      <c r="K82" s="8"/>
      <c r="L82" s="8"/>
    </row>
    <row r="84" spans="1:13" x14ac:dyDescent="0.25">
      <c r="A84" s="5" t="s">
        <v>2</v>
      </c>
      <c r="B84" s="8" t="s">
        <v>185</v>
      </c>
      <c r="C84" s="4"/>
      <c r="D84" s="4"/>
      <c r="E84" s="4"/>
      <c r="F84" s="4"/>
      <c r="G84" s="4"/>
      <c r="H84" s="4"/>
      <c r="I84" s="4"/>
      <c r="J84" s="4"/>
      <c r="K84" s="4"/>
      <c r="L84" s="4"/>
    </row>
    <row r="85" spans="1:13" x14ac:dyDescent="0.25">
      <c r="A85" s="6"/>
      <c r="B85" s="6"/>
      <c r="C85" s="6"/>
      <c r="D85" s="6"/>
      <c r="E85" s="6"/>
      <c r="F85" s="6"/>
      <c r="G85" s="6"/>
      <c r="H85" s="6"/>
      <c r="I85" s="6"/>
      <c r="J85" s="6"/>
      <c r="K85" s="6"/>
      <c r="L85" s="6"/>
    </row>
    <row r="86" spans="1:13" x14ac:dyDescent="0.25">
      <c r="A86" s="6" t="s">
        <v>1</v>
      </c>
      <c r="B86" s="6"/>
      <c r="C86" s="6"/>
      <c r="D86" s="6"/>
      <c r="E86" s="6"/>
      <c r="F86" s="6"/>
      <c r="G86" s="6"/>
      <c r="H86" s="6"/>
      <c r="I86" s="6"/>
      <c r="J86" s="6"/>
      <c r="K86" s="6"/>
      <c r="L86" s="6"/>
    </row>
    <row r="87" spans="1:13" x14ac:dyDescent="0.25">
      <c r="A87" s="6"/>
      <c r="B87" s="169" t="s">
        <v>414</v>
      </c>
      <c r="C87" s="6"/>
      <c r="D87" s="6"/>
      <c r="E87" s="6"/>
      <c r="F87" s="6"/>
      <c r="G87" s="6"/>
      <c r="H87" s="6"/>
      <c r="I87" s="6"/>
      <c r="J87" s="6"/>
      <c r="K87" s="6"/>
      <c r="L87" s="6"/>
    </row>
    <row r="88" spans="1:13" x14ac:dyDescent="0.25">
      <c r="A88" s="6"/>
      <c r="B88" s="214" t="s">
        <v>419</v>
      </c>
      <c r="C88" s="214"/>
      <c r="D88" s="214"/>
      <c r="E88" s="214"/>
      <c r="F88" s="214"/>
      <c r="G88" s="214"/>
      <c r="H88" s="214"/>
      <c r="I88" s="214"/>
      <c r="J88" s="214"/>
      <c r="K88" s="214"/>
      <c r="L88" s="6"/>
    </row>
    <row r="89" spans="1:13" x14ac:dyDescent="0.25">
      <c r="A89" s="6"/>
      <c r="B89" s="214"/>
      <c r="C89" s="214"/>
      <c r="D89" s="214"/>
      <c r="E89" s="214"/>
      <c r="F89" s="214"/>
      <c r="G89" s="214"/>
      <c r="H89" s="214"/>
      <c r="I89" s="214"/>
      <c r="J89" s="214"/>
      <c r="K89" s="214"/>
      <c r="L89" s="6"/>
    </row>
    <row r="90" spans="1:13" x14ac:dyDescent="0.25">
      <c r="A90" s="6"/>
      <c r="B90" s="6"/>
      <c r="C90" s="6"/>
      <c r="D90" s="6"/>
      <c r="E90" s="6"/>
      <c r="F90" s="6"/>
      <c r="G90" s="6"/>
      <c r="H90" s="6"/>
      <c r="I90" s="6"/>
      <c r="J90" s="6"/>
      <c r="K90" s="6"/>
      <c r="L90" s="6"/>
    </row>
    <row r="91" spans="1:13" x14ac:dyDescent="0.25">
      <c r="A91" s="6"/>
      <c r="B91" s="6" t="s">
        <v>404</v>
      </c>
      <c r="C91" s="6"/>
      <c r="D91" s="6"/>
      <c r="E91" s="166">
        <f>C54</f>
        <v>1898.1766997770692</v>
      </c>
      <c r="F91" s="6"/>
      <c r="G91" s="6"/>
      <c r="H91" s="6"/>
      <c r="I91" s="6"/>
      <c r="J91" s="6"/>
      <c r="K91" s="6"/>
      <c r="L91" s="6"/>
    </row>
    <row r="92" spans="1:13" x14ac:dyDescent="0.25">
      <c r="A92" s="6"/>
      <c r="B92" s="6" t="s">
        <v>405</v>
      </c>
      <c r="C92" s="6"/>
      <c r="D92" s="6"/>
      <c r="E92" s="167">
        <f>SUM(E6:E10)</f>
        <v>4341</v>
      </c>
      <c r="F92" s="6"/>
      <c r="G92" s="6"/>
      <c r="H92" s="6"/>
      <c r="I92" s="6"/>
      <c r="J92" s="6"/>
      <c r="K92" s="6"/>
      <c r="L92" s="6"/>
    </row>
    <row r="93" spans="1:13" x14ac:dyDescent="0.25">
      <c r="B93" s="6" t="s">
        <v>406</v>
      </c>
      <c r="C93" s="6"/>
      <c r="D93" s="6"/>
      <c r="E93" s="168">
        <f>SQRT(E92/D17)</f>
        <v>0.96578777426761608</v>
      </c>
    </row>
    <row r="94" spans="1:13" x14ac:dyDescent="0.25">
      <c r="B94" s="6" t="s">
        <v>407</v>
      </c>
      <c r="C94" s="6"/>
      <c r="D94" s="6"/>
      <c r="E94" s="166">
        <f>E93*E91+(1-E93)*F74</f>
        <v>1898.4000371454831</v>
      </c>
      <c r="M94" s="6"/>
    </row>
    <row r="95" spans="1:13" x14ac:dyDescent="0.25">
      <c r="B95" s="6" t="s">
        <v>408</v>
      </c>
      <c r="C95" s="6"/>
      <c r="D95" s="6"/>
      <c r="E95" s="166">
        <f>(E94*(1+E79)+E78)/(1-E80-E81)</f>
        <v>2726.4104397809124</v>
      </c>
      <c r="M95" s="6"/>
    </row>
    <row r="97" spans="1:12" x14ac:dyDescent="0.25">
      <c r="A97" s="8"/>
      <c r="B97" s="8"/>
      <c r="C97" s="8"/>
      <c r="D97" s="8"/>
      <c r="E97" s="8"/>
      <c r="F97" s="8"/>
      <c r="G97" s="8"/>
      <c r="H97" s="8"/>
      <c r="I97" s="8"/>
      <c r="J97" s="8"/>
      <c r="K97" s="8"/>
      <c r="L97" s="8"/>
    </row>
    <row r="98" spans="1:12" x14ac:dyDescent="0.25">
      <c r="A98" s="8" t="s">
        <v>186</v>
      </c>
      <c r="B98" s="8"/>
      <c r="C98" s="8"/>
      <c r="D98" s="8"/>
      <c r="E98" s="8"/>
      <c r="F98" s="8"/>
      <c r="G98" s="8"/>
      <c r="H98" s="8"/>
      <c r="I98" s="8"/>
      <c r="J98" s="8"/>
      <c r="K98" s="8"/>
      <c r="L98" s="8"/>
    </row>
    <row r="99" spans="1:12" x14ac:dyDescent="0.25">
      <c r="A99" s="8"/>
      <c r="B99" s="8"/>
      <c r="C99" s="8"/>
      <c r="D99" s="8"/>
      <c r="E99" s="8"/>
      <c r="F99" s="8"/>
      <c r="G99" s="8"/>
      <c r="H99" s="8"/>
      <c r="I99" s="8"/>
      <c r="J99" s="8"/>
      <c r="K99" s="8"/>
      <c r="L99" s="8"/>
    </row>
    <row r="101" spans="1:12" x14ac:dyDescent="0.25">
      <c r="A101" s="5" t="s">
        <v>3</v>
      </c>
      <c r="B101" s="8" t="s">
        <v>187</v>
      </c>
      <c r="C101" s="4"/>
      <c r="D101" s="4"/>
      <c r="E101" s="4"/>
      <c r="F101" s="4"/>
      <c r="G101" s="4"/>
      <c r="H101" s="4"/>
      <c r="I101" s="4"/>
      <c r="J101" s="4"/>
      <c r="K101" s="4"/>
      <c r="L101" s="4"/>
    </row>
    <row r="102" spans="1:12" x14ac:dyDescent="0.25">
      <c r="A102" s="6"/>
      <c r="B102" s="6"/>
      <c r="C102" s="6"/>
      <c r="D102" s="6"/>
      <c r="E102" s="6"/>
      <c r="F102" s="6"/>
      <c r="G102" s="6"/>
      <c r="H102" s="6"/>
      <c r="I102" s="6"/>
      <c r="J102" s="6"/>
      <c r="K102" s="6"/>
      <c r="L102" s="6"/>
    </row>
    <row r="103" spans="1:12" x14ac:dyDescent="0.25">
      <c r="A103" s="6" t="s">
        <v>1</v>
      </c>
      <c r="B103" s="6"/>
      <c r="C103" s="6"/>
      <c r="D103" s="6"/>
      <c r="E103" s="6"/>
      <c r="F103" s="6"/>
      <c r="G103" s="6"/>
      <c r="H103" s="6"/>
      <c r="I103" s="6"/>
      <c r="J103" s="6"/>
      <c r="K103" s="6"/>
      <c r="L103" s="6"/>
    </row>
    <row r="104" spans="1:12" x14ac:dyDescent="0.25">
      <c r="A104" s="6"/>
      <c r="B104" s="6" t="s">
        <v>411</v>
      </c>
      <c r="C104" s="6"/>
      <c r="D104" s="6"/>
      <c r="E104" s="6"/>
      <c r="F104" s="6"/>
      <c r="G104" s="6"/>
      <c r="H104" s="6"/>
      <c r="I104" s="6"/>
      <c r="J104" s="6"/>
      <c r="K104" s="6"/>
      <c r="L104" s="6"/>
    </row>
    <row r="105" spans="1:12" x14ac:dyDescent="0.25">
      <c r="A105" s="6"/>
      <c r="B105" s="6" t="s">
        <v>409</v>
      </c>
      <c r="C105" s="6"/>
      <c r="D105" s="6"/>
      <c r="E105" s="6"/>
      <c r="F105" s="6"/>
      <c r="G105" s="6"/>
      <c r="H105" s="6"/>
      <c r="I105" s="6"/>
      <c r="J105" s="6"/>
      <c r="K105" s="6"/>
      <c r="L105" s="6"/>
    </row>
    <row r="106" spans="1:12" x14ac:dyDescent="0.25">
      <c r="B106" s="1" t="s">
        <v>410</v>
      </c>
    </row>
  </sheetData>
  <mergeCells count="1">
    <mergeCell ref="B88:K89"/>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2EE4-8B0A-4522-92C9-7750321E2522}">
  <dimension ref="A1:R95"/>
  <sheetViews>
    <sheetView zoomScaleNormal="100" workbookViewId="0"/>
  </sheetViews>
  <sheetFormatPr defaultColWidth="8.85546875" defaultRowHeight="15.75" x14ac:dyDescent="0.25"/>
  <cols>
    <col min="1" max="9" width="11.7109375" style="1" customWidth="1"/>
    <col min="10" max="16384" width="8.85546875" style="1"/>
  </cols>
  <sheetData>
    <row r="1" spans="1:12" ht="18.75" x14ac:dyDescent="0.3">
      <c r="A1" s="2" t="s">
        <v>188</v>
      </c>
      <c r="B1" s="4"/>
      <c r="C1" s="8" t="s">
        <v>7</v>
      </c>
      <c r="D1" s="4"/>
      <c r="E1" s="4"/>
      <c r="F1" s="4"/>
      <c r="G1" s="4"/>
      <c r="H1" s="4"/>
      <c r="I1" s="4"/>
      <c r="J1" s="4"/>
      <c r="K1" s="4"/>
      <c r="L1" s="3"/>
    </row>
    <row r="2" spans="1:12" x14ac:dyDescent="0.25">
      <c r="A2" s="4"/>
      <c r="B2" s="4"/>
      <c r="C2" s="4"/>
      <c r="D2" s="4"/>
      <c r="E2" s="4"/>
      <c r="F2" s="4"/>
      <c r="G2" s="4"/>
      <c r="H2" s="4"/>
      <c r="I2" s="4"/>
      <c r="J2" s="4"/>
      <c r="K2" s="4"/>
      <c r="L2" s="3"/>
    </row>
    <row r="3" spans="1:12" x14ac:dyDescent="0.25">
      <c r="A3" s="8" t="s">
        <v>51</v>
      </c>
      <c r="B3" s="8"/>
      <c r="C3" s="8"/>
      <c r="D3" s="8"/>
      <c r="E3" s="8"/>
      <c r="F3" s="8"/>
      <c r="G3" s="8"/>
      <c r="H3" s="8"/>
      <c r="I3" s="8"/>
      <c r="J3" s="8"/>
      <c r="K3" s="8"/>
      <c r="L3" s="3"/>
    </row>
    <row r="4" spans="1:12" x14ac:dyDescent="0.25">
      <c r="A4" s="63"/>
      <c r="B4" s="8"/>
      <c r="C4" s="8"/>
      <c r="D4" s="8"/>
      <c r="E4" s="8"/>
      <c r="F4" s="8"/>
      <c r="G4" s="8"/>
      <c r="H4" s="8"/>
      <c r="I4" s="8"/>
      <c r="J4" s="8"/>
      <c r="K4" s="8"/>
      <c r="L4" s="8"/>
    </row>
    <row r="5" spans="1:12" x14ac:dyDescent="0.25">
      <c r="A5" s="63"/>
      <c r="B5" s="47" t="s">
        <v>13</v>
      </c>
      <c r="C5" s="206" t="s">
        <v>15</v>
      </c>
      <c r="D5" s="207"/>
      <c r="E5" s="207"/>
      <c r="F5" s="207"/>
      <c r="G5" s="207"/>
      <c r="H5" s="207"/>
      <c r="I5" s="207"/>
      <c r="J5" s="8"/>
      <c r="K5" s="8"/>
      <c r="L5" s="8"/>
    </row>
    <row r="6" spans="1:12" x14ac:dyDescent="0.25">
      <c r="A6" s="63"/>
      <c r="B6" s="48" t="s">
        <v>14</v>
      </c>
      <c r="C6" s="45">
        <v>12</v>
      </c>
      <c r="D6" s="29">
        <v>24</v>
      </c>
      <c r="E6" s="29">
        <v>36</v>
      </c>
      <c r="F6" s="29">
        <v>48</v>
      </c>
      <c r="G6" s="29">
        <v>60</v>
      </c>
      <c r="H6" s="29">
        <v>72</v>
      </c>
      <c r="I6" s="29">
        <v>84</v>
      </c>
      <c r="J6" s="8"/>
      <c r="K6" s="8"/>
      <c r="L6" s="8"/>
    </row>
    <row r="7" spans="1:12" x14ac:dyDescent="0.25">
      <c r="A7" s="63"/>
      <c r="B7" s="46">
        <v>2016</v>
      </c>
      <c r="C7" s="38">
        <v>1826</v>
      </c>
      <c r="D7" s="38">
        <v>2742</v>
      </c>
      <c r="E7" s="38">
        <v>2948</v>
      </c>
      <c r="F7" s="38">
        <v>3174</v>
      </c>
      <c r="G7" s="38">
        <v>3239</v>
      </c>
      <c r="H7" s="38">
        <v>3248</v>
      </c>
      <c r="I7" s="38">
        <v>3248</v>
      </c>
      <c r="J7" s="8"/>
      <c r="K7" s="8"/>
      <c r="L7" s="8"/>
    </row>
    <row r="8" spans="1:12" x14ac:dyDescent="0.25">
      <c r="A8" s="63"/>
      <c r="B8" s="30">
        <v>2017</v>
      </c>
      <c r="C8" s="38">
        <v>2296</v>
      </c>
      <c r="D8" s="38">
        <v>3656</v>
      </c>
      <c r="E8" s="38">
        <v>3928</v>
      </c>
      <c r="F8" s="38">
        <v>4230</v>
      </c>
      <c r="G8" s="38">
        <v>4458</v>
      </c>
      <c r="H8" s="38">
        <v>4506</v>
      </c>
      <c r="I8" s="30"/>
      <c r="J8" s="8"/>
      <c r="K8" s="8"/>
      <c r="L8" s="8"/>
    </row>
    <row r="9" spans="1:12" x14ac:dyDescent="0.25">
      <c r="A9" s="8"/>
      <c r="B9" s="30">
        <v>2018</v>
      </c>
      <c r="C9" s="38">
        <v>3064</v>
      </c>
      <c r="D9" s="38">
        <v>4932</v>
      </c>
      <c r="E9" s="38">
        <v>5465</v>
      </c>
      <c r="F9" s="38">
        <v>6104</v>
      </c>
      <c r="G9" s="38">
        <v>6373</v>
      </c>
      <c r="H9" s="30"/>
      <c r="I9" s="30"/>
      <c r="J9" s="8"/>
      <c r="K9" s="8"/>
      <c r="L9" s="8"/>
    </row>
    <row r="10" spans="1:12" x14ac:dyDescent="0.25">
      <c r="A10" s="8"/>
      <c r="B10" s="30">
        <v>2019</v>
      </c>
      <c r="C10" s="38">
        <v>2327</v>
      </c>
      <c r="D10" s="38">
        <v>3675</v>
      </c>
      <c r="E10" s="38">
        <v>4522</v>
      </c>
      <c r="F10" s="38">
        <v>5124</v>
      </c>
      <c r="G10" s="30"/>
      <c r="H10" s="30"/>
      <c r="I10" s="30"/>
      <c r="J10" s="8"/>
      <c r="K10" s="8"/>
      <c r="L10" s="8"/>
    </row>
    <row r="11" spans="1:12" x14ac:dyDescent="0.25">
      <c r="A11" s="63"/>
      <c r="B11" s="30">
        <v>2020</v>
      </c>
      <c r="C11" s="38">
        <v>2691</v>
      </c>
      <c r="D11" s="38">
        <v>4495</v>
      </c>
      <c r="E11" s="38">
        <v>4924</v>
      </c>
      <c r="F11" s="30"/>
      <c r="G11" s="30"/>
      <c r="H11" s="30"/>
      <c r="I11" s="30"/>
      <c r="J11" s="8"/>
      <c r="K11" s="8"/>
      <c r="L11" s="8"/>
    </row>
    <row r="12" spans="1:12" x14ac:dyDescent="0.25">
      <c r="A12" s="8"/>
      <c r="B12" s="30">
        <v>2021</v>
      </c>
      <c r="C12" s="38">
        <v>2497</v>
      </c>
      <c r="D12" s="38">
        <v>5025</v>
      </c>
      <c r="E12" s="30"/>
      <c r="F12" s="30"/>
      <c r="G12" s="30"/>
      <c r="H12" s="30"/>
      <c r="I12" s="30"/>
      <c r="J12" s="8"/>
      <c r="K12" s="8"/>
      <c r="L12" s="8"/>
    </row>
    <row r="13" spans="1:12" x14ac:dyDescent="0.25">
      <c r="A13" s="8"/>
      <c r="B13" s="30">
        <v>2022</v>
      </c>
      <c r="C13" s="38">
        <v>3740</v>
      </c>
      <c r="D13" s="30"/>
      <c r="E13" s="30"/>
      <c r="F13" s="30"/>
      <c r="G13" s="30"/>
      <c r="H13" s="30"/>
      <c r="I13" s="30"/>
      <c r="J13" s="8"/>
      <c r="K13" s="8"/>
      <c r="L13" s="8"/>
    </row>
    <row r="14" spans="1:12" x14ac:dyDescent="0.25">
      <c r="A14" s="8"/>
      <c r="B14" s="8"/>
      <c r="C14" s="8"/>
      <c r="D14" s="8"/>
      <c r="E14" s="8"/>
      <c r="F14" s="8"/>
      <c r="G14" s="8"/>
      <c r="H14" s="8"/>
      <c r="I14" s="8"/>
      <c r="J14" s="8"/>
      <c r="K14" s="8"/>
      <c r="L14" s="8"/>
    </row>
    <row r="15" spans="1:12" x14ac:dyDescent="0.25">
      <c r="A15" s="8"/>
      <c r="B15" s="215" t="s">
        <v>13</v>
      </c>
      <c r="C15" s="216"/>
      <c r="D15" s="207" t="s">
        <v>189</v>
      </c>
      <c r="E15" s="207"/>
      <c r="F15" s="207"/>
      <c r="G15" s="207"/>
      <c r="H15" s="207"/>
      <c r="I15" s="207"/>
      <c r="J15" s="8"/>
      <c r="K15" s="8"/>
      <c r="L15" s="8"/>
    </row>
    <row r="16" spans="1:12" x14ac:dyDescent="0.25">
      <c r="A16" s="8"/>
      <c r="B16" s="217" t="s">
        <v>14</v>
      </c>
      <c r="C16" s="218"/>
      <c r="D16" s="73" t="s">
        <v>204</v>
      </c>
      <c r="E16" s="29" t="s">
        <v>190</v>
      </c>
      <c r="F16" s="29" t="s">
        <v>191</v>
      </c>
      <c r="G16" s="29" t="s">
        <v>192</v>
      </c>
      <c r="H16" s="29" t="s">
        <v>193</v>
      </c>
      <c r="I16" s="29" t="s">
        <v>194</v>
      </c>
      <c r="J16" s="8"/>
      <c r="K16" s="8"/>
      <c r="L16" s="8"/>
    </row>
    <row r="17" spans="1:18" ht="35.450000000000003" customHeight="1" x14ac:dyDescent="0.25">
      <c r="A17" s="8"/>
      <c r="B17" s="219" t="s">
        <v>195</v>
      </c>
      <c r="C17" s="220"/>
      <c r="D17" s="49">
        <v>1.6679999999999999</v>
      </c>
      <c r="E17" s="49">
        <v>1.117</v>
      </c>
      <c r="F17" s="49">
        <v>1.105</v>
      </c>
      <c r="G17" s="49">
        <v>1.042</v>
      </c>
      <c r="H17" s="49">
        <v>1.0069999999999999</v>
      </c>
      <c r="I17" s="49">
        <v>1</v>
      </c>
      <c r="J17" s="8"/>
      <c r="K17" s="8"/>
      <c r="L17" s="8"/>
    </row>
    <row r="18" spans="1:18" x14ac:dyDescent="0.25">
      <c r="A18" s="8"/>
      <c r="B18" s="8"/>
      <c r="C18" s="8"/>
      <c r="D18" s="8"/>
      <c r="E18" s="8"/>
      <c r="F18" s="8"/>
      <c r="G18" s="8"/>
      <c r="H18" s="8"/>
      <c r="I18" s="8"/>
      <c r="J18" s="8"/>
      <c r="K18" s="8"/>
      <c r="L18" s="8"/>
    </row>
    <row r="19" spans="1:18" x14ac:dyDescent="0.25">
      <c r="A19" s="8"/>
      <c r="B19" s="8" t="s">
        <v>196</v>
      </c>
      <c r="C19" s="8"/>
      <c r="D19" s="8"/>
      <c r="E19" s="8"/>
      <c r="F19" s="8"/>
      <c r="G19" s="8"/>
      <c r="H19" s="8"/>
      <c r="I19" s="8"/>
      <c r="J19" s="8"/>
      <c r="K19" s="8"/>
      <c r="L19" s="8"/>
    </row>
    <row r="20" spans="1:18" x14ac:dyDescent="0.25">
      <c r="A20" s="8"/>
      <c r="B20" s="8" t="s">
        <v>197</v>
      </c>
      <c r="C20" s="8"/>
      <c r="D20" s="8"/>
      <c r="E20" s="8"/>
      <c r="F20" s="8"/>
      <c r="G20" s="8"/>
      <c r="H20" s="8"/>
      <c r="I20" s="8"/>
      <c r="J20" s="8"/>
      <c r="K20" s="8"/>
      <c r="L20" s="8"/>
    </row>
    <row r="21" spans="1:18" x14ac:dyDescent="0.25">
      <c r="A21" s="8"/>
      <c r="B21" s="8" t="s">
        <v>200</v>
      </c>
      <c r="C21" s="8"/>
      <c r="D21" s="8"/>
      <c r="E21" s="8"/>
      <c r="F21" s="8"/>
      <c r="G21" s="8"/>
      <c r="H21" s="8"/>
      <c r="I21" s="8"/>
      <c r="J21" s="8"/>
      <c r="K21" s="8"/>
      <c r="L21" s="8"/>
    </row>
    <row r="22" spans="1:18" x14ac:dyDescent="0.25">
      <c r="A22" s="8"/>
      <c r="B22" s="8"/>
      <c r="C22" s="8" t="s">
        <v>201</v>
      </c>
      <c r="D22" s="8"/>
      <c r="E22" s="8"/>
      <c r="F22" s="70">
        <v>500000</v>
      </c>
      <c r="G22" s="8"/>
      <c r="H22" s="8"/>
      <c r="I22" s="8"/>
      <c r="J22" s="8"/>
      <c r="K22" s="8"/>
      <c r="L22" s="8"/>
    </row>
    <row r="23" spans="1:18" x14ac:dyDescent="0.25">
      <c r="A23" s="8"/>
      <c r="B23" s="8" t="s">
        <v>202</v>
      </c>
      <c r="C23" s="8"/>
      <c r="D23" s="8"/>
      <c r="E23" s="8"/>
      <c r="F23" s="8"/>
      <c r="G23" s="8"/>
      <c r="H23" s="8"/>
      <c r="I23" s="8"/>
      <c r="J23" s="8"/>
      <c r="K23" s="8"/>
      <c r="L23" s="8"/>
    </row>
    <row r="24" spans="1:18" x14ac:dyDescent="0.25">
      <c r="A24" s="8"/>
      <c r="B24" s="8"/>
      <c r="C24" s="8" t="s">
        <v>203</v>
      </c>
      <c r="D24" s="8"/>
      <c r="E24" s="8"/>
      <c r="F24" s="70">
        <v>1000000</v>
      </c>
      <c r="G24" s="8"/>
      <c r="H24" s="8"/>
      <c r="I24" s="8"/>
      <c r="J24" s="8"/>
      <c r="K24" s="8"/>
      <c r="L24" s="8"/>
    </row>
    <row r="25" spans="1:18" x14ac:dyDescent="0.25">
      <c r="A25" s="8"/>
      <c r="B25" s="8" t="s">
        <v>198</v>
      </c>
      <c r="C25" s="8"/>
      <c r="D25" s="8"/>
      <c r="E25" s="8"/>
      <c r="F25" s="8"/>
      <c r="G25" s="8"/>
      <c r="H25" s="8"/>
      <c r="I25" s="8"/>
      <c r="J25" s="8"/>
      <c r="K25" s="8"/>
      <c r="L25" s="8"/>
    </row>
    <row r="26" spans="1:18" x14ac:dyDescent="0.25">
      <c r="A26" s="8"/>
      <c r="B26" s="8"/>
      <c r="C26" s="8"/>
      <c r="D26" s="8"/>
      <c r="E26" s="8"/>
      <c r="F26" s="8"/>
      <c r="G26" s="8"/>
      <c r="H26" s="8"/>
      <c r="I26" s="8"/>
      <c r="J26" s="8"/>
      <c r="K26" s="8"/>
      <c r="L26" s="8"/>
    </row>
    <row r="27" spans="1:18" x14ac:dyDescent="0.25">
      <c r="A27" s="59" t="s">
        <v>199</v>
      </c>
      <c r="B27" s="8"/>
      <c r="C27" s="8"/>
      <c r="D27" s="8"/>
      <c r="E27" s="8"/>
      <c r="F27" s="8"/>
      <c r="G27" s="8"/>
      <c r="H27" s="8"/>
      <c r="I27" s="8"/>
      <c r="J27" s="8"/>
      <c r="K27" s="8"/>
      <c r="L27" s="8"/>
    </row>
    <row r="28" spans="1:18" x14ac:dyDescent="0.25">
      <c r="A28" s="8"/>
      <c r="B28" s="8"/>
      <c r="C28" s="8"/>
      <c r="D28" s="8"/>
      <c r="E28" s="8"/>
      <c r="F28" s="8"/>
      <c r="G28" s="8"/>
      <c r="H28" s="8"/>
      <c r="I28" s="8"/>
      <c r="J28" s="8"/>
      <c r="K28" s="8"/>
      <c r="L28" s="8"/>
    </row>
    <row r="29" spans="1:18" x14ac:dyDescent="0.25">
      <c r="A29" s="6"/>
      <c r="B29" s="6"/>
      <c r="C29" s="6"/>
      <c r="D29" s="6"/>
      <c r="E29" s="6"/>
      <c r="F29" s="6"/>
      <c r="G29" s="6"/>
      <c r="H29" s="6"/>
      <c r="I29" s="6"/>
      <c r="J29" s="6"/>
      <c r="K29" s="6"/>
      <c r="L29" s="6"/>
    </row>
    <row r="30" spans="1:18" x14ac:dyDescent="0.25">
      <c r="A30" s="5" t="s">
        <v>4</v>
      </c>
      <c r="B30" s="8" t="s">
        <v>205</v>
      </c>
      <c r="C30" s="4"/>
      <c r="D30" s="4"/>
      <c r="E30" s="4"/>
      <c r="F30" s="4"/>
      <c r="G30" s="4"/>
      <c r="H30" s="4"/>
      <c r="I30" s="4"/>
      <c r="J30" s="4"/>
      <c r="K30" s="4"/>
      <c r="L30" s="4"/>
      <c r="M30" s="7"/>
      <c r="N30" s="7"/>
      <c r="O30" s="7"/>
      <c r="P30" s="7"/>
      <c r="Q30" s="7"/>
      <c r="R30" s="7"/>
    </row>
    <row r="31" spans="1:18" x14ac:dyDescent="0.25">
      <c r="A31" s="6"/>
      <c r="B31" s="6"/>
      <c r="C31" s="6"/>
      <c r="D31" s="6"/>
      <c r="E31" s="6"/>
      <c r="F31" s="6"/>
      <c r="G31" s="6"/>
      <c r="H31" s="6"/>
      <c r="I31" s="6"/>
      <c r="J31" s="6"/>
      <c r="K31" s="6"/>
      <c r="L31" s="6"/>
      <c r="M31" s="6"/>
    </row>
    <row r="32" spans="1:18" x14ac:dyDescent="0.25">
      <c r="A32" s="6" t="s">
        <v>1</v>
      </c>
      <c r="B32" s="6"/>
      <c r="C32" s="6"/>
      <c r="D32" s="6"/>
      <c r="E32" s="6"/>
      <c r="F32" s="6"/>
      <c r="G32" s="6"/>
      <c r="H32" s="6"/>
      <c r="I32" s="6"/>
      <c r="J32" s="6"/>
      <c r="K32" s="6"/>
      <c r="L32" s="6"/>
      <c r="M32" s="6"/>
      <c r="N32" s="7"/>
    </row>
    <row r="33" spans="1:14" x14ac:dyDescent="0.25">
      <c r="A33" s="6"/>
      <c r="B33" s="6"/>
      <c r="C33" s="6"/>
      <c r="D33" s="6"/>
      <c r="E33" s="6"/>
      <c r="F33" s="6"/>
      <c r="G33" s="6"/>
      <c r="H33" s="6"/>
      <c r="I33" s="6"/>
      <c r="J33" s="6"/>
      <c r="K33" s="6"/>
      <c r="L33" s="6"/>
      <c r="M33" s="6"/>
      <c r="N33" s="7"/>
    </row>
    <row r="34" spans="1:14" x14ac:dyDescent="0.25">
      <c r="A34" s="6" t="s">
        <v>421</v>
      </c>
      <c r="B34" s="6"/>
      <c r="C34" s="6"/>
      <c r="D34" s="6"/>
      <c r="E34" s="6"/>
      <c r="F34" s="6"/>
      <c r="G34" s="6"/>
      <c r="H34" s="6"/>
      <c r="I34" s="6"/>
      <c r="J34" s="6"/>
      <c r="K34" s="6"/>
      <c r="L34" s="6"/>
      <c r="M34" s="6"/>
      <c r="N34" s="7"/>
    </row>
    <row r="36" spans="1:14" x14ac:dyDescent="0.25">
      <c r="A36" s="5" t="s">
        <v>5</v>
      </c>
      <c r="B36" s="8" t="s">
        <v>206</v>
      </c>
      <c r="C36" s="4"/>
      <c r="D36" s="4"/>
      <c r="E36" s="4"/>
      <c r="F36" s="4"/>
      <c r="G36" s="4"/>
      <c r="H36" s="4"/>
      <c r="I36" s="4"/>
      <c r="J36" s="4"/>
      <c r="K36" s="4"/>
      <c r="L36" s="4"/>
    </row>
    <row r="37" spans="1:14" x14ac:dyDescent="0.25">
      <c r="A37" s="6"/>
      <c r="B37" s="6"/>
      <c r="C37" s="6"/>
      <c r="D37" s="6"/>
      <c r="E37" s="6"/>
      <c r="F37" s="6"/>
      <c r="G37" s="6"/>
      <c r="H37" s="6"/>
      <c r="I37" s="6"/>
      <c r="J37" s="6"/>
      <c r="K37" s="6"/>
      <c r="L37" s="6"/>
    </row>
    <row r="38" spans="1:14" x14ac:dyDescent="0.25">
      <c r="A38" s="6" t="s">
        <v>1</v>
      </c>
      <c r="B38" s="6"/>
      <c r="C38" s="6"/>
      <c r="D38" s="6"/>
      <c r="E38" s="6"/>
      <c r="F38" s="6"/>
      <c r="G38" s="6"/>
      <c r="H38" s="6"/>
      <c r="I38" s="6"/>
      <c r="J38" s="6"/>
      <c r="K38" s="6"/>
      <c r="L38" s="6"/>
    </row>
    <row r="39" spans="1:14" x14ac:dyDescent="0.25">
      <c r="A39" s="6"/>
      <c r="B39" s="6"/>
      <c r="C39" s="6"/>
      <c r="D39" s="6"/>
      <c r="E39" s="6"/>
      <c r="F39" s="6"/>
      <c r="G39" s="6"/>
      <c r="H39" s="6"/>
      <c r="I39" s="6"/>
      <c r="J39" s="6"/>
      <c r="K39" s="6"/>
      <c r="L39" s="6"/>
    </row>
    <row r="40" spans="1:14" x14ac:dyDescent="0.25">
      <c r="A40" s="6" t="s">
        <v>422</v>
      </c>
      <c r="B40" s="6"/>
      <c r="C40" s="6"/>
      <c r="D40" s="6"/>
      <c r="E40" s="6"/>
      <c r="F40" s="6"/>
      <c r="G40" s="6"/>
      <c r="H40" s="6"/>
      <c r="I40" s="6"/>
      <c r="J40" s="6"/>
      <c r="K40" s="6"/>
      <c r="L40" s="6"/>
    </row>
    <row r="41" spans="1:14" x14ac:dyDescent="0.25">
      <c r="A41" s="6"/>
      <c r="B41" s="6"/>
      <c r="C41" s="6"/>
      <c r="D41" s="6"/>
      <c r="E41" s="6"/>
      <c r="F41" s="6"/>
      <c r="G41" s="6"/>
      <c r="H41" s="6"/>
      <c r="I41" s="6"/>
      <c r="J41" s="6"/>
      <c r="K41" s="6"/>
      <c r="L41" s="6"/>
    </row>
    <row r="42" spans="1:14" x14ac:dyDescent="0.25">
      <c r="A42" s="171" t="s">
        <v>423</v>
      </c>
      <c r="B42" s="6"/>
      <c r="C42" s="6"/>
      <c r="D42" s="6"/>
      <c r="E42" s="6"/>
      <c r="F42" s="6"/>
      <c r="G42" s="6"/>
      <c r="H42" s="6"/>
      <c r="I42" s="6"/>
      <c r="J42" s="6"/>
      <c r="K42" s="6"/>
      <c r="L42" s="6"/>
    </row>
    <row r="44" spans="1:14" x14ac:dyDescent="0.25">
      <c r="A44" s="5" t="s">
        <v>0</v>
      </c>
      <c r="B44" s="8" t="s">
        <v>207</v>
      </c>
      <c r="C44" s="4"/>
      <c r="D44" s="4"/>
      <c r="E44" s="4"/>
      <c r="F44" s="4"/>
      <c r="G44" s="4"/>
      <c r="H44" s="4"/>
      <c r="I44" s="4"/>
      <c r="J44" s="4"/>
      <c r="K44" s="4"/>
      <c r="L44" s="4"/>
    </row>
    <row r="45" spans="1:14" x14ac:dyDescent="0.25">
      <c r="A45" s="6"/>
      <c r="B45" s="6"/>
      <c r="C45" s="6"/>
      <c r="D45" s="6"/>
      <c r="E45" s="6"/>
      <c r="F45" s="6"/>
      <c r="G45" s="6"/>
      <c r="H45" s="6"/>
      <c r="I45" s="6"/>
      <c r="J45" s="6"/>
      <c r="K45" s="6"/>
      <c r="L45" s="6"/>
    </row>
    <row r="46" spans="1:14" x14ac:dyDescent="0.25">
      <c r="A46" s="6" t="s">
        <v>1</v>
      </c>
      <c r="B46" s="6"/>
      <c r="C46" s="6"/>
      <c r="D46" s="6"/>
      <c r="E46" s="6"/>
      <c r="F46" s="6"/>
      <c r="G46" s="6"/>
      <c r="H46" s="6"/>
      <c r="I46" s="6"/>
      <c r="J46" s="6"/>
      <c r="K46" s="6"/>
      <c r="L46" s="6"/>
    </row>
    <row r="48" spans="1:14" x14ac:dyDescent="0.25">
      <c r="A48" s="6" t="s">
        <v>435</v>
      </c>
    </row>
    <row r="50" spans="1:12" x14ac:dyDescent="0.25">
      <c r="B50" s="173" t="s">
        <v>13</v>
      </c>
      <c r="C50" s="221" t="s">
        <v>15</v>
      </c>
      <c r="D50" s="221"/>
      <c r="E50" s="221"/>
      <c r="F50" s="221"/>
      <c r="G50" s="221"/>
      <c r="H50" s="221"/>
      <c r="I50" s="221"/>
    </row>
    <row r="51" spans="1:12" x14ac:dyDescent="0.25">
      <c r="A51" s="6"/>
      <c r="B51" s="174" t="s">
        <v>14</v>
      </c>
      <c r="C51" s="174">
        <v>12</v>
      </c>
      <c r="D51" s="174">
        <v>24</v>
      </c>
      <c r="E51" s="174">
        <v>36</v>
      </c>
      <c r="F51" s="174">
        <v>48</v>
      </c>
      <c r="G51" s="174">
        <v>60</v>
      </c>
      <c r="H51" s="174">
        <v>72</v>
      </c>
      <c r="I51" s="174">
        <v>84</v>
      </c>
      <c r="J51" s="74"/>
      <c r="K51" s="80" t="s">
        <v>428</v>
      </c>
      <c r="L51" s="79"/>
    </row>
    <row r="52" spans="1:12" x14ac:dyDescent="0.25">
      <c r="A52" s="6"/>
      <c r="B52" s="74">
        <f t="shared" ref="B52:I52" si="0">B7</f>
        <v>2016</v>
      </c>
      <c r="C52" s="81">
        <f t="shared" si="0"/>
        <v>1826</v>
      </c>
      <c r="D52" s="81">
        <f t="shared" si="0"/>
        <v>2742</v>
      </c>
      <c r="E52" s="81">
        <f t="shared" si="0"/>
        <v>2948</v>
      </c>
      <c r="F52" s="81">
        <f t="shared" si="0"/>
        <v>3174</v>
      </c>
      <c r="G52" s="81">
        <f t="shared" si="0"/>
        <v>3239</v>
      </c>
      <c r="H52" s="81">
        <f t="shared" si="0"/>
        <v>3248</v>
      </c>
      <c r="I52" s="81">
        <f t="shared" si="0"/>
        <v>3248</v>
      </c>
      <c r="J52" s="74"/>
      <c r="K52" s="74"/>
      <c r="L52" s="79"/>
    </row>
    <row r="53" spans="1:12" x14ac:dyDescent="0.25">
      <c r="A53" s="6"/>
      <c r="B53" s="74">
        <f t="shared" ref="B53:H53" si="1">B8</f>
        <v>2017</v>
      </c>
      <c r="C53" s="81">
        <f t="shared" si="1"/>
        <v>2296</v>
      </c>
      <c r="D53" s="81">
        <f t="shared" si="1"/>
        <v>3656</v>
      </c>
      <c r="E53" s="81">
        <f t="shared" si="1"/>
        <v>3928</v>
      </c>
      <c r="F53" s="81">
        <f t="shared" si="1"/>
        <v>4230</v>
      </c>
      <c r="G53" s="81">
        <f t="shared" si="1"/>
        <v>4458</v>
      </c>
      <c r="H53" s="81">
        <f t="shared" si="1"/>
        <v>4506</v>
      </c>
      <c r="I53" s="81"/>
      <c r="J53" s="74"/>
      <c r="K53" s="74"/>
      <c r="L53" s="79"/>
    </row>
    <row r="54" spans="1:12" x14ac:dyDescent="0.25">
      <c r="A54" s="6"/>
      <c r="B54" s="74">
        <f t="shared" ref="B54:G54" si="2">B9</f>
        <v>2018</v>
      </c>
      <c r="C54" s="81">
        <f t="shared" si="2"/>
        <v>3064</v>
      </c>
      <c r="D54" s="81">
        <f t="shared" si="2"/>
        <v>4932</v>
      </c>
      <c r="E54" s="81">
        <f t="shared" si="2"/>
        <v>5465</v>
      </c>
      <c r="F54" s="81">
        <f t="shared" si="2"/>
        <v>6104</v>
      </c>
      <c r="G54" s="81">
        <f t="shared" si="2"/>
        <v>6373</v>
      </c>
      <c r="H54" s="81"/>
      <c r="I54" s="81"/>
      <c r="J54" s="74"/>
      <c r="K54" s="74"/>
      <c r="L54" s="79"/>
    </row>
    <row r="55" spans="1:12" x14ac:dyDescent="0.25">
      <c r="A55" s="6"/>
      <c r="B55" s="74">
        <f t="shared" ref="B55:D56" si="3">B10</f>
        <v>2019</v>
      </c>
      <c r="C55" s="81">
        <f t="shared" si="3"/>
        <v>2327</v>
      </c>
      <c r="D55" s="81">
        <f t="shared" si="3"/>
        <v>3675</v>
      </c>
      <c r="E55" s="172">
        <f>E10-$K55</f>
        <v>4022</v>
      </c>
      <c r="F55" s="172">
        <f>F10-$K55</f>
        <v>4624</v>
      </c>
      <c r="G55" s="74"/>
      <c r="H55" s="74"/>
      <c r="I55" s="74"/>
      <c r="J55" s="74"/>
      <c r="K55" s="74">
        <f>F22/1000</f>
        <v>500</v>
      </c>
      <c r="L55" s="79"/>
    </row>
    <row r="56" spans="1:12" x14ac:dyDescent="0.25">
      <c r="A56" s="6"/>
      <c r="B56" s="74">
        <f t="shared" si="3"/>
        <v>2020</v>
      </c>
      <c r="C56" s="81">
        <f t="shared" si="3"/>
        <v>2691</v>
      </c>
      <c r="D56" s="81">
        <f t="shared" si="3"/>
        <v>4495</v>
      </c>
      <c r="E56" s="81">
        <f>E11</f>
        <v>4924</v>
      </c>
      <c r="F56" s="74"/>
      <c r="G56" s="74"/>
      <c r="H56" s="74"/>
      <c r="I56" s="74"/>
      <c r="J56" s="74"/>
      <c r="K56" s="74"/>
      <c r="L56" s="79"/>
    </row>
    <row r="57" spans="1:12" x14ac:dyDescent="0.25">
      <c r="A57" s="6"/>
      <c r="B57" s="74">
        <f>B12</f>
        <v>2021</v>
      </c>
      <c r="C57" s="81">
        <f>C12</f>
        <v>2497</v>
      </c>
      <c r="D57" s="172">
        <f>D12-K57</f>
        <v>4025</v>
      </c>
      <c r="E57" s="74"/>
      <c r="F57" s="74"/>
      <c r="G57" s="74"/>
      <c r="H57" s="74"/>
      <c r="I57" s="74"/>
      <c r="J57" s="74"/>
      <c r="K57" s="81">
        <f>F24/1000</f>
        <v>1000</v>
      </c>
      <c r="L57" s="79"/>
    </row>
    <row r="58" spans="1:12" x14ac:dyDescent="0.25">
      <c r="A58" s="6"/>
      <c r="B58" s="74">
        <f>B13</f>
        <v>2022</v>
      </c>
      <c r="C58" s="81">
        <f>C13</f>
        <v>3740</v>
      </c>
      <c r="D58" s="74"/>
      <c r="E58" s="74"/>
      <c r="F58" s="74"/>
      <c r="G58" s="74"/>
      <c r="H58" s="74"/>
      <c r="I58" s="74"/>
      <c r="J58" s="74"/>
      <c r="K58" s="74"/>
      <c r="L58" s="79"/>
    </row>
    <row r="59" spans="1:12" x14ac:dyDescent="0.25">
      <c r="A59" s="6"/>
      <c r="B59" s="6"/>
      <c r="C59" s="6"/>
      <c r="D59" s="6"/>
      <c r="E59" s="6"/>
      <c r="F59" s="6"/>
      <c r="G59" s="6"/>
      <c r="H59" s="6"/>
      <c r="I59" s="6"/>
      <c r="J59" s="6"/>
      <c r="K59" s="6"/>
    </row>
    <row r="60" spans="1:12" x14ac:dyDescent="0.25">
      <c r="A60" s="6"/>
      <c r="B60" s="6"/>
      <c r="C60" s="6"/>
      <c r="D60" s="6"/>
      <c r="E60" s="6"/>
      <c r="F60" s="6"/>
      <c r="G60" s="6"/>
      <c r="H60" s="6"/>
      <c r="I60" s="6"/>
      <c r="J60" s="6"/>
      <c r="K60" s="6"/>
    </row>
    <row r="61" spans="1:12" x14ac:dyDescent="0.25">
      <c r="A61" s="6" t="s">
        <v>429</v>
      </c>
      <c r="B61" s="6"/>
      <c r="C61" s="6"/>
      <c r="D61" s="6"/>
      <c r="E61" s="6"/>
      <c r="F61" s="6"/>
      <c r="G61" s="6"/>
      <c r="H61" s="6"/>
      <c r="I61" s="6"/>
      <c r="J61" s="6"/>
      <c r="K61" s="6"/>
    </row>
    <row r="62" spans="1:12" x14ac:dyDescent="0.25">
      <c r="A62" s="6"/>
      <c r="B62" s="6"/>
      <c r="C62" s="175" t="s">
        <v>204</v>
      </c>
      <c r="D62" s="175" t="s">
        <v>190</v>
      </c>
      <c r="E62" s="176" t="s">
        <v>191</v>
      </c>
      <c r="F62" s="176" t="s">
        <v>192</v>
      </c>
      <c r="G62" s="176" t="s">
        <v>193</v>
      </c>
      <c r="H62" s="176" t="s">
        <v>194</v>
      </c>
      <c r="I62" s="6"/>
      <c r="J62" s="6"/>
      <c r="K62" s="6"/>
    </row>
    <row r="63" spans="1:12" x14ac:dyDescent="0.25">
      <c r="A63" s="6"/>
      <c r="B63" s="6"/>
      <c r="C63" s="113">
        <f t="shared" ref="C63:H63" si="4">D52/C52</f>
        <v>1.5016429353778751</v>
      </c>
      <c r="D63" s="113">
        <f t="shared" si="4"/>
        <v>1.075127644055434</v>
      </c>
      <c r="E63" s="113">
        <f t="shared" si="4"/>
        <v>1.0766621438263229</v>
      </c>
      <c r="F63" s="113">
        <f t="shared" si="4"/>
        <v>1.0204788909892879</v>
      </c>
      <c r="G63" s="113">
        <f t="shared" si="4"/>
        <v>1.0027786353812904</v>
      </c>
      <c r="H63" s="113">
        <f t="shared" si="4"/>
        <v>1</v>
      </c>
      <c r="I63" s="6"/>
      <c r="J63" s="6"/>
      <c r="K63" s="6"/>
    </row>
    <row r="64" spans="1:12" x14ac:dyDescent="0.25">
      <c r="A64" s="6"/>
      <c r="B64" s="6"/>
      <c r="C64" s="113">
        <f>D53/C53</f>
        <v>1.5923344947735192</v>
      </c>
      <c r="D64" s="113">
        <f>E53/D53</f>
        <v>1.074398249452954</v>
      </c>
      <c r="E64" s="113">
        <f>F53/E53</f>
        <v>1.0768839103869654</v>
      </c>
      <c r="F64" s="113">
        <f>G53/F53</f>
        <v>1.0539007092198582</v>
      </c>
      <c r="G64" s="113">
        <f>H53/G53</f>
        <v>1.0107671601615074</v>
      </c>
      <c r="H64" s="113"/>
      <c r="I64" s="6"/>
      <c r="J64" s="6"/>
      <c r="K64" s="6"/>
    </row>
    <row r="65" spans="1:14" x14ac:dyDescent="0.25">
      <c r="A65" s="6"/>
      <c r="B65" s="6"/>
      <c r="C65" s="113">
        <f>D54/C54</f>
        <v>1.6096605744125327</v>
      </c>
      <c r="D65" s="113">
        <f>E54/D54</f>
        <v>1.1080697485806974</v>
      </c>
      <c r="E65" s="113">
        <f>F54/E54</f>
        <v>1.1169258920402563</v>
      </c>
      <c r="F65" s="113">
        <f>G54/F54</f>
        <v>1.0440694626474443</v>
      </c>
      <c r="G65" s="113"/>
      <c r="H65" s="113"/>
      <c r="I65" s="6"/>
      <c r="J65" s="6"/>
      <c r="K65" s="6"/>
    </row>
    <row r="66" spans="1:14" x14ac:dyDescent="0.25">
      <c r="A66" s="6"/>
      <c r="B66" s="6"/>
      <c r="C66" s="113">
        <f>D55/C55</f>
        <v>1.579286635152557</v>
      </c>
      <c r="D66" s="113">
        <f>E55/D55</f>
        <v>1.0944217687074831</v>
      </c>
      <c r="E66" s="113">
        <f>F55/E55</f>
        <v>1.1496767777225261</v>
      </c>
      <c r="F66" s="113"/>
      <c r="G66" s="113"/>
      <c r="H66" s="113"/>
      <c r="I66" s="6"/>
      <c r="J66" s="6"/>
      <c r="K66" s="6"/>
    </row>
    <row r="67" spans="1:14" x14ac:dyDescent="0.25">
      <c r="A67" s="6"/>
      <c r="B67" s="6"/>
      <c r="C67" s="113">
        <f>D56/C56</f>
        <v>1.6703827573392791</v>
      </c>
      <c r="D67" s="113">
        <f>E56/D56</f>
        <v>1.0954393770856508</v>
      </c>
      <c r="E67" s="113"/>
      <c r="F67" s="74"/>
      <c r="G67" s="113"/>
      <c r="H67" s="113"/>
      <c r="I67" s="6"/>
      <c r="J67" s="6"/>
      <c r="K67" s="6"/>
    </row>
    <row r="68" spans="1:14" x14ac:dyDescent="0.25">
      <c r="A68" s="171"/>
      <c r="B68" s="6"/>
      <c r="C68" s="113">
        <f>D57/C57</f>
        <v>1.6119343211854225</v>
      </c>
      <c r="D68" s="113"/>
      <c r="E68" s="113"/>
      <c r="F68" s="113"/>
      <c r="G68" s="113"/>
      <c r="H68" s="113"/>
      <c r="I68" s="6"/>
      <c r="J68" s="6"/>
      <c r="K68" s="6"/>
    </row>
    <row r="69" spans="1:14" x14ac:dyDescent="0.25">
      <c r="A69" s="6" t="s">
        <v>430</v>
      </c>
      <c r="B69" s="6"/>
      <c r="C69" s="113">
        <f t="shared" ref="C69:H69" si="5">AVERAGE(C63:C68)</f>
        <v>1.5942069530401977</v>
      </c>
      <c r="D69" s="113">
        <f t="shared" si="5"/>
        <v>1.0894913575764438</v>
      </c>
      <c r="E69" s="113">
        <f t="shared" si="5"/>
        <v>1.1050371809940176</v>
      </c>
      <c r="F69" s="113">
        <f t="shared" si="5"/>
        <v>1.0394830209521968</v>
      </c>
      <c r="G69" s="113">
        <f t="shared" si="5"/>
        <v>1.0067728977713988</v>
      </c>
      <c r="H69" s="113">
        <f t="shared" si="5"/>
        <v>1</v>
      </c>
      <c r="I69" s="6"/>
      <c r="J69" s="6"/>
      <c r="K69" s="6"/>
    </row>
    <row r="70" spans="1:14" x14ac:dyDescent="0.25">
      <c r="A70" s="6" t="s">
        <v>431</v>
      </c>
      <c r="B70" s="6"/>
      <c r="C70" s="113">
        <f>SUM(D52:D57)/SUM(C52:C57)</f>
        <v>1.6002312767838922</v>
      </c>
      <c r="D70" s="113">
        <f>SUM(E52:E56)/SUM(D52:D56)</f>
        <v>1.0916410256410256</v>
      </c>
      <c r="E70" s="113">
        <f>SUM(F52:F55)/SUM(E52:E55)</f>
        <v>1.1081097598239931</v>
      </c>
      <c r="F70" s="113">
        <f>SUM(G52:G54)/SUM(F52:F54)</f>
        <v>1.0416049748297305</v>
      </c>
      <c r="G70" s="113">
        <f>SUM(H52:H53)/SUM(G52:G53)</f>
        <v>1.0074054826555801</v>
      </c>
      <c r="H70" s="113">
        <f>SUM(I52)/SUM(H52)</f>
        <v>1</v>
      </c>
      <c r="I70" s="6"/>
      <c r="J70" s="6"/>
      <c r="K70" s="6"/>
    </row>
    <row r="71" spans="1:14" x14ac:dyDescent="0.25">
      <c r="A71" s="6" t="s">
        <v>424</v>
      </c>
      <c r="B71" s="6"/>
      <c r="C71" s="113"/>
      <c r="D71" s="113"/>
      <c r="E71" s="113"/>
      <c r="F71" s="113"/>
      <c r="G71" s="113"/>
      <c r="H71" s="113"/>
      <c r="I71" s="6"/>
      <c r="J71" s="6"/>
      <c r="K71" s="6"/>
    </row>
    <row r="72" spans="1:14" x14ac:dyDescent="0.25">
      <c r="A72" s="100" t="s">
        <v>425</v>
      </c>
      <c r="B72" s="6"/>
      <c r="C72" s="113">
        <f>C69</f>
        <v>1.5942069530401977</v>
      </c>
      <c r="D72" s="113">
        <f t="shared" ref="D72:H72" si="6">D69</f>
        <v>1.0894913575764438</v>
      </c>
      <c r="E72" s="113">
        <f t="shared" si="6"/>
        <v>1.1050371809940176</v>
      </c>
      <c r="F72" s="113">
        <f t="shared" si="6"/>
        <v>1.0394830209521968</v>
      </c>
      <c r="G72" s="113">
        <f t="shared" si="6"/>
        <v>1.0067728977713988</v>
      </c>
      <c r="H72" s="113">
        <f t="shared" si="6"/>
        <v>1</v>
      </c>
      <c r="I72" s="6"/>
      <c r="J72" s="6"/>
      <c r="K72" s="6"/>
    </row>
    <row r="73" spans="1:14" x14ac:dyDescent="0.25">
      <c r="A73" s="100" t="s">
        <v>426</v>
      </c>
      <c r="B73" s="6"/>
      <c r="C73" s="113">
        <f>D73*C72</f>
        <v>2.0086038701975282</v>
      </c>
      <c r="D73" s="113">
        <f>E73*D72</f>
        <v>1.2599392233028865</v>
      </c>
      <c r="E73" s="113">
        <f>F73*E72</f>
        <v>1.1564471939507637</v>
      </c>
      <c r="F73" s="113">
        <f>G73*F72</f>
        <v>1.0465233331882109</v>
      </c>
      <c r="G73" s="113">
        <f>H73*G72</f>
        <v>1.0067728977713988</v>
      </c>
      <c r="H73" s="113">
        <f>H72</f>
        <v>1</v>
      </c>
      <c r="I73" s="6"/>
      <c r="J73" s="6"/>
      <c r="K73" s="6"/>
    </row>
    <row r="74" spans="1:14" x14ac:dyDescent="0.25">
      <c r="M74" s="6"/>
      <c r="N74" s="6"/>
    </row>
    <row r="75" spans="1:14" ht="47.25" x14ac:dyDescent="0.25">
      <c r="B75" s="76" t="s">
        <v>238</v>
      </c>
      <c r="C75" s="92" t="s">
        <v>48</v>
      </c>
      <c r="D75" s="92" t="s">
        <v>427</v>
      </c>
      <c r="E75" s="92" t="s">
        <v>163</v>
      </c>
      <c r="M75" s="6"/>
      <c r="N75" s="6"/>
    </row>
    <row r="76" spans="1:14" x14ac:dyDescent="0.25">
      <c r="B76" s="74">
        <f t="shared" ref="B76:B82" si="7">B52</f>
        <v>2016</v>
      </c>
      <c r="C76" s="99">
        <f t="shared" ref="C76:C82" ca="1" si="8">OFFSET($I$52,(B76-$B$76),($B$76-B76),1,1)</f>
        <v>3248</v>
      </c>
      <c r="D76" s="113">
        <v>1</v>
      </c>
      <c r="E76" s="99">
        <f ca="1">D76*C76</f>
        <v>3248</v>
      </c>
      <c r="M76" s="6"/>
      <c r="N76" s="6"/>
    </row>
    <row r="77" spans="1:14" x14ac:dyDescent="0.25">
      <c r="B77" s="74">
        <f t="shared" si="7"/>
        <v>2017</v>
      </c>
      <c r="C77" s="99">
        <f t="shared" ca="1" si="8"/>
        <v>4506</v>
      </c>
      <c r="D77" s="113">
        <f t="shared" ref="D77:D82" ca="1" si="9">OFFSET($H$73,0,($B$76-B76),1,1)</f>
        <v>1</v>
      </c>
      <c r="E77" s="99">
        <f t="shared" ref="E77:E82" ca="1" si="10">D77*C77</f>
        <v>4506</v>
      </c>
      <c r="M77" s="6"/>
      <c r="N77" s="6"/>
    </row>
    <row r="78" spans="1:14" x14ac:dyDescent="0.25">
      <c r="B78" s="74">
        <f t="shared" si="7"/>
        <v>2018</v>
      </c>
      <c r="C78" s="99">
        <f t="shared" ca="1" si="8"/>
        <v>6373</v>
      </c>
      <c r="D78" s="113">
        <f t="shared" ca="1" si="9"/>
        <v>1.0067728977713988</v>
      </c>
      <c r="E78" s="99">
        <f t="shared" ca="1" si="10"/>
        <v>6416.1636774971248</v>
      </c>
      <c r="M78" s="6"/>
      <c r="N78" s="6"/>
    </row>
    <row r="79" spans="1:14" x14ac:dyDescent="0.25">
      <c r="B79" s="74">
        <f t="shared" si="7"/>
        <v>2019</v>
      </c>
      <c r="C79" s="99">
        <f t="shared" ca="1" si="8"/>
        <v>4624</v>
      </c>
      <c r="D79" s="113">
        <f t="shared" ca="1" si="9"/>
        <v>1.0465233331882109</v>
      </c>
      <c r="E79" s="99">
        <f t="shared" ca="1" si="10"/>
        <v>4839.1238926622873</v>
      </c>
      <c r="M79" s="6"/>
      <c r="N79" s="6"/>
    </row>
    <row r="80" spans="1:14" x14ac:dyDescent="0.25">
      <c r="B80" s="74">
        <f t="shared" si="7"/>
        <v>2020</v>
      </c>
      <c r="C80" s="99">
        <f t="shared" ca="1" si="8"/>
        <v>4924</v>
      </c>
      <c r="D80" s="113">
        <f t="shared" ca="1" si="9"/>
        <v>1.1564471939507637</v>
      </c>
      <c r="E80" s="99">
        <f t="shared" ca="1" si="10"/>
        <v>5694.3459830135607</v>
      </c>
      <c r="M80" s="6"/>
      <c r="N80" s="6"/>
    </row>
    <row r="81" spans="1:14" x14ac:dyDescent="0.25">
      <c r="B81" s="74">
        <f t="shared" si="7"/>
        <v>2021</v>
      </c>
      <c r="C81" s="99">
        <f t="shared" ca="1" si="8"/>
        <v>4025</v>
      </c>
      <c r="D81" s="113">
        <f t="shared" ca="1" si="9"/>
        <v>1.2599392233028865</v>
      </c>
      <c r="E81" s="99">
        <f t="shared" ca="1" si="10"/>
        <v>5071.255373794118</v>
      </c>
      <c r="F81" s="83"/>
      <c r="M81" s="6"/>
      <c r="N81" s="6"/>
    </row>
    <row r="82" spans="1:14" x14ac:dyDescent="0.25">
      <c r="B82" s="76">
        <f t="shared" si="7"/>
        <v>2022</v>
      </c>
      <c r="C82" s="108">
        <f t="shared" ca="1" si="8"/>
        <v>3740</v>
      </c>
      <c r="D82" s="117">
        <f t="shared" ca="1" si="9"/>
        <v>2.0086038701975282</v>
      </c>
      <c r="E82" s="108">
        <f t="shared" ca="1" si="10"/>
        <v>7512.1784745387549</v>
      </c>
      <c r="M82" s="6"/>
      <c r="N82" s="6"/>
    </row>
    <row r="83" spans="1:14" x14ac:dyDescent="0.25">
      <c r="B83" s="1" t="s">
        <v>432</v>
      </c>
      <c r="C83" s="99"/>
      <c r="E83" s="99">
        <f ca="1">SUM(E76:E82)</f>
        <v>37287.067401505847</v>
      </c>
      <c r="M83" s="6"/>
      <c r="N83" s="6"/>
    </row>
    <row r="84" spans="1:14" x14ac:dyDescent="0.25">
      <c r="B84" s="1" t="s">
        <v>433</v>
      </c>
      <c r="E84" s="99">
        <f ca="1">E83+K55+K57</f>
        <v>38787.067401505847</v>
      </c>
      <c r="M84" s="6"/>
      <c r="N84" s="6"/>
    </row>
    <row r="86" spans="1:14" x14ac:dyDescent="0.25">
      <c r="A86" s="5" t="s">
        <v>2</v>
      </c>
      <c r="B86" s="210" t="s">
        <v>208</v>
      </c>
      <c r="C86" s="210"/>
      <c r="D86" s="210"/>
      <c r="E86" s="210"/>
      <c r="F86" s="210"/>
      <c r="G86" s="210"/>
      <c r="H86" s="210"/>
      <c r="I86" s="210"/>
      <c r="J86" s="210"/>
      <c r="K86" s="210"/>
      <c r="L86" s="4"/>
    </row>
    <row r="87" spans="1:14" x14ac:dyDescent="0.25">
      <c r="A87" s="5"/>
      <c r="B87" s="210"/>
      <c r="C87" s="210"/>
      <c r="D87" s="210"/>
      <c r="E87" s="210"/>
      <c r="F87" s="210"/>
      <c r="G87" s="210"/>
      <c r="H87" s="210"/>
      <c r="I87" s="210"/>
      <c r="J87" s="210"/>
      <c r="K87" s="210"/>
      <c r="L87" s="4"/>
    </row>
    <row r="88" spans="1:14" x14ac:dyDescent="0.25">
      <c r="A88" s="6"/>
      <c r="B88" s="6"/>
      <c r="C88" s="6"/>
      <c r="D88" s="6"/>
      <c r="E88" s="6"/>
      <c r="F88" s="6"/>
      <c r="G88" s="6"/>
      <c r="H88" s="6"/>
      <c r="I88" s="6"/>
      <c r="J88" s="6"/>
      <c r="K88" s="6"/>
      <c r="L88" s="6"/>
    </row>
    <row r="89" spans="1:14" x14ac:dyDescent="0.25">
      <c r="A89" s="6" t="s">
        <v>1</v>
      </c>
      <c r="B89" s="6"/>
      <c r="C89" s="6"/>
      <c r="D89" s="6"/>
      <c r="E89" s="6"/>
      <c r="F89" s="6"/>
      <c r="G89" s="6"/>
      <c r="H89" s="6"/>
      <c r="I89" s="6"/>
      <c r="J89" s="6"/>
      <c r="K89" s="6"/>
      <c r="L89" s="6"/>
    </row>
    <row r="90" spans="1:14" x14ac:dyDescent="0.25">
      <c r="A90" s="6"/>
      <c r="B90" s="6"/>
      <c r="C90" s="6"/>
      <c r="D90" s="6"/>
      <c r="E90" s="6"/>
      <c r="F90" s="6"/>
      <c r="G90" s="6"/>
      <c r="H90" s="6"/>
      <c r="I90" s="6"/>
      <c r="J90" s="6"/>
      <c r="K90" s="6"/>
      <c r="L90" s="6"/>
    </row>
    <row r="91" spans="1:14" x14ac:dyDescent="0.25">
      <c r="A91" s="6" t="s">
        <v>434</v>
      </c>
      <c r="B91" s="6"/>
      <c r="C91" s="6"/>
      <c r="D91" s="6"/>
      <c r="E91" s="6"/>
      <c r="F91" s="6"/>
      <c r="G91" s="6"/>
      <c r="H91" s="6"/>
      <c r="I91" s="6"/>
      <c r="J91" s="6"/>
      <c r="K91" s="6"/>
      <c r="L91" s="6"/>
    </row>
    <row r="94" spans="1:14" x14ac:dyDescent="0.25">
      <c r="M94" s="6"/>
    </row>
    <row r="95" spans="1:14" x14ac:dyDescent="0.25">
      <c r="M95" s="6"/>
    </row>
  </sheetData>
  <mergeCells count="7">
    <mergeCell ref="B86:K87"/>
    <mergeCell ref="C5:I5"/>
    <mergeCell ref="D15:I15"/>
    <mergeCell ref="B15:C15"/>
    <mergeCell ref="B16:C16"/>
    <mergeCell ref="B17:C17"/>
    <mergeCell ref="C50:I50"/>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B786-966E-4D9B-AC58-633D3AFE660D}">
  <dimension ref="A1:R121"/>
  <sheetViews>
    <sheetView zoomScaleNormal="100" workbookViewId="0"/>
  </sheetViews>
  <sheetFormatPr defaultColWidth="8.85546875" defaultRowHeight="15.75" x14ac:dyDescent="0.25"/>
  <cols>
    <col min="1" max="1" width="8.85546875" style="1" customWidth="1"/>
    <col min="2" max="8" width="11.7109375" style="1" customWidth="1"/>
    <col min="9" max="16384" width="8.85546875" style="1"/>
  </cols>
  <sheetData>
    <row r="1" spans="1:18" ht="18.75" x14ac:dyDescent="0.3">
      <c r="A1" s="2" t="s">
        <v>209</v>
      </c>
      <c r="B1" s="4"/>
      <c r="C1" s="8" t="s">
        <v>9</v>
      </c>
      <c r="D1" s="4"/>
      <c r="E1" s="4"/>
      <c r="F1" s="4"/>
      <c r="G1" s="4"/>
      <c r="H1" s="4"/>
      <c r="I1" s="4"/>
      <c r="J1" s="4"/>
      <c r="K1" s="4"/>
      <c r="L1" s="3"/>
    </row>
    <row r="2" spans="1:18" x14ac:dyDescent="0.25">
      <c r="A2" s="4"/>
      <c r="B2" s="4"/>
      <c r="C2" s="4"/>
      <c r="D2" s="4"/>
      <c r="E2" s="4"/>
      <c r="F2" s="4"/>
      <c r="G2" s="4"/>
      <c r="H2" s="4"/>
      <c r="I2" s="4"/>
      <c r="J2" s="4"/>
      <c r="K2" s="4"/>
      <c r="L2" s="3"/>
    </row>
    <row r="3" spans="1:18" x14ac:dyDescent="0.25">
      <c r="A3" s="210" t="s">
        <v>210</v>
      </c>
      <c r="B3" s="210"/>
      <c r="C3" s="210"/>
      <c r="D3" s="210"/>
      <c r="E3" s="210"/>
      <c r="F3" s="210"/>
      <c r="G3" s="210"/>
      <c r="H3" s="210"/>
      <c r="I3" s="210"/>
      <c r="J3" s="210"/>
      <c r="K3" s="210"/>
      <c r="L3" s="3"/>
    </row>
    <row r="4" spans="1:18" x14ac:dyDescent="0.25">
      <c r="A4" s="210"/>
      <c r="B4" s="210"/>
      <c r="C4" s="210"/>
      <c r="D4" s="210"/>
      <c r="E4" s="210"/>
      <c r="F4" s="210"/>
      <c r="G4" s="210"/>
      <c r="H4" s="210"/>
      <c r="I4" s="210"/>
      <c r="J4" s="210"/>
      <c r="K4" s="210"/>
      <c r="L4" s="8"/>
    </row>
    <row r="5" spans="1:18" x14ac:dyDescent="0.25">
      <c r="A5" s="8"/>
      <c r="B5" s="8"/>
      <c r="C5" s="8"/>
      <c r="D5" s="8"/>
      <c r="E5" s="8"/>
      <c r="F5" s="8"/>
      <c r="G5" s="8"/>
      <c r="H5" s="8"/>
      <c r="I5" s="8"/>
      <c r="J5" s="8"/>
      <c r="K5" s="8"/>
      <c r="L5" s="8"/>
    </row>
    <row r="6" spans="1:18" x14ac:dyDescent="0.25">
      <c r="A6" s="6"/>
      <c r="B6" s="6"/>
      <c r="C6" s="6"/>
      <c r="D6" s="6"/>
      <c r="E6" s="6"/>
      <c r="F6" s="6"/>
      <c r="G6" s="6"/>
      <c r="H6" s="6"/>
      <c r="I6" s="6"/>
      <c r="J6" s="6"/>
      <c r="K6" s="6"/>
      <c r="L6" s="6"/>
    </row>
    <row r="7" spans="1:18" x14ac:dyDescent="0.25">
      <c r="A7" s="5" t="s">
        <v>4</v>
      </c>
      <c r="B7" s="8" t="s">
        <v>237</v>
      </c>
      <c r="C7" s="4"/>
      <c r="D7" s="4"/>
      <c r="E7" s="4"/>
      <c r="F7" s="4"/>
      <c r="G7" s="4"/>
      <c r="H7" s="4"/>
      <c r="I7" s="4"/>
      <c r="J7" s="4"/>
      <c r="K7" s="4"/>
      <c r="L7" s="4"/>
      <c r="M7" s="7"/>
      <c r="N7" s="7"/>
      <c r="O7" s="7"/>
      <c r="P7" s="7"/>
      <c r="Q7" s="7"/>
      <c r="R7" s="7"/>
    </row>
    <row r="8" spans="1:18" x14ac:dyDescent="0.25">
      <c r="A8" s="6"/>
      <c r="B8" s="6"/>
      <c r="C8" s="6"/>
      <c r="D8" s="6"/>
      <c r="E8" s="6"/>
      <c r="F8" s="6"/>
      <c r="G8" s="6"/>
      <c r="H8" s="6"/>
      <c r="I8" s="6"/>
      <c r="J8" s="6"/>
      <c r="K8" s="6"/>
      <c r="L8" s="6"/>
      <c r="M8" s="6"/>
    </row>
    <row r="9" spans="1:18" x14ac:dyDescent="0.25">
      <c r="A9" s="6" t="s">
        <v>1</v>
      </c>
      <c r="B9" s="6"/>
      <c r="C9" s="6"/>
      <c r="D9" s="6"/>
      <c r="E9" s="6"/>
      <c r="F9" s="6"/>
      <c r="G9" s="6"/>
      <c r="H9" s="6"/>
      <c r="I9" s="6"/>
      <c r="J9" s="6"/>
      <c r="K9" s="6"/>
      <c r="L9" s="6"/>
      <c r="M9" s="6"/>
      <c r="N9" s="7"/>
    </row>
    <row r="10" spans="1:18" x14ac:dyDescent="0.25">
      <c r="A10" s="6"/>
      <c r="B10" s="6"/>
      <c r="C10" s="6"/>
      <c r="D10" s="6"/>
      <c r="E10" s="6"/>
      <c r="F10" s="6"/>
      <c r="G10" s="6"/>
      <c r="H10" s="6"/>
      <c r="I10" s="6"/>
      <c r="J10" s="6"/>
      <c r="K10" s="6"/>
      <c r="L10" s="6"/>
      <c r="M10" s="6"/>
      <c r="N10" s="7"/>
    </row>
    <row r="11" spans="1:18" x14ac:dyDescent="0.25">
      <c r="A11" s="6" t="s">
        <v>250</v>
      </c>
      <c r="B11" s="6"/>
      <c r="C11" s="6"/>
      <c r="D11" s="6"/>
      <c r="E11" s="6"/>
      <c r="F11" s="6"/>
      <c r="G11" s="6"/>
      <c r="H11" s="6"/>
      <c r="I11" s="6"/>
      <c r="J11" s="6"/>
      <c r="K11" s="6"/>
      <c r="L11" s="6"/>
      <c r="M11" s="6"/>
      <c r="N11" s="7"/>
    </row>
    <row r="12" spans="1:18" x14ac:dyDescent="0.25">
      <c r="A12" s="184" t="s">
        <v>441</v>
      </c>
      <c r="M12" s="7"/>
      <c r="N12" s="7"/>
    </row>
    <row r="13" spans="1:18" x14ac:dyDescent="0.25">
      <c r="A13" s="184" t="s">
        <v>442</v>
      </c>
      <c r="M13" s="7"/>
      <c r="N13" s="7"/>
    </row>
    <row r="14" spans="1:18" x14ac:dyDescent="0.25">
      <c r="A14" s="184" t="s">
        <v>443</v>
      </c>
      <c r="M14" s="7"/>
      <c r="N14" s="7"/>
    </row>
    <row r="15" spans="1:18" x14ac:dyDescent="0.25">
      <c r="A15" s="184" t="s">
        <v>444</v>
      </c>
      <c r="M15" s="7"/>
      <c r="N15" s="7"/>
    </row>
    <row r="16" spans="1:18" x14ac:dyDescent="0.25">
      <c r="A16" s="184" t="s">
        <v>445</v>
      </c>
      <c r="M16" s="7"/>
      <c r="N16" s="7"/>
    </row>
    <row r="17" spans="1:14" x14ac:dyDescent="0.25">
      <c r="A17" s="184" t="s">
        <v>446</v>
      </c>
      <c r="M17" s="7"/>
      <c r="N17" s="7"/>
    </row>
    <row r="18" spans="1:14" x14ac:dyDescent="0.25">
      <c r="M18" s="7"/>
      <c r="N18" s="7"/>
    </row>
    <row r="19" spans="1:14" x14ac:dyDescent="0.25">
      <c r="A19" s="8"/>
      <c r="B19" s="8"/>
      <c r="C19" s="8"/>
      <c r="D19" s="8"/>
      <c r="E19" s="8"/>
      <c r="F19" s="8"/>
      <c r="G19" s="8"/>
      <c r="H19" s="8"/>
      <c r="I19" s="8"/>
      <c r="J19" s="8"/>
      <c r="K19" s="8"/>
      <c r="L19" s="8"/>
    </row>
    <row r="20" spans="1:14" x14ac:dyDescent="0.25">
      <c r="A20" s="59" t="s">
        <v>51</v>
      </c>
      <c r="B20" s="8"/>
      <c r="C20" s="8"/>
      <c r="D20" s="8"/>
      <c r="E20" s="8"/>
      <c r="F20" s="8"/>
      <c r="G20" s="8"/>
      <c r="H20" s="8"/>
      <c r="I20" s="8"/>
      <c r="J20" s="8"/>
      <c r="K20" s="8"/>
      <c r="L20" s="8"/>
    </row>
    <row r="21" spans="1:14" x14ac:dyDescent="0.25">
      <c r="A21" s="8"/>
      <c r="B21" s="8"/>
      <c r="C21" s="8"/>
      <c r="D21" s="8"/>
      <c r="E21" s="8"/>
      <c r="F21" s="8"/>
      <c r="G21" s="8"/>
      <c r="H21" s="8"/>
      <c r="I21" s="8"/>
      <c r="J21" s="8"/>
      <c r="K21" s="8"/>
      <c r="L21" s="8"/>
    </row>
    <row r="22" spans="1:14" x14ac:dyDescent="0.25">
      <c r="A22" s="8"/>
      <c r="B22" s="71" t="s">
        <v>13</v>
      </c>
      <c r="C22" s="207" t="s">
        <v>48</v>
      </c>
      <c r="D22" s="207"/>
      <c r="E22" s="207"/>
      <c r="F22" s="207"/>
      <c r="G22" s="207"/>
      <c r="H22" s="207"/>
      <c r="I22" s="8"/>
      <c r="J22" s="8"/>
      <c r="K22" s="8"/>
      <c r="L22" s="8"/>
    </row>
    <row r="23" spans="1:14" x14ac:dyDescent="0.25">
      <c r="A23" s="8"/>
      <c r="B23" s="72" t="s">
        <v>14</v>
      </c>
      <c r="C23" s="29">
        <v>12</v>
      </c>
      <c r="D23" s="29">
        <v>24</v>
      </c>
      <c r="E23" s="29">
        <v>36</v>
      </c>
      <c r="F23" s="29">
        <v>48</v>
      </c>
      <c r="G23" s="29">
        <v>60</v>
      </c>
      <c r="H23" s="29">
        <v>72</v>
      </c>
      <c r="I23" s="8"/>
      <c r="J23" s="8"/>
      <c r="K23" s="8"/>
      <c r="L23" s="8"/>
    </row>
    <row r="24" spans="1:14" x14ac:dyDescent="0.25">
      <c r="A24" s="8"/>
      <c r="B24" s="30">
        <v>2017</v>
      </c>
      <c r="C24" s="38">
        <v>3258495</v>
      </c>
      <c r="D24" s="38">
        <v>4632313</v>
      </c>
      <c r="E24" s="38">
        <v>5665417</v>
      </c>
      <c r="F24" s="38">
        <v>6660535</v>
      </c>
      <c r="G24" s="38">
        <v>7372368</v>
      </c>
      <c r="H24" s="38">
        <v>7702277</v>
      </c>
      <c r="I24" s="8"/>
      <c r="J24" s="8"/>
      <c r="K24" s="8"/>
      <c r="L24" s="8"/>
    </row>
    <row r="25" spans="1:14" x14ac:dyDescent="0.25">
      <c r="A25" s="8"/>
      <c r="B25" s="30">
        <v>2018</v>
      </c>
      <c r="C25" s="38">
        <v>3556049</v>
      </c>
      <c r="D25" s="38">
        <v>4925302</v>
      </c>
      <c r="E25" s="38">
        <v>6252176</v>
      </c>
      <c r="F25" s="38">
        <v>7431788</v>
      </c>
      <c r="G25" s="38">
        <v>8060259</v>
      </c>
      <c r="H25" s="30"/>
      <c r="I25" s="8"/>
      <c r="J25" s="8"/>
      <c r="K25" s="8"/>
      <c r="L25" s="8"/>
    </row>
    <row r="26" spans="1:14" x14ac:dyDescent="0.25">
      <c r="A26" s="8"/>
      <c r="B26" s="30">
        <v>2019</v>
      </c>
      <c r="C26" s="38">
        <v>3798926</v>
      </c>
      <c r="D26" s="38">
        <v>5378090</v>
      </c>
      <c r="E26" s="38">
        <v>6921131</v>
      </c>
      <c r="F26" s="38">
        <v>8051684</v>
      </c>
      <c r="G26" s="30"/>
      <c r="H26" s="30"/>
      <c r="I26" s="8"/>
      <c r="J26" s="8"/>
      <c r="K26" s="8"/>
      <c r="L26" s="8"/>
    </row>
    <row r="27" spans="1:14" x14ac:dyDescent="0.25">
      <c r="A27" s="8"/>
      <c r="B27" s="30">
        <v>2020</v>
      </c>
      <c r="C27" s="38">
        <v>4174496</v>
      </c>
      <c r="D27" s="38">
        <v>6013059</v>
      </c>
      <c r="E27" s="38">
        <v>7664425</v>
      </c>
      <c r="F27" s="30"/>
      <c r="G27" s="30"/>
      <c r="H27" s="30"/>
      <c r="I27" s="8"/>
      <c r="J27" s="8"/>
      <c r="K27" s="8"/>
      <c r="L27" s="8"/>
    </row>
    <row r="28" spans="1:14" x14ac:dyDescent="0.25">
      <c r="A28" s="8"/>
      <c r="B28" s="30">
        <v>2021</v>
      </c>
      <c r="C28" s="38">
        <v>4854244</v>
      </c>
      <c r="D28" s="38">
        <v>6611842</v>
      </c>
      <c r="E28" s="30"/>
      <c r="F28" s="30"/>
      <c r="G28" s="30"/>
      <c r="H28" s="30"/>
      <c r="I28" s="8"/>
      <c r="J28" s="8"/>
      <c r="K28" s="8"/>
      <c r="L28" s="8"/>
    </row>
    <row r="29" spans="1:14" x14ac:dyDescent="0.25">
      <c r="A29" s="8"/>
      <c r="B29" s="30">
        <v>2022</v>
      </c>
      <c r="C29" s="38">
        <v>5320155</v>
      </c>
      <c r="D29" s="30"/>
      <c r="E29" s="30"/>
      <c r="F29" s="30"/>
      <c r="G29" s="30"/>
      <c r="H29" s="30"/>
      <c r="I29" s="8"/>
      <c r="J29" s="8"/>
      <c r="K29" s="8"/>
      <c r="L29" s="8"/>
    </row>
    <row r="30" spans="1:14" x14ac:dyDescent="0.25">
      <c r="A30" s="8"/>
      <c r="B30" s="8"/>
      <c r="C30" s="8"/>
      <c r="D30" s="8"/>
      <c r="E30" s="8"/>
      <c r="F30" s="8"/>
      <c r="G30" s="8"/>
      <c r="H30" s="8"/>
      <c r="I30" s="8"/>
      <c r="J30" s="8"/>
      <c r="K30" s="8"/>
      <c r="L30" s="8"/>
    </row>
    <row r="31" spans="1:14" x14ac:dyDescent="0.25">
      <c r="A31" s="8"/>
      <c r="B31" s="71" t="s">
        <v>13</v>
      </c>
      <c r="C31" s="207" t="s">
        <v>41</v>
      </c>
      <c r="D31" s="207"/>
      <c r="E31" s="207"/>
      <c r="F31" s="207"/>
      <c r="G31" s="207"/>
      <c r="H31" s="207"/>
      <c r="I31" s="8"/>
      <c r="J31" s="8"/>
      <c r="K31" s="8"/>
      <c r="L31" s="8"/>
    </row>
    <row r="32" spans="1:14" x14ac:dyDescent="0.25">
      <c r="A32" s="8"/>
      <c r="B32" s="72" t="s">
        <v>14</v>
      </c>
      <c r="C32" s="29">
        <v>12</v>
      </c>
      <c r="D32" s="29">
        <v>24</v>
      </c>
      <c r="E32" s="29">
        <v>36</v>
      </c>
      <c r="F32" s="29">
        <v>48</v>
      </c>
      <c r="G32" s="29">
        <v>60</v>
      </c>
      <c r="H32" s="29">
        <v>72</v>
      </c>
      <c r="I32" s="8"/>
      <c r="J32" s="8"/>
      <c r="K32" s="8"/>
      <c r="L32" s="8"/>
    </row>
    <row r="33" spans="1:12" x14ac:dyDescent="0.25">
      <c r="A33" s="8"/>
      <c r="B33" s="30">
        <v>2017</v>
      </c>
      <c r="C33" s="38">
        <v>1227967</v>
      </c>
      <c r="D33" s="38">
        <v>2870190</v>
      </c>
      <c r="E33" s="38">
        <v>4218215</v>
      </c>
      <c r="F33" s="38">
        <v>5649515</v>
      </c>
      <c r="G33" s="38">
        <v>6801540</v>
      </c>
      <c r="H33" s="38">
        <v>7532219</v>
      </c>
      <c r="I33" s="8"/>
      <c r="J33" s="8"/>
      <c r="K33" s="8"/>
      <c r="L33" s="8"/>
    </row>
    <row r="34" spans="1:12" x14ac:dyDescent="0.25">
      <c r="A34" s="8"/>
      <c r="B34" s="30">
        <v>2018</v>
      </c>
      <c r="C34" s="38">
        <v>1254169</v>
      </c>
      <c r="D34" s="38">
        <v>2975612</v>
      </c>
      <c r="E34" s="38">
        <v>4720518</v>
      </c>
      <c r="F34" s="38">
        <v>6197891</v>
      </c>
      <c r="G34" s="38">
        <v>7435993</v>
      </c>
      <c r="H34" s="30"/>
      <c r="I34" s="8"/>
      <c r="J34" s="8"/>
      <c r="K34" s="8"/>
      <c r="L34" s="8"/>
    </row>
    <row r="35" spans="1:12" x14ac:dyDescent="0.25">
      <c r="A35" s="8"/>
      <c r="B35" s="30">
        <v>2019</v>
      </c>
      <c r="C35" s="38">
        <v>1406648</v>
      </c>
      <c r="D35" s="38">
        <v>3267932</v>
      </c>
      <c r="E35" s="38">
        <v>5029042</v>
      </c>
      <c r="F35" s="38">
        <v>6714834</v>
      </c>
      <c r="G35" s="30"/>
      <c r="H35" s="30"/>
      <c r="I35" s="8"/>
      <c r="J35" s="8"/>
      <c r="K35" s="8"/>
      <c r="L35" s="8"/>
    </row>
    <row r="36" spans="1:12" x14ac:dyDescent="0.25">
      <c r="A36" s="8"/>
      <c r="B36" s="30">
        <v>2020</v>
      </c>
      <c r="C36" s="38">
        <v>1575637</v>
      </c>
      <c r="D36" s="38">
        <v>3453821</v>
      </c>
      <c r="E36" s="38">
        <v>5616379</v>
      </c>
      <c r="F36" s="30"/>
      <c r="G36" s="30"/>
      <c r="H36" s="30"/>
      <c r="I36" s="8"/>
      <c r="J36" s="8"/>
      <c r="K36" s="8"/>
      <c r="L36" s="8"/>
    </row>
    <row r="37" spans="1:12" x14ac:dyDescent="0.25">
      <c r="A37" s="8"/>
      <c r="B37" s="30">
        <v>2021</v>
      </c>
      <c r="C37" s="38">
        <v>1667172</v>
      </c>
      <c r="D37" s="38">
        <v>3913397</v>
      </c>
      <c r="E37" s="30"/>
      <c r="F37" s="30"/>
      <c r="G37" s="30"/>
      <c r="H37" s="30"/>
      <c r="I37" s="8"/>
      <c r="J37" s="8"/>
      <c r="K37" s="8"/>
      <c r="L37" s="8"/>
    </row>
    <row r="38" spans="1:12" x14ac:dyDescent="0.25">
      <c r="A38" s="8"/>
      <c r="B38" s="30">
        <v>2022</v>
      </c>
      <c r="C38" s="38">
        <v>1754839</v>
      </c>
      <c r="D38" s="30"/>
      <c r="E38" s="30"/>
      <c r="F38" s="30"/>
      <c r="G38" s="30"/>
      <c r="H38" s="30"/>
      <c r="I38" s="8"/>
      <c r="J38" s="8"/>
      <c r="K38" s="8"/>
      <c r="L38" s="8"/>
    </row>
    <row r="39" spans="1:12" x14ac:dyDescent="0.25">
      <c r="A39" s="8"/>
      <c r="B39" s="8"/>
      <c r="C39" s="8"/>
      <c r="D39" s="8"/>
      <c r="E39" s="8"/>
      <c r="F39" s="8"/>
      <c r="G39" s="8"/>
      <c r="H39" s="8"/>
      <c r="I39" s="8"/>
      <c r="J39" s="8"/>
      <c r="K39" s="8"/>
      <c r="L39" s="8"/>
    </row>
    <row r="40" spans="1:12" x14ac:dyDescent="0.25">
      <c r="A40" s="8"/>
      <c r="B40" s="71" t="s">
        <v>13</v>
      </c>
      <c r="C40" s="207" t="s">
        <v>211</v>
      </c>
      <c r="D40" s="207"/>
      <c r="E40" s="207"/>
      <c r="F40" s="207"/>
      <c r="G40" s="207"/>
      <c r="H40" s="207"/>
      <c r="I40" s="8"/>
      <c r="J40" s="8"/>
      <c r="K40" s="8"/>
      <c r="L40" s="8"/>
    </row>
    <row r="41" spans="1:12" x14ac:dyDescent="0.25">
      <c r="A41" s="8"/>
      <c r="B41" s="72" t="s">
        <v>14</v>
      </c>
      <c r="C41" s="29">
        <v>12</v>
      </c>
      <c r="D41" s="29">
        <v>24</v>
      </c>
      <c r="E41" s="29">
        <v>36</v>
      </c>
      <c r="F41" s="29">
        <v>48</v>
      </c>
      <c r="G41" s="29">
        <v>60</v>
      </c>
      <c r="H41" s="29">
        <v>72</v>
      </c>
      <c r="I41" s="8"/>
      <c r="J41" s="8"/>
      <c r="K41" s="8"/>
      <c r="L41" s="8"/>
    </row>
    <row r="42" spans="1:12" x14ac:dyDescent="0.25">
      <c r="A42" s="8"/>
      <c r="B42" s="30">
        <v>2017</v>
      </c>
      <c r="C42" s="38">
        <v>705</v>
      </c>
      <c r="D42" s="38">
        <v>864</v>
      </c>
      <c r="E42" s="38">
        <v>996</v>
      </c>
      <c r="F42" s="38">
        <v>1080</v>
      </c>
      <c r="G42" s="38">
        <v>1147</v>
      </c>
      <c r="H42" s="38">
        <v>1185</v>
      </c>
      <c r="I42" s="8"/>
      <c r="J42" s="8"/>
      <c r="K42" s="8"/>
      <c r="L42" s="8"/>
    </row>
    <row r="43" spans="1:12" x14ac:dyDescent="0.25">
      <c r="A43" s="8"/>
      <c r="B43" s="30">
        <v>2018</v>
      </c>
      <c r="C43" s="38">
        <v>733</v>
      </c>
      <c r="D43" s="38">
        <v>883</v>
      </c>
      <c r="E43" s="38">
        <v>1018</v>
      </c>
      <c r="F43" s="38">
        <v>1112</v>
      </c>
      <c r="G43" s="38">
        <v>1181</v>
      </c>
      <c r="H43" s="30"/>
      <c r="I43" s="8"/>
      <c r="J43" s="8"/>
      <c r="K43" s="8"/>
      <c r="L43" s="8"/>
    </row>
    <row r="44" spans="1:12" x14ac:dyDescent="0.25">
      <c r="A44" s="8"/>
      <c r="B44" s="30">
        <v>2019</v>
      </c>
      <c r="C44" s="38">
        <v>734</v>
      </c>
      <c r="D44" s="38">
        <v>900</v>
      </c>
      <c r="E44" s="38">
        <v>1028</v>
      </c>
      <c r="F44" s="38">
        <v>1148</v>
      </c>
      <c r="G44" s="30"/>
      <c r="H44" s="30"/>
      <c r="I44" s="8"/>
      <c r="J44" s="8"/>
      <c r="K44" s="8"/>
      <c r="L44" s="8"/>
    </row>
    <row r="45" spans="1:12" x14ac:dyDescent="0.25">
      <c r="A45" s="8"/>
      <c r="B45" s="30">
        <v>2020</v>
      </c>
      <c r="C45" s="38">
        <v>756</v>
      </c>
      <c r="D45" s="38">
        <v>928</v>
      </c>
      <c r="E45" s="38">
        <v>1077</v>
      </c>
      <c r="F45" s="30"/>
      <c r="G45" s="30"/>
      <c r="H45" s="30"/>
      <c r="I45" s="8"/>
      <c r="J45" s="8"/>
      <c r="K45" s="8"/>
      <c r="L45" s="8"/>
    </row>
    <row r="46" spans="1:12" x14ac:dyDescent="0.25">
      <c r="A46" s="8"/>
      <c r="B46" s="30">
        <v>2021</v>
      </c>
      <c r="C46" s="38">
        <v>773</v>
      </c>
      <c r="D46" s="38">
        <v>947</v>
      </c>
      <c r="E46" s="30"/>
      <c r="F46" s="30"/>
      <c r="G46" s="30"/>
      <c r="H46" s="30"/>
      <c r="I46" s="8"/>
      <c r="J46" s="8"/>
      <c r="K46" s="8"/>
      <c r="L46" s="8"/>
    </row>
    <row r="47" spans="1:12" x14ac:dyDescent="0.25">
      <c r="A47" s="8"/>
      <c r="B47" s="30">
        <v>2022</v>
      </c>
      <c r="C47" s="38">
        <v>789</v>
      </c>
      <c r="D47" s="30"/>
      <c r="E47" s="30"/>
      <c r="F47" s="30"/>
      <c r="G47" s="30"/>
      <c r="H47" s="30"/>
      <c r="I47" s="8"/>
      <c r="J47" s="8"/>
      <c r="K47" s="8"/>
      <c r="L47" s="8"/>
    </row>
    <row r="48" spans="1:12" x14ac:dyDescent="0.25">
      <c r="A48" s="8"/>
      <c r="B48" s="8"/>
      <c r="C48" s="8"/>
      <c r="D48" s="8"/>
      <c r="E48" s="8"/>
      <c r="F48" s="8"/>
      <c r="G48" s="8"/>
      <c r="H48" s="8"/>
      <c r="I48" s="8"/>
      <c r="J48" s="8"/>
      <c r="K48" s="8"/>
      <c r="L48" s="8"/>
    </row>
    <row r="49" spans="1:12" x14ac:dyDescent="0.25">
      <c r="A49" s="8"/>
      <c r="B49" s="71" t="s">
        <v>13</v>
      </c>
      <c r="C49" s="207" t="s">
        <v>75</v>
      </c>
      <c r="D49" s="207"/>
      <c r="E49" s="207"/>
      <c r="F49" s="207"/>
      <c r="G49" s="207"/>
      <c r="H49" s="207"/>
      <c r="I49" s="8"/>
      <c r="J49" s="8"/>
      <c r="K49" s="8"/>
      <c r="L49" s="8"/>
    </row>
    <row r="50" spans="1:12" x14ac:dyDescent="0.25">
      <c r="A50" s="8"/>
      <c r="B50" s="72" t="s">
        <v>14</v>
      </c>
      <c r="C50" s="29">
        <v>12</v>
      </c>
      <c r="D50" s="29">
        <v>24</v>
      </c>
      <c r="E50" s="29">
        <v>36</v>
      </c>
      <c r="F50" s="29">
        <v>48</v>
      </c>
      <c r="G50" s="29">
        <v>60</v>
      </c>
      <c r="H50" s="29">
        <v>72</v>
      </c>
      <c r="I50" s="8"/>
      <c r="J50" s="8"/>
      <c r="K50" s="8"/>
      <c r="L50" s="8"/>
    </row>
    <row r="51" spans="1:12" x14ac:dyDescent="0.25">
      <c r="A51" s="8"/>
      <c r="B51" s="30">
        <v>2017</v>
      </c>
      <c r="C51" s="38">
        <v>310</v>
      </c>
      <c r="D51" s="38">
        <v>571</v>
      </c>
      <c r="E51" s="38">
        <v>780</v>
      </c>
      <c r="F51" s="38">
        <v>938</v>
      </c>
      <c r="G51" s="38">
        <v>1077</v>
      </c>
      <c r="H51" s="38">
        <v>1179</v>
      </c>
      <c r="I51" s="8"/>
      <c r="J51" s="8"/>
      <c r="K51" s="8"/>
      <c r="L51" s="8"/>
    </row>
    <row r="52" spans="1:12" x14ac:dyDescent="0.25">
      <c r="A52" s="8"/>
      <c r="B52" s="30">
        <v>2018</v>
      </c>
      <c r="C52" s="38">
        <v>327</v>
      </c>
      <c r="D52" s="38">
        <v>581</v>
      </c>
      <c r="E52" s="38">
        <v>797</v>
      </c>
      <c r="F52" s="38">
        <v>967</v>
      </c>
      <c r="G52" s="38">
        <v>1109</v>
      </c>
      <c r="H52" s="30"/>
      <c r="I52" s="8"/>
      <c r="J52" s="8"/>
      <c r="K52" s="8"/>
      <c r="L52" s="8"/>
    </row>
    <row r="53" spans="1:12" x14ac:dyDescent="0.25">
      <c r="A53" s="8"/>
      <c r="B53" s="30">
        <v>2019</v>
      </c>
      <c r="C53" s="38">
        <v>323</v>
      </c>
      <c r="D53" s="38">
        <v>587</v>
      </c>
      <c r="E53" s="38">
        <v>802</v>
      </c>
      <c r="F53" s="38">
        <v>1000</v>
      </c>
      <c r="G53" s="30"/>
      <c r="H53" s="30"/>
      <c r="I53" s="8"/>
      <c r="J53" s="8"/>
      <c r="K53" s="8"/>
      <c r="L53" s="8"/>
    </row>
    <row r="54" spans="1:12" x14ac:dyDescent="0.25">
      <c r="A54" s="8"/>
      <c r="B54" s="30">
        <v>2020</v>
      </c>
      <c r="C54" s="38">
        <v>334</v>
      </c>
      <c r="D54" s="38">
        <v>605</v>
      </c>
      <c r="E54" s="38">
        <v>845</v>
      </c>
      <c r="F54" s="30"/>
      <c r="G54" s="30"/>
      <c r="H54" s="30"/>
      <c r="I54" s="8"/>
      <c r="J54" s="8"/>
      <c r="K54" s="8"/>
      <c r="L54" s="8"/>
    </row>
    <row r="55" spans="1:12" x14ac:dyDescent="0.25">
      <c r="A55" s="8"/>
      <c r="B55" s="30">
        <v>2021</v>
      </c>
      <c r="C55" s="38">
        <v>353</v>
      </c>
      <c r="D55" s="38">
        <v>622</v>
      </c>
      <c r="E55" s="30"/>
      <c r="F55" s="30"/>
      <c r="G55" s="30"/>
      <c r="H55" s="30"/>
      <c r="I55" s="8"/>
      <c r="J55" s="8"/>
      <c r="K55" s="8"/>
      <c r="L55" s="8"/>
    </row>
    <row r="56" spans="1:12" x14ac:dyDescent="0.25">
      <c r="A56" s="8"/>
      <c r="B56" s="30">
        <v>2022</v>
      </c>
      <c r="C56" s="38">
        <v>352</v>
      </c>
      <c r="D56" s="30"/>
      <c r="E56" s="30"/>
      <c r="F56" s="30"/>
      <c r="G56" s="30"/>
      <c r="H56" s="30"/>
      <c r="I56" s="8"/>
      <c r="J56" s="8"/>
      <c r="K56" s="8"/>
      <c r="L56" s="8"/>
    </row>
    <row r="57" spans="1:12" x14ac:dyDescent="0.25">
      <c r="A57" s="8"/>
      <c r="B57" s="8"/>
      <c r="C57" s="8"/>
      <c r="D57" s="8"/>
      <c r="E57" s="8"/>
      <c r="F57" s="8"/>
      <c r="G57" s="8"/>
      <c r="H57" s="8"/>
      <c r="I57" s="8"/>
      <c r="J57" s="8"/>
      <c r="K57" s="8"/>
      <c r="L57" s="8"/>
    </row>
    <row r="58" spans="1:12" x14ac:dyDescent="0.25">
      <c r="A58" s="8"/>
      <c r="B58" s="8" t="s">
        <v>217</v>
      </c>
      <c r="C58" s="8"/>
      <c r="D58" s="8"/>
      <c r="E58" s="62">
        <v>6.3E-2</v>
      </c>
      <c r="F58" s="8"/>
      <c r="G58" s="8"/>
      <c r="H58" s="8"/>
      <c r="I58" s="8"/>
      <c r="J58" s="8"/>
      <c r="K58" s="8"/>
      <c r="L58" s="8"/>
    </row>
    <row r="59" spans="1:12" x14ac:dyDescent="0.25">
      <c r="A59" s="8"/>
      <c r="B59" s="8"/>
      <c r="C59" s="8"/>
      <c r="D59" s="8"/>
      <c r="E59" s="8"/>
      <c r="F59" s="8"/>
      <c r="G59" s="8"/>
      <c r="H59" s="8"/>
      <c r="I59" s="8"/>
      <c r="J59" s="8"/>
      <c r="K59" s="8"/>
      <c r="L59" s="8"/>
    </row>
    <row r="60" spans="1:12" x14ac:dyDescent="0.25">
      <c r="A60" s="8" t="s">
        <v>212</v>
      </c>
      <c r="B60" s="8"/>
      <c r="C60" s="8"/>
      <c r="D60" s="8"/>
      <c r="E60" s="8"/>
      <c r="F60" s="8"/>
      <c r="G60" s="8"/>
      <c r="H60" s="8"/>
      <c r="I60" s="8"/>
      <c r="J60" s="8"/>
      <c r="K60" s="8"/>
      <c r="L60" s="8"/>
    </row>
    <row r="61" spans="1:12" x14ac:dyDescent="0.25">
      <c r="A61" s="8"/>
      <c r="B61" s="8"/>
      <c r="C61" s="8"/>
      <c r="D61" s="8"/>
      <c r="E61" s="8"/>
      <c r="F61" s="8"/>
      <c r="G61" s="8"/>
      <c r="H61" s="8"/>
      <c r="I61" s="8"/>
      <c r="J61" s="8"/>
      <c r="K61" s="8"/>
      <c r="L61" s="8"/>
    </row>
    <row r="63" spans="1:12" x14ac:dyDescent="0.25">
      <c r="A63" s="5" t="s">
        <v>5</v>
      </c>
      <c r="B63" s="8" t="s">
        <v>213</v>
      </c>
      <c r="C63" s="4"/>
      <c r="D63" s="4"/>
      <c r="E63" s="4"/>
      <c r="F63" s="4"/>
      <c r="G63" s="4"/>
      <c r="H63" s="4"/>
      <c r="I63" s="4"/>
      <c r="J63" s="4"/>
      <c r="K63" s="4"/>
      <c r="L63" s="4"/>
    </row>
    <row r="64" spans="1:12" x14ac:dyDescent="0.25">
      <c r="A64" s="6"/>
      <c r="B64" s="6"/>
      <c r="C64" s="6"/>
      <c r="D64" s="6"/>
      <c r="E64" s="6"/>
      <c r="F64" s="6"/>
      <c r="G64" s="6"/>
      <c r="H64" s="6"/>
      <c r="I64" s="6"/>
      <c r="J64" s="6"/>
      <c r="K64" s="6"/>
      <c r="L64" s="6"/>
    </row>
    <row r="65" spans="1:12" x14ac:dyDescent="0.25">
      <c r="A65" s="6" t="s">
        <v>1</v>
      </c>
      <c r="B65" s="6"/>
      <c r="C65" s="6"/>
      <c r="D65" s="6"/>
      <c r="E65" s="6"/>
      <c r="F65" s="6"/>
      <c r="G65" s="6"/>
      <c r="H65" s="6"/>
      <c r="I65" s="6"/>
      <c r="J65" s="6"/>
      <c r="K65" s="6"/>
      <c r="L65" s="6"/>
    </row>
    <row r="66" spans="1:12" x14ac:dyDescent="0.25">
      <c r="A66" s="6"/>
      <c r="B66" s="6"/>
      <c r="C66" s="6"/>
      <c r="D66" s="6"/>
      <c r="E66" s="6"/>
      <c r="F66" s="6"/>
      <c r="G66" s="6"/>
      <c r="H66" s="6"/>
      <c r="I66" s="6"/>
      <c r="J66" s="6"/>
      <c r="K66" s="6"/>
      <c r="L66" s="6"/>
    </row>
    <row r="67" spans="1:12" x14ac:dyDescent="0.25">
      <c r="A67" s="6"/>
      <c r="B67" s="6" t="s">
        <v>437</v>
      </c>
      <c r="C67" s="6"/>
      <c r="D67" s="6"/>
      <c r="E67" s="6"/>
      <c r="F67" s="6"/>
      <c r="G67" s="6"/>
      <c r="H67" s="6"/>
      <c r="I67" s="6"/>
      <c r="J67" s="6"/>
      <c r="K67" s="6"/>
      <c r="L67" s="6"/>
    </row>
    <row r="68" spans="1:12" x14ac:dyDescent="0.25">
      <c r="A68" s="6"/>
      <c r="B68" s="6"/>
      <c r="C68" s="6"/>
      <c r="D68" s="6"/>
      <c r="E68" s="6"/>
      <c r="F68" s="6"/>
      <c r="G68" s="6"/>
      <c r="H68" s="6"/>
      <c r="I68" s="6"/>
      <c r="J68" s="6"/>
      <c r="K68" s="6"/>
      <c r="L68" s="6"/>
    </row>
    <row r="69" spans="1:12" x14ac:dyDescent="0.25">
      <c r="A69" s="6"/>
      <c r="B69" s="180" t="s">
        <v>13</v>
      </c>
      <c r="C69" s="222" t="s">
        <v>447</v>
      </c>
      <c r="D69" s="222"/>
      <c r="E69" s="222"/>
      <c r="F69" s="222"/>
      <c r="G69" s="222"/>
      <c r="H69" s="222"/>
      <c r="I69" s="6"/>
      <c r="J69" s="6"/>
      <c r="K69" s="6"/>
      <c r="L69" s="6"/>
    </row>
    <row r="70" spans="1:12" x14ac:dyDescent="0.25">
      <c r="A70" s="6"/>
      <c r="B70" s="181" t="s">
        <v>14</v>
      </c>
      <c r="C70" s="177">
        <v>12</v>
      </c>
      <c r="D70" s="177">
        <f>C70+12</f>
        <v>24</v>
      </c>
      <c r="E70" s="177">
        <f t="shared" ref="E70:H70" si="0">D70+12</f>
        <v>36</v>
      </c>
      <c r="F70" s="177">
        <f t="shared" si="0"/>
        <v>48</v>
      </c>
      <c r="G70" s="177">
        <f t="shared" si="0"/>
        <v>60</v>
      </c>
      <c r="H70" s="177">
        <f t="shared" si="0"/>
        <v>72</v>
      </c>
      <c r="I70" s="6"/>
      <c r="J70" s="6"/>
      <c r="K70" s="6"/>
      <c r="L70" s="6"/>
    </row>
    <row r="71" spans="1:12" x14ac:dyDescent="0.25">
      <c r="A71" s="6"/>
      <c r="B71" s="177">
        <v>2017</v>
      </c>
      <c r="C71" s="178">
        <f t="shared" ref="C71:H71" si="1">(C24-C33)/(C42-C51)</f>
        <v>5140.5772151898736</v>
      </c>
      <c r="D71" s="178">
        <f t="shared" si="1"/>
        <v>6014.0716723549485</v>
      </c>
      <c r="E71" s="178">
        <f t="shared" si="1"/>
        <v>6700.0092592592591</v>
      </c>
      <c r="F71" s="178">
        <f t="shared" si="1"/>
        <v>7119.859154929577</v>
      </c>
      <c r="G71" s="178">
        <f t="shared" si="1"/>
        <v>8154.6857142857143</v>
      </c>
      <c r="H71" s="178">
        <f t="shared" si="1"/>
        <v>28343</v>
      </c>
      <c r="I71" s="6"/>
      <c r="J71" s="6"/>
      <c r="K71" s="6"/>
      <c r="L71" s="6"/>
    </row>
    <row r="72" spans="1:12" x14ac:dyDescent="0.25">
      <c r="A72" s="6"/>
      <c r="B72" s="177">
        <v>2018</v>
      </c>
      <c r="C72" s="178">
        <f>(C25-C34)/(C43-C52)</f>
        <v>5669.6551724137935</v>
      </c>
      <c r="D72" s="178">
        <f>(D25-D34)/(D43-D52)</f>
        <v>6455.9271523178804</v>
      </c>
      <c r="E72" s="178">
        <f>(E25-E34)/(E43-E52)</f>
        <v>6930.5791855203624</v>
      </c>
      <c r="F72" s="178">
        <f>(F25-F34)/(F43-F52)</f>
        <v>8509.6344827586199</v>
      </c>
      <c r="G72" s="178">
        <f>(G25-G34)/(G43-G52)</f>
        <v>8670.3611111111113</v>
      </c>
      <c r="H72" s="178"/>
      <c r="I72" s="6"/>
      <c r="J72" s="6"/>
      <c r="K72" s="6"/>
      <c r="L72" s="6"/>
    </row>
    <row r="73" spans="1:12" x14ac:dyDescent="0.25">
      <c r="A73" s="6"/>
      <c r="B73" s="177">
        <v>2019</v>
      </c>
      <c r="C73" s="178">
        <f>(C26-C35)/(C44-C53)</f>
        <v>5820.6277372262775</v>
      </c>
      <c r="D73" s="178">
        <f>(D26-D35)/(D44-D53)</f>
        <v>6741.7188498402556</v>
      </c>
      <c r="E73" s="178">
        <f>(E26-E35)/(E44-E53)</f>
        <v>8372.075221238938</v>
      </c>
      <c r="F73" s="178">
        <f>(F26-F35)/(F44-F53)</f>
        <v>9032.77027027027</v>
      </c>
      <c r="G73" s="178"/>
      <c r="H73" s="178"/>
      <c r="I73" s="6"/>
      <c r="J73" s="6"/>
      <c r="K73" s="6"/>
      <c r="L73" s="6"/>
    </row>
    <row r="74" spans="1:12" x14ac:dyDescent="0.25">
      <c r="A74" s="6"/>
      <c r="B74" s="177">
        <v>2020</v>
      </c>
      <c r="C74" s="178">
        <f>(C27-C36)/(C45-C54)</f>
        <v>6158.4336492890998</v>
      </c>
      <c r="D74" s="178">
        <f>(D27-D36)/(D45-D54)</f>
        <v>7923.3374613003098</v>
      </c>
      <c r="E74" s="178">
        <f>(E27-E36)/(E45-E54)</f>
        <v>8827.7844827586214</v>
      </c>
      <c r="F74" s="178"/>
      <c r="G74" s="178"/>
      <c r="H74" s="178"/>
      <c r="I74" s="6"/>
      <c r="J74" s="6"/>
      <c r="K74" s="6"/>
      <c r="L74" s="6"/>
    </row>
    <row r="75" spans="1:12" x14ac:dyDescent="0.25">
      <c r="A75" s="6"/>
      <c r="B75" s="177">
        <v>2021</v>
      </c>
      <c r="C75" s="178">
        <f>(C28-C37)/(C46-C55)</f>
        <v>7588.2666666666664</v>
      </c>
      <c r="D75" s="178">
        <f>(D28-D37)/(D46-D55)</f>
        <v>8302.9076923076918</v>
      </c>
      <c r="E75" s="178"/>
      <c r="F75" s="178"/>
      <c r="G75" s="178"/>
      <c r="H75" s="178"/>
      <c r="I75" s="6"/>
      <c r="J75" s="6"/>
      <c r="K75" s="6"/>
      <c r="L75" s="6"/>
    </row>
    <row r="76" spans="1:12" x14ac:dyDescent="0.25">
      <c r="A76" s="6"/>
      <c r="B76" s="177">
        <v>2022</v>
      </c>
      <c r="C76" s="178">
        <f>(C29-C38)/(C47-C56)</f>
        <v>8158.6178489702515</v>
      </c>
      <c r="D76" s="178"/>
      <c r="E76" s="178"/>
      <c r="F76" s="178"/>
      <c r="G76" s="178"/>
      <c r="H76" s="178"/>
      <c r="I76" s="6"/>
      <c r="J76" s="6"/>
      <c r="K76" s="6"/>
      <c r="L76" s="6"/>
    </row>
    <row r="77" spans="1:12" x14ac:dyDescent="0.25">
      <c r="A77" s="6"/>
      <c r="B77" s="6"/>
      <c r="C77" s="6"/>
      <c r="D77" s="6"/>
      <c r="E77" s="6"/>
      <c r="F77" s="6"/>
      <c r="G77" s="6"/>
      <c r="H77" s="6"/>
      <c r="I77" s="6"/>
      <c r="J77" s="6"/>
      <c r="K77" s="6"/>
      <c r="L77" s="6"/>
    </row>
    <row r="78" spans="1:12" x14ac:dyDescent="0.25">
      <c r="A78" s="6"/>
      <c r="B78" s="180" t="s">
        <v>13</v>
      </c>
      <c r="C78" s="222" t="s">
        <v>448</v>
      </c>
      <c r="D78" s="222"/>
      <c r="E78" s="222"/>
      <c r="F78" s="222"/>
      <c r="G78" s="222"/>
      <c r="H78" s="222"/>
      <c r="I78" s="6"/>
      <c r="J78" s="6"/>
      <c r="K78" s="6"/>
      <c r="L78" s="6"/>
    </row>
    <row r="79" spans="1:12" x14ac:dyDescent="0.25">
      <c r="A79" s="6"/>
      <c r="B79" s="181" t="s">
        <v>14</v>
      </c>
      <c r="C79" s="177">
        <v>12</v>
      </c>
      <c r="D79" s="177">
        <f>C79+12</f>
        <v>24</v>
      </c>
      <c r="E79" s="177">
        <f t="shared" ref="E79:H79" si="2">D79+12</f>
        <v>36</v>
      </c>
      <c r="F79" s="177">
        <f t="shared" si="2"/>
        <v>48</v>
      </c>
      <c r="G79" s="177">
        <f t="shared" si="2"/>
        <v>60</v>
      </c>
      <c r="H79" s="177">
        <f t="shared" si="2"/>
        <v>72</v>
      </c>
      <c r="I79" s="6"/>
      <c r="J79" s="6"/>
      <c r="K79" s="6"/>
      <c r="L79" s="6"/>
    </row>
    <row r="80" spans="1:12" x14ac:dyDescent="0.25">
      <c r="A80" s="6"/>
      <c r="B80" s="177" t="str">
        <f>B71&amp;"-"&amp;B72</f>
        <v>2017-2018</v>
      </c>
      <c r="C80" s="179">
        <f>C72/C71-1</f>
        <v>0.10292189672018726</v>
      </c>
      <c r="D80" s="179">
        <f t="shared" ref="D80:G80" si="3">D72/D71-1</f>
        <v>7.3470271728556469E-2</v>
      </c>
      <c r="E80" s="179">
        <f t="shared" si="3"/>
        <v>3.4413374271454966E-2</v>
      </c>
      <c r="F80" s="182">
        <f t="shared" si="3"/>
        <v>0.19519702533255923</v>
      </c>
      <c r="G80" s="179">
        <f t="shared" si="3"/>
        <v>6.3236697880583614E-2</v>
      </c>
      <c r="H80" s="179"/>
      <c r="I80" s="6"/>
      <c r="J80" s="6"/>
      <c r="K80" s="6"/>
      <c r="L80" s="6"/>
    </row>
    <row r="81" spans="1:13" x14ac:dyDescent="0.25">
      <c r="A81" s="6"/>
      <c r="B81" s="177" t="str">
        <f t="shared" ref="B81:B84" si="4">B72&amp;"-"&amp;B73</f>
        <v>2018-2019</v>
      </c>
      <c r="C81" s="179">
        <f t="shared" ref="C81:F84" si="5">C73/C72-1</f>
        <v>2.6628174063751509E-2</v>
      </c>
      <c r="D81" s="179">
        <f t="shared" si="5"/>
        <v>4.4268110649260839E-2</v>
      </c>
      <c r="E81" s="182">
        <f t="shared" si="5"/>
        <v>0.20799070281603682</v>
      </c>
      <c r="F81" s="179">
        <f t="shared" si="5"/>
        <v>6.1475705986147267E-2</v>
      </c>
      <c r="G81" s="179"/>
      <c r="H81" s="179"/>
      <c r="I81" s="6"/>
      <c r="J81" s="6"/>
      <c r="K81" s="6"/>
      <c r="L81" s="6"/>
    </row>
    <row r="82" spans="1:13" x14ac:dyDescent="0.25">
      <c r="A82" s="6"/>
      <c r="B82" s="177" t="str">
        <f t="shared" si="4"/>
        <v>2019-2020</v>
      </c>
      <c r="C82" s="179">
        <f t="shared" si="5"/>
        <v>5.8035993249037077E-2</v>
      </c>
      <c r="D82" s="182">
        <f t="shared" si="5"/>
        <v>0.17526963639073334</v>
      </c>
      <c r="E82" s="179">
        <f t="shared" si="5"/>
        <v>5.4432055312117145E-2</v>
      </c>
      <c r="F82" s="179"/>
      <c r="G82" s="179"/>
      <c r="H82" s="179"/>
      <c r="I82" s="6"/>
      <c r="J82" s="6"/>
      <c r="K82" s="6"/>
      <c r="L82" s="6"/>
    </row>
    <row r="83" spans="1:13" x14ac:dyDescent="0.25">
      <c r="A83" s="6"/>
      <c r="B83" s="177" t="str">
        <f t="shared" si="4"/>
        <v>2020-2021</v>
      </c>
      <c r="C83" s="182">
        <f t="shared" si="5"/>
        <v>0.23217478644794998</v>
      </c>
      <c r="D83" s="179">
        <f t="shared" si="5"/>
        <v>4.7905347066347304E-2</v>
      </c>
      <c r="E83" s="179"/>
      <c r="F83" s="179"/>
      <c r="G83" s="179"/>
      <c r="H83" s="179"/>
      <c r="I83" s="6"/>
      <c r="J83" s="6"/>
      <c r="K83" s="6"/>
      <c r="L83" s="6"/>
    </row>
    <row r="84" spans="1:13" x14ac:dyDescent="0.25">
      <c r="A84" s="6"/>
      <c r="B84" s="177" t="str">
        <f t="shared" si="4"/>
        <v>2021-2022</v>
      </c>
      <c r="C84" s="179">
        <f t="shared" si="5"/>
        <v>7.5162248159911682E-2</v>
      </c>
      <c r="D84" s="179"/>
      <c r="E84" s="179"/>
      <c r="F84" s="179"/>
      <c r="G84" s="179"/>
      <c r="H84" s="179"/>
      <c r="I84" s="6"/>
      <c r="J84" s="6"/>
      <c r="K84" s="6"/>
      <c r="L84" s="6"/>
    </row>
    <row r="85" spans="1:13" x14ac:dyDescent="0.25">
      <c r="A85" s="6"/>
      <c r="B85" s="6"/>
      <c r="C85" s="6"/>
      <c r="D85" s="6"/>
      <c r="E85" s="6"/>
      <c r="F85" s="6"/>
      <c r="G85" s="6"/>
      <c r="H85" s="6"/>
      <c r="I85" s="6"/>
      <c r="J85" s="6"/>
      <c r="K85" s="6"/>
      <c r="L85" s="6"/>
    </row>
    <row r="86" spans="1:13" x14ac:dyDescent="0.25">
      <c r="B86" s="6" t="s">
        <v>438</v>
      </c>
      <c r="C86" s="6"/>
      <c r="D86" s="6"/>
      <c r="E86" s="6"/>
      <c r="F86" s="6"/>
      <c r="G86" s="6"/>
      <c r="H86" s="6"/>
      <c r="M86" s="6"/>
    </row>
    <row r="88" spans="1:13" x14ac:dyDescent="0.25">
      <c r="A88" s="8"/>
      <c r="B88" s="8"/>
      <c r="C88" s="8"/>
      <c r="D88" s="8"/>
      <c r="E88" s="8"/>
      <c r="F88" s="8"/>
      <c r="G88" s="8"/>
      <c r="H88" s="8"/>
      <c r="I88" s="8"/>
      <c r="J88" s="8"/>
      <c r="K88" s="8"/>
      <c r="L88" s="8"/>
    </row>
    <row r="89" spans="1:13" x14ac:dyDescent="0.25">
      <c r="A89" s="59" t="s">
        <v>214</v>
      </c>
      <c r="B89" s="8"/>
      <c r="C89" s="8"/>
      <c r="D89" s="8"/>
      <c r="E89" s="8"/>
      <c r="F89" s="8"/>
      <c r="G89" s="8"/>
      <c r="H89" s="8"/>
      <c r="I89" s="8"/>
      <c r="J89" s="8"/>
      <c r="K89" s="8"/>
      <c r="L89" s="8"/>
    </row>
    <row r="90" spans="1:13" x14ac:dyDescent="0.25">
      <c r="A90" s="8"/>
      <c r="B90" s="8"/>
      <c r="C90" s="8"/>
      <c r="D90" s="8"/>
      <c r="E90" s="8"/>
      <c r="F90" s="8"/>
      <c r="G90" s="8"/>
      <c r="H90" s="8"/>
      <c r="I90" s="8"/>
      <c r="J90" s="8"/>
      <c r="K90" s="8"/>
      <c r="L90" s="8"/>
    </row>
    <row r="92" spans="1:13" x14ac:dyDescent="0.25">
      <c r="A92" s="5" t="s">
        <v>0</v>
      </c>
      <c r="B92" s="8" t="s">
        <v>215</v>
      </c>
      <c r="C92" s="4"/>
      <c r="D92" s="4"/>
      <c r="E92" s="4"/>
      <c r="F92" s="4"/>
      <c r="G92" s="4"/>
      <c r="H92" s="4"/>
      <c r="I92" s="4"/>
      <c r="J92" s="4"/>
      <c r="K92" s="4"/>
      <c r="L92" s="4"/>
    </row>
    <row r="93" spans="1:13" x14ac:dyDescent="0.25">
      <c r="A93" s="6"/>
      <c r="B93" s="6"/>
      <c r="C93" s="6"/>
      <c r="D93" s="6"/>
      <c r="E93" s="6"/>
      <c r="F93" s="6"/>
      <c r="G93" s="6"/>
      <c r="H93" s="6"/>
      <c r="I93" s="6"/>
      <c r="J93" s="6"/>
      <c r="K93" s="6"/>
      <c r="L93" s="6"/>
    </row>
    <row r="94" spans="1:13" x14ac:dyDescent="0.25">
      <c r="A94" s="6" t="s">
        <v>1</v>
      </c>
      <c r="B94" s="6"/>
      <c r="C94" s="6"/>
      <c r="D94" s="6"/>
      <c r="E94" s="6"/>
      <c r="F94" s="6"/>
      <c r="G94" s="6"/>
      <c r="H94" s="6"/>
      <c r="I94" s="6"/>
      <c r="J94" s="6"/>
      <c r="K94" s="6"/>
      <c r="L94" s="6"/>
    </row>
    <row r="95" spans="1:13" x14ac:dyDescent="0.25">
      <c r="A95" s="6"/>
      <c r="B95" s="6"/>
      <c r="C95" s="6"/>
      <c r="D95" s="6"/>
      <c r="E95" s="6"/>
      <c r="F95" s="6"/>
      <c r="G95" s="6"/>
      <c r="H95" s="6"/>
      <c r="I95" s="6"/>
      <c r="J95" s="6"/>
      <c r="K95" s="6"/>
      <c r="L95" s="6"/>
    </row>
    <row r="96" spans="1:13" x14ac:dyDescent="0.25">
      <c r="A96" s="6" t="s">
        <v>436</v>
      </c>
      <c r="B96" s="6"/>
      <c r="C96" s="6"/>
      <c r="D96" s="6"/>
      <c r="E96" s="6"/>
      <c r="F96" s="6"/>
      <c r="G96" s="6"/>
      <c r="H96" s="6"/>
      <c r="I96" s="6"/>
      <c r="J96" s="6"/>
      <c r="K96" s="6"/>
      <c r="L96" s="6"/>
    </row>
    <row r="97" spans="1:14" x14ac:dyDescent="0.25">
      <c r="A97" s="184" t="s">
        <v>449</v>
      </c>
      <c r="B97" s="86"/>
    </row>
    <row r="98" spans="1:14" x14ac:dyDescent="0.25">
      <c r="A98" s="184" t="s">
        <v>450</v>
      </c>
    </row>
    <row r="99" spans="1:14" x14ac:dyDescent="0.25">
      <c r="A99" s="184" t="s">
        <v>451</v>
      </c>
      <c r="B99" s="86"/>
      <c r="M99" s="6"/>
      <c r="N99" s="6"/>
    </row>
    <row r="101" spans="1:14" x14ac:dyDescent="0.25">
      <c r="A101" s="5" t="s">
        <v>2</v>
      </c>
      <c r="B101" s="210" t="s">
        <v>216</v>
      </c>
      <c r="C101" s="210"/>
      <c r="D101" s="210"/>
      <c r="E101" s="210"/>
      <c r="F101" s="210"/>
      <c r="G101" s="210"/>
      <c r="H101" s="210"/>
      <c r="I101" s="210"/>
      <c r="J101" s="210"/>
      <c r="K101" s="210"/>
      <c r="L101" s="4"/>
    </row>
    <row r="102" spans="1:14" x14ac:dyDescent="0.25">
      <c r="A102" s="5"/>
      <c r="B102" s="210"/>
      <c r="C102" s="210"/>
      <c r="D102" s="210"/>
      <c r="E102" s="210"/>
      <c r="F102" s="210"/>
      <c r="G102" s="210"/>
      <c r="H102" s="210"/>
      <c r="I102" s="210"/>
      <c r="J102" s="210"/>
      <c r="K102" s="210"/>
      <c r="L102" s="4"/>
    </row>
    <row r="103" spans="1:14" x14ac:dyDescent="0.25">
      <c r="A103" s="6"/>
      <c r="B103" s="6"/>
      <c r="C103" s="6"/>
      <c r="D103" s="6"/>
      <c r="E103" s="6"/>
      <c r="F103" s="6"/>
      <c r="G103" s="6"/>
      <c r="H103" s="6"/>
      <c r="I103" s="6"/>
      <c r="J103" s="6"/>
      <c r="K103" s="6"/>
      <c r="L103" s="6"/>
    </row>
    <row r="104" spans="1:14" x14ac:dyDescent="0.25">
      <c r="A104" s="6" t="s">
        <v>1</v>
      </c>
      <c r="B104" s="6"/>
      <c r="C104" s="6"/>
      <c r="D104" s="6"/>
      <c r="E104" s="6"/>
      <c r="F104" s="6"/>
      <c r="G104" s="6"/>
      <c r="H104" s="6"/>
      <c r="I104" s="6"/>
      <c r="J104" s="6"/>
      <c r="K104" s="6"/>
      <c r="L104" s="6"/>
    </row>
    <row r="105" spans="1:14" x14ac:dyDescent="0.25">
      <c r="A105" s="6"/>
      <c r="B105" s="180" t="s">
        <v>13</v>
      </c>
      <c r="C105" s="222" t="s">
        <v>439</v>
      </c>
      <c r="D105" s="222"/>
      <c r="E105" s="222"/>
      <c r="F105" s="222"/>
      <c r="G105" s="222"/>
      <c r="H105" s="222"/>
      <c r="I105" s="6"/>
      <c r="J105" s="6"/>
      <c r="K105" s="6"/>
      <c r="L105" s="6"/>
    </row>
    <row r="106" spans="1:14" x14ac:dyDescent="0.25">
      <c r="A106" s="6"/>
      <c r="B106" s="181" t="s">
        <v>14</v>
      </c>
      <c r="C106" s="177">
        <v>12</v>
      </c>
      <c r="D106" s="177">
        <f>C106+12</f>
        <v>24</v>
      </c>
      <c r="E106" s="177">
        <f t="shared" ref="E106:H106" si="6">D106+12</f>
        <v>36</v>
      </c>
      <c r="F106" s="177">
        <f t="shared" si="6"/>
        <v>48</v>
      </c>
      <c r="G106" s="177">
        <f t="shared" si="6"/>
        <v>60</v>
      </c>
      <c r="H106" s="177">
        <f t="shared" si="6"/>
        <v>72</v>
      </c>
      <c r="I106" s="6"/>
      <c r="J106" s="6"/>
      <c r="K106" s="6"/>
      <c r="L106" s="6"/>
    </row>
    <row r="107" spans="1:14" x14ac:dyDescent="0.25">
      <c r="B107" s="177">
        <v>2017</v>
      </c>
      <c r="C107" s="178">
        <f t="shared" ref="C107:C110" si="7">C108/(1+$E$58)</f>
        <v>6011.0490049954706</v>
      </c>
      <c r="D107" s="178">
        <f t="shared" ref="D107:D110" si="8">D108/(1+$E$58)</f>
        <v>6502.7514048257271</v>
      </c>
      <c r="E107" s="178">
        <f t="shared" ref="E107:E109" si="9">E108/(1+$E$58)</f>
        <v>7349.4007339063819</v>
      </c>
      <c r="F107" s="178">
        <f t="shared" ref="F107:F108" si="10">F108/(1+$E$58)</f>
        <v>7993.821308611361</v>
      </c>
      <c r="G107" s="178">
        <f>G108/(1+$E$58)</f>
        <v>8156.5015156266336</v>
      </c>
      <c r="H107" s="183">
        <f>H71</f>
        <v>28343</v>
      </c>
    </row>
    <row r="108" spans="1:14" x14ac:dyDescent="0.25">
      <c r="B108" s="177">
        <v>2018</v>
      </c>
      <c r="C108" s="178">
        <f t="shared" si="7"/>
        <v>6389.7450923101851</v>
      </c>
      <c r="D108" s="178">
        <f t="shared" si="8"/>
        <v>6912.4247433297478</v>
      </c>
      <c r="E108" s="178">
        <f t="shared" si="9"/>
        <v>7812.4129801424833</v>
      </c>
      <c r="F108" s="178">
        <f t="shared" si="10"/>
        <v>8497.4320510538764</v>
      </c>
      <c r="G108" s="183">
        <f>G72</f>
        <v>8670.3611111111113</v>
      </c>
      <c r="H108" s="178"/>
    </row>
    <row r="109" spans="1:14" x14ac:dyDescent="0.25">
      <c r="B109" s="177">
        <v>2019</v>
      </c>
      <c r="C109" s="178">
        <f t="shared" si="7"/>
        <v>6792.2990331257261</v>
      </c>
      <c r="D109" s="178">
        <f t="shared" si="8"/>
        <v>7347.9075021595218</v>
      </c>
      <c r="E109" s="178">
        <f t="shared" si="9"/>
        <v>8304.5949978914596</v>
      </c>
      <c r="F109" s="183">
        <f>F73</f>
        <v>9032.77027027027</v>
      </c>
      <c r="G109" s="178"/>
      <c r="H109" s="178"/>
      <c r="M109" s="6"/>
    </row>
    <row r="110" spans="1:14" x14ac:dyDescent="0.25">
      <c r="B110" s="177">
        <v>2020</v>
      </c>
      <c r="C110" s="178">
        <f t="shared" si="7"/>
        <v>7220.2138722126465</v>
      </c>
      <c r="D110" s="178">
        <f t="shared" si="8"/>
        <v>7810.8256747955711</v>
      </c>
      <c r="E110" s="183">
        <f>E74</f>
        <v>8827.7844827586214</v>
      </c>
      <c r="F110" s="178"/>
      <c r="G110" s="178"/>
      <c r="H110" s="178"/>
      <c r="M110" s="6"/>
    </row>
    <row r="111" spans="1:14" x14ac:dyDescent="0.25">
      <c r="B111" s="177">
        <v>2021</v>
      </c>
      <c r="C111" s="178">
        <f>C112/(1+$E$58)</f>
        <v>7675.0873461620431</v>
      </c>
      <c r="D111" s="183">
        <f>D75</f>
        <v>8302.9076923076918</v>
      </c>
      <c r="E111" s="178"/>
      <c r="F111" s="178"/>
      <c r="G111" s="178"/>
      <c r="H111" s="178"/>
    </row>
    <row r="112" spans="1:14" x14ac:dyDescent="0.25">
      <c r="B112" s="177">
        <v>2022</v>
      </c>
      <c r="C112" s="183">
        <f>C76</f>
        <v>8158.6178489702515</v>
      </c>
      <c r="D112" s="178"/>
      <c r="E112" s="178"/>
      <c r="F112" s="178"/>
      <c r="G112" s="178"/>
      <c r="H112" s="178"/>
    </row>
    <row r="113" spans="2:8" x14ac:dyDescent="0.25">
      <c r="B113" s="6"/>
      <c r="C113" s="6"/>
      <c r="D113" s="6"/>
      <c r="E113" s="6"/>
      <c r="F113" s="6"/>
      <c r="G113" s="6"/>
      <c r="H113" s="6"/>
    </row>
    <row r="114" spans="2:8" x14ac:dyDescent="0.25">
      <c r="B114" s="180" t="s">
        <v>13</v>
      </c>
      <c r="C114" s="222" t="s">
        <v>440</v>
      </c>
      <c r="D114" s="222"/>
      <c r="E114" s="222"/>
      <c r="F114" s="222"/>
      <c r="G114" s="222"/>
      <c r="H114" s="222"/>
    </row>
    <row r="115" spans="2:8" x14ac:dyDescent="0.25">
      <c r="B115" s="181" t="s">
        <v>14</v>
      </c>
      <c r="C115" s="177">
        <v>12</v>
      </c>
      <c r="D115" s="177">
        <f>C115+12</f>
        <v>24</v>
      </c>
      <c r="E115" s="177">
        <f t="shared" ref="E115:H115" si="11">D115+12</f>
        <v>36</v>
      </c>
      <c r="F115" s="177">
        <f t="shared" si="11"/>
        <v>48</v>
      </c>
      <c r="G115" s="177">
        <f t="shared" si="11"/>
        <v>60</v>
      </c>
      <c r="H115" s="177">
        <f t="shared" si="11"/>
        <v>72</v>
      </c>
    </row>
    <row r="116" spans="2:8" x14ac:dyDescent="0.25">
      <c r="B116" s="177">
        <v>2017</v>
      </c>
      <c r="C116" s="178">
        <f t="shared" ref="C116:F116" si="12">C33+C107*(C42-C51)</f>
        <v>3602331.3569732108</v>
      </c>
      <c r="D116" s="178">
        <f t="shared" si="12"/>
        <v>4775496.1616139384</v>
      </c>
      <c r="E116" s="178">
        <f t="shared" si="12"/>
        <v>5805685.5585237788</v>
      </c>
      <c r="F116" s="178">
        <f t="shared" si="12"/>
        <v>6784637.6258228133</v>
      </c>
      <c r="G116" s="178">
        <f>G33+G107*(G42-G51)</f>
        <v>7372495.106093864</v>
      </c>
      <c r="H116" s="178">
        <f>H24</f>
        <v>7702277</v>
      </c>
    </row>
    <row r="117" spans="2:8" x14ac:dyDescent="0.25">
      <c r="B117" s="177">
        <v>2018</v>
      </c>
      <c r="C117" s="178">
        <f t="shared" ref="C117:F117" si="13">C34+C108*(C43-C52)</f>
        <v>3848405.5074779349</v>
      </c>
      <c r="D117" s="178">
        <f t="shared" si="13"/>
        <v>5063164.272485584</v>
      </c>
      <c r="E117" s="178">
        <f t="shared" si="13"/>
        <v>6447061.2686114889</v>
      </c>
      <c r="F117" s="178">
        <f t="shared" si="13"/>
        <v>7430018.6474028118</v>
      </c>
      <c r="G117" s="178">
        <f>G25</f>
        <v>8060259</v>
      </c>
      <c r="H117" s="178"/>
    </row>
    <row r="118" spans="2:8" x14ac:dyDescent="0.25">
      <c r="B118" s="177">
        <v>2019</v>
      </c>
      <c r="C118" s="178">
        <f t="shared" ref="C118:E118" si="14">C35+C109*(C44-C53)</f>
        <v>4198282.9026146736</v>
      </c>
      <c r="D118" s="178">
        <f t="shared" si="14"/>
        <v>5567827.048175931</v>
      </c>
      <c r="E118" s="178">
        <f t="shared" si="14"/>
        <v>6905880.4695234699</v>
      </c>
      <c r="F118" s="178">
        <f>F26</f>
        <v>8051684</v>
      </c>
      <c r="G118" s="178"/>
      <c r="H118" s="178"/>
    </row>
    <row r="119" spans="2:8" x14ac:dyDescent="0.25">
      <c r="B119" s="177">
        <v>2020</v>
      </c>
      <c r="C119" s="178">
        <f t="shared" ref="C119:D119" si="15">C36+C110*(C45-C54)</f>
        <v>4622567.2540737372</v>
      </c>
      <c r="D119" s="178">
        <f t="shared" si="15"/>
        <v>5976717.6929589696</v>
      </c>
      <c r="E119" s="178">
        <f>E27</f>
        <v>7664425</v>
      </c>
      <c r="F119" s="178"/>
      <c r="G119" s="178"/>
      <c r="H119" s="178"/>
    </row>
    <row r="120" spans="2:8" x14ac:dyDescent="0.25">
      <c r="B120" s="177">
        <v>2021</v>
      </c>
      <c r="C120" s="178">
        <f>C37+C111*(C46-C55)</f>
        <v>4890708.6853880584</v>
      </c>
      <c r="D120" s="178">
        <f>D28</f>
        <v>6611842</v>
      </c>
      <c r="E120" s="178"/>
      <c r="F120" s="178"/>
      <c r="G120" s="178"/>
      <c r="H120" s="178"/>
    </row>
    <row r="121" spans="2:8" x14ac:dyDescent="0.25">
      <c r="B121" s="177">
        <v>2022</v>
      </c>
      <c r="C121" s="178">
        <f>C29</f>
        <v>5320155</v>
      </c>
      <c r="D121" s="178"/>
      <c r="E121" s="178"/>
      <c r="F121" s="178"/>
      <c r="G121" s="178"/>
      <c r="H121" s="178"/>
    </row>
  </sheetData>
  <mergeCells count="10">
    <mergeCell ref="C105:H105"/>
    <mergeCell ref="C114:H114"/>
    <mergeCell ref="B101:K102"/>
    <mergeCell ref="A3:K4"/>
    <mergeCell ref="C22:H22"/>
    <mergeCell ref="C31:H31"/>
    <mergeCell ref="C40:H40"/>
    <mergeCell ref="C49:H49"/>
    <mergeCell ref="C69:H69"/>
    <mergeCell ref="C78:H78"/>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255F-7E7A-49F6-BA62-647313FCC1B0}">
  <dimension ref="A1:R70"/>
  <sheetViews>
    <sheetView topLeftCell="A49" zoomScaleNormal="100" workbookViewId="0">
      <selection activeCell="A49" sqref="A49"/>
    </sheetView>
  </sheetViews>
  <sheetFormatPr defaultColWidth="8.85546875" defaultRowHeight="15.75" x14ac:dyDescent="0.25"/>
  <cols>
    <col min="1" max="1" width="8.85546875" style="1" customWidth="1"/>
    <col min="2" max="3" width="10.7109375" style="1" customWidth="1"/>
    <col min="4" max="5" width="20.7109375" style="1" customWidth="1"/>
    <col min="6" max="7" width="13.7109375" style="1" customWidth="1"/>
    <col min="8" max="8" width="8.85546875" style="1" customWidth="1"/>
    <col min="9" max="16384" width="8.85546875" style="1"/>
  </cols>
  <sheetData>
    <row r="1" spans="1:18" ht="18.75" x14ac:dyDescent="0.3">
      <c r="A1" s="2" t="s">
        <v>218</v>
      </c>
      <c r="B1" s="4"/>
      <c r="C1" s="8" t="s">
        <v>9</v>
      </c>
      <c r="D1" s="4"/>
      <c r="E1" s="4"/>
      <c r="F1" s="4"/>
      <c r="G1" s="4"/>
      <c r="H1" s="4"/>
      <c r="I1" s="4"/>
      <c r="J1" s="4"/>
      <c r="K1" s="4"/>
      <c r="L1" s="3"/>
    </row>
    <row r="2" spans="1:18" x14ac:dyDescent="0.25">
      <c r="A2" s="4"/>
      <c r="B2" s="4"/>
      <c r="C2" s="4"/>
      <c r="D2" s="4"/>
      <c r="E2" s="4"/>
      <c r="F2" s="4"/>
      <c r="G2" s="4"/>
      <c r="H2" s="4"/>
      <c r="I2" s="4"/>
      <c r="J2" s="4"/>
      <c r="K2" s="4"/>
      <c r="L2" s="3"/>
    </row>
    <row r="3" spans="1:18" x14ac:dyDescent="0.25">
      <c r="A3" s="8" t="s">
        <v>51</v>
      </c>
      <c r="B3" s="4"/>
      <c r="C3" s="4"/>
      <c r="D3" s="4"/>
      <c r="E3" s="4"/>
      <c r="F3" s="4"/>
      <c r="G3" s="4"/>
      <c r="H3" s="4"/>
      <c r="I3" s="4"/>
      <c r="J3" s="4"/>
      <c r="K3" s="4"/>
      <c r="L3" s="3"/>
    </row>
    <row r="4" spans="1:18" x14ac:dyDescent="0.25">
      <c r="A4" s="9"/>
      <c r="B4" s="4"/>
      <c r="C4" s="4"/>
      <c r="D4" s="4"/>
      <c r="E4" s="4"/>
      <c r="F4" s="4"/>
      <c r="G4" s="4"/>
      <c r="H4" s="8"/>
      <c r="I4" s="8"/>
      <c r="J4" s="8"/>
      <c r="K4" s="8"/>
      <c r="L4" s="8"/>
    </row>
    <row r="5" spans="1:18" ht="31.5" x14ac:dyDescent="0.25">
      <c r="A5" s="9"/>
      <c r="B5" s="33" t="s">
        <v>219</v>
      </c>
      <c r="C5" s="33" t="s">
        <v>220</v>
      </c>
      <c r="D5" s="33" t="s">
        <v>221</v>
      </c>
      <c r="E5" s="33" t="s">
        <v>222</v>
      </c>
      <c r="F5" s="4"/>
      <c r="G5" s="4"/>
      <c r="H5" s="8"/>
      <c r="I5" s="8"/>
      <c r="J5" s="8"/>
      <c r="K5" s="8"/>
      <c r="L5" s="8"/>
    </row>
    <row r="6" spans="1:18" x14ac:dyDescent="0.25">
      <c r="A6" s="9"/>
      <c r="B6" s="21">
        <v>501</v>
      </c>
      <c r="C6" s="22">
        <v>5000</v>
      </c>
      <c r="D6" s="64">
        <v>44013</v>
      </c>
      <c r="E6" s="64">
        <v>44742</v>
      </c>
      <c r="F6" s="4"/>
      <c r="G6" s="4"/>
      <c r="H6" s="8"/>
      <c r="I6" s="8"/>
      <c r="J6" s="8"/>
      <c r="K6" s="8"/>
      <c r="L6" s="8"/>
    </row>
    <row r="7" spans="1:18" x14ac:dyDescent="0.25">
      <c r="A7" s="9"/>
      <c r="B7" s="21">
        <v>502</v>
      </c>
      <c r="C7" s="22">
        <v>3600</v>
      </c>
      <c r="D7" s="64">
        <v>44287</v>
      </c>
      <c r="E7" s="64">
        <v>45382</v>
      </c>
      <c r="F7" s="4"/>
      <c r="G7" s="4"/>
      <c r="H7" s="8"/>
      <c r="I7" s="8"/>
      <c r="J7" s="8"/>
      <c r="K7" s="8"/>
      <c r="L7" s="8"/>
    </row>
    <row r="8" spans="1:18" x14ac:dyDescent="0.25">
      <c r="A8" s="9"/>
      <c r="B8" s="21">
        <v>503</v>
      </c>
      <c r="C8" s="22">
        <v>2400</v>
      </c>
      <c r="D8" s="64">
        <v>44562</v>
      </c>
      <c r="E8" s="64">
        <v>45657</v>
      </c>
      <c r="F8" s="4"/>
      <c r="G8" s="4"/>
      <c r="H8" s="8"/>
      <c r="I8" s="8"/>
      <c r="J8" s="8"/>
      <c r="K8" s="8"/>
      <c r="L8" s="8"/>
    </row>
    <row r="9" spans="1:18" x14ac:dyDescent="0.25">
      <c r="A9" s="4"/>
      <c r="B9" s="21">
        <v>504</v>
      </c>
      <c r="C9" s="22">
        <v>4800</v>
      </c>
      <c r="D9" s="64">
        <v>44805</v>
      </c>
      <c r="E9" s="64">
        <v>45535</v>
      </c>
      <c r="F9" s="4"/>
      <c r="G9" s="4"/>
      <c r="H9" s="8"/>
      <c r="I9" s="8"/>
      <c r="J9" s="8"/>
      <c r="K9" s="8"/>
      <c r="L9" s="8"/>
    </row>
    <row r="10" spans="1:18" x14ac:dyDescent="0.25">
      <c r="A10" s="4"/>
      <c r="B10" s="4"/>
      <c r="C10" s="4"/>
      <c r="D10" s="4"/>
      <c r="E10" s="4"/>
      <c r="F10" s="4"/>
      <c r="G10" s="4"/>
      <c r="H10" s="8"/>
      <c r="I10" s="8"/>
      <c r="J10" s="8"/>
      <c r="K10" s="8"/>
      <c r="L10" s="8"/>
    </row>
    <row r="11" spans="1:18" x14ac:dyDescent="0.25">
      <c r="A11" s="9"/>
      <c r="B11" s="4" t="s">
        <v>223</v>
      </c>
      <c r="C11" s="4"/>
      <c r="D11" s="4"/>
      <c r="E11" s="4"/>
      <c r="F11" s="4"/>
      <c r="G11" s="4"/>
      <c r="H11" s="8"/>
      <c r="I11" s="8"/>
      <c r="J11" s="8"/>
      <c r="K11" s="8"/>
      <c r="L11" s="8"/>
    </row>
    <row r="12" spans="1:18" x14ac:dyDescent="0.25">
      <c r="A12" s="4"/>
      <c r="B12" s="4" t="s">
        <v>118</v>
      </c>
      <c r="C12" s="4"/>
      <c r="D12" s="4"/>
      <c r="E12" s="4"/>
      <c r="F12" s="4"/>
      <c r="G12" s="4"/>
      <c r="H12" s="8"/>
      <c r="I12" s="8"/>
      <c r="J12" s="8"/>
      <c r="K12" s="8"/>
      <c r="L12" s="8"/>
    </row>
    <row r="13" spans="1:18" x14ac:dyDescent="0.25">
      <c r="A13" s="4"/>
      <c r="B13" s="4" t="s">
        <v>224</v>
      </c>
      <c r="C13" s="4"/>
      <c r="D13" s="4"/>
      <c r="E13" s="4"/>
      <c r="F13" s="4"/>
      <c r="G13" s="4"/>
      <c r="H13" s="8"/>
      <c r="I13" s="8"/>
      <c r="J13" s="8"/>
      <c r="K13" s="8"/>
      <c r="L13" s="8"/>
    </row>
    <row r="14" spans="1:18" x14ac:dyDescent="0.25">
      <c r="A14" s="8"/>
      <c r="B14" s="8"/>
      <c r="C14" s="8"/>
      <c r="D14" s="8"/>
      <c r="E14" s="8"/>
      <c r="F14" s="8"/>
      <c r="G14" s="8"/>
      <c r="H14" s="8"/>
      <c r="I14" s="8"/>
      <c r="J14" s="8"/>
      <c r="K14" s="8"/>
      <c r="L14" s="8"/>
    </row>
    <row r="15" spans="1:18" x14ac:dyDescent="0.25">
      <c r="A15" s="6"/>
      <c r="B15" s="6"/>
      <c r="C15" s="6"/>
      <c r="D15" s="6"/>
      <c r="E15" s="6"/>
      <c r="F15" s="6"/>
      <c r="G15" s="6"/>
      <c r="H15" s="6"/>
      <c r="I15" s="6"/>
      <c r="J15" s="6"/>
      <c r="K15" s="6"/>
      <c r="L15" s="6"/>
    </row>
    <row r="16" spans="1:18" x14ac:dyDescent="0.25">
      <c r="A16" s="5" t="s">
        <v>4</v>
      </c>
      <c r="B16" s="8" t="s">
        <v>225</v>
      </c>
      <c r="C16" s="8"/>
      <c r="D16" s="4"/>
      <c r="E16" s="4"/>
      <c r="F16" s="4"/>
      <c r="G16" s="4"/>
      <c r="H16" s="4"/>
      <c r="I16" s="4"/>
      <c r="J16" s="4"/>
      <c r="K16" s="4"/>
      <c r="L16" s="4"/>
      <c r="M16" s="7"/>
      <c r="N16" s="7"/>
      <c r="O16" s="7"/>
      <c r="P16" s="7"/>
      <c r="Q16" s="7"/>
      <c r="R16" s="7"/>
    </row>
    <row r="17" spans="1:14" x14ac:dyDescent="0.25">
      <c r="A17" s="6"/>
      <c r="B17" s="6"/>
      <c r="C17" s="6"/>
      <c r="D17" s="6"/>
      <c r="E17" s="6"/>
      <c r="F17" s="6"/>
      <c r="G17" s="6"/>
      <c r="H17" s="6"/>
      <c r="I17" s="6"/>
      <c r="J17" s="6"/>
      <c r="K17" s="6"/>
      <c r="L17" s="6"/>
      <c r="M17" s="6"/>
    </row>
    <row r="18" spans="1:14" x14ac:dyDescent="0.25">
      <c r="A18" s="6" t="s">
        <v>1</v>
      </c>
      <c r="B18" s="6"/>
      <c r="C18" s="6"/>
      <c r="D18" s="6"/>
      <c r="E18" s="6"/>
      <c r="F18" s="6"/>
      <c r="G18" s="6"/>
      <c r="H18" s="6"/>
      <c r="I18" s="6"/>
      <c r="J18" s="6"/>
      <c r="K18" s="6"/>
      <c r="L18" s="6"/>
      <c r="M18" s="6"/>
      <c r="N18" s="7"/>
    </row>
    <row r="19" spans="1:14" ht="31.5" x14ac:dyDescent="0.25">
      <c r="B19" s="97" t="s">
        <v>219</v>
      </c>
      <c r="C19" s="97" t="s">
        <v>220</v>
      </c>
      <c r="D19" s="97" t="s">
        <v>221</v>
      </c>
      <c r="E19" s="97" t="s">
        <v>222</v>
      </c>
      <c r="F19" s="97" t="s">
        <v>452</v>
      </c>
      <c r="G19" s="97" t="s">
        <v>453</v>
      </c>
      <c r="M19" s="7"/>
      <c r="N19" s="7"/>
    </row>
    <row r="20" spans="1:14" x14ac:dyDescent="0.25">
      <c r="B20" s="74">
        <f t="shared" ref="B20:E23" si="0">B6</f>
        <v>501</v>
      </c>
      <c r="C20" s="81">
        <f t="shared" si="0"/>
        <v>5000</v>
      </c>
      <c r="D20" s="187">
        <f t="shared" si="0"/>
        <v>44013</v>
      </c>
      <c r="E20" s="187">
        <f t="shared" si="0"/>
        <v>44742</v>
      </c>
      <c r="F20" s="144">
        <v>0</v>
      </c>
      <c r="G20" s="81">
        <f>$C20*F20</f>
        <v>0</v>
      </c>
      <c r="M20" s="7"/>
      <c r="N20" s="7"/>
    </row>
    <row r="21" spans="1:14" x14ac:dyDescent="0.25">
      <c r="B21" s="74">
        <f t="shared" si="0"/>
        <v>502</v>
      </c>
      <c r="C21" s="81">
        <f t="shared" si="0"/>
        <v>3600</v>
      </c>
      <c r="D21" s="187">
        <f t="shared" si="0"/>
        <v>44287</v>
      </c>
      <c r="E21" s="187">
        <f t="shared" si="0"/>
        <v>45382</v>
      </c>
      <c r="F21" s="144">
        <f>1/3</f>
        <v>0.33333333333333331</v>
      </c>
      <c r="G21" s="81">
        <f t="shared" ref="G21:G23" si="1">$C21*F21</f>
        <v>1200</v>
      </c>
      <c r="M21" s="7"/>
      <c r="N21" s="7"/>
    </row>
    <row r="22" spans="1:14" x14ac:dyDescent="0.25">
      <c r="B22" s="74">
        <f t="shared" si="0"/>
        <v>503</v>
      </c>
      <c r="C22" s="81">
        <f t="shared" si="0"/>
        <v>2400</v>
      </c>
      <c r="D22" s="187">
        <f t="shared" si="0"/>
        <v>44562</v>
      </c>
      <c r="E22" s="187">
        <f t="shared" si="0"/>
        <v>45657</v>
      </c>
      <c r="F22" s="144">
        <f>1/3</f>
        <v>0.33333333333333331</v>
      </c>
      <c r="G22" s="81">
        <f t="shared" si="1"/>
        <v>800</v>
      </c>
      <c r="M22" s="7"/>
      <c r="N22" s="7"/>
    </row>
    <row r="23" spans="1:14" x14ac:dyDescent="0.25">
      <c r="B23" s="76">
        <f t="shared" si="0"/>
        <v>504</v>
      </c>
      <c r="C23" s="114">
        <f t="shared" si="0"/>
        <v>4800</v>
      </c>
      <c r="D23" s="185">
        <f t="shared" si="0"/>
        <v>44805</v>
      </c>
      <c r="E23" s="185">
        <f t="shared" si="0"/>
        <v>45535</v>
      </c>
      <c r="F23" s="186">
        <v>0.5</v>
      </c>
      <c r="G23" s="114">
        <f t="shared" si="1"/>
        <v>2400</v>
      </c>
      <c r="M23" s="7"/>
      <c r="N23" s="7"/>
    </row>
    <row r="24" spans="1:14" x14ac:dyDescent="0.25">
      <c r="B24" s="74" t="s">
        <v>46</v>
      </c>
      <c r="C24" s="6"/>
      <c r="D24" s="6"/>
      <c r="E24" s="6"/>
      <c r="F24" s="6"/>
      <c r="G24" s="81">
        <f>SUM(G20:G23)</f>
        <v>4400</v>
      </c>
      <c r="M24" s="7"/>
      <c r="N24" s="7"/>
    </row>
    <row r="26" spans="1:14" x14ac:dyDescent="0.25">
      <c r="A26" s="5" t="s">
        <v>5</v>
      </c>
      <c r="B26" s="8" t="s">
        <v>226</v>
      </c>
      <c r="C26" s="4"/>
      <c r="D26" s="4"/>
      <c r="E26" s="4"/>
      <c r="F26" s="4"/>
      <c r="G26" s="4"/>
      <c r="H26" s="4"/>
      <c r="I26" s="4"/>
      <c r="J26" s="4"/>
      <c r="K26" s="4"/>
      <c r="L26" s="4"/>
    </row>
    <row r="27" spans="1:14" x14ac:dyDescent="0.25">
      <c r="A27" s="6"/>
      <c r="B27" s="6"/>
      <c r="C27" s="6"/>
      <c r="D27" s="6"/>
      <c r="E27" s="6"/>
      <c r="F27" s="6"/>
      <c r="G27" s="6"/>
      <c r="H27" s="6"/>
      <c r="I27" s="6"/>
      <c r="J27" s="6"/>
      <c r="K27" s="6"/>
      <c r="L27" s="6"/>
    </row>
    <row r="28" spans="1:14" x14ac:dyDescent="0.25">
      <c r="A28" s="6" t="s">
        <v>1</v>
      </c>
      <c r="B28" s="6"/>
      <c r="C28" s="6"/>
      <c r="D28" s="6"/>
      <c r="E28" s="6"/>
      <c r="F28" s="6"/>
      <c r="G28" s="6"/>
      <c r="H28" s="6"/>
      <c r="I28" s="6"/>
      <c r="J28" s="6"/>
      <c r="K28" s="6"/>
      <c r="L28" s="6"/>
    </row>
    <row r="29" spans="1:14" ht="31.5" x14ac:dyDescent="0.25">
      <c r="B29" s="97" t="s">
        <v>219</v>
      </c>
      <c r="C29" s="190" t="s">
        <v>454</v>
      </c>
      <c r="D29" s="190"/>
      <c r="E29" s="97" t="s">
        <v>455</v>
      </c>
      <c r="M29" s="6"/>
    </row>
    <row r="30" spans="1:14" x14ac:dyDescent="0.25">
      <c r="B30" s="74">
        <f>B20</f>
        <v>501</v>
      </c>
      <c r="C30" s="188" t="s">
        <v>456</v>
      </c>
      <c r="D30" s="189">
        <f>6/24</f>
        <v>0.25</v>
      </c>
      <c r="E30" s="81">
        <f>$C20*D30</f>
        <v>1250</v>
      </c>
    </row>
    <row r="31" spans="1:14" x14ac:dyDescent="0.25">
      <c r="B31" s="74">
        <f>B21</f>
        <v>502</v>
      </c>
      <c r="C31" s="188" t="s">
        <v>457</v>
      </c>
      <c r="D31" s="189">
        <f>1/3</f>
        <v>0.33333333333333331</v>
      </c>
      <c r="E31" s="81">
        <f>$C21*D31</f>
        <v>1200</v>
      </c>
    </row>
    <row r="32" spans="1:14" x14ac:dyDescent="0.25">
      <c r="B32" s="74">
        <f>B22</f>
        <v>503</v>
      </c>
      <c r="C32" s="188" t="s">
        <v>457</v>
      </c>
      <c r="D32" s="189">
        <f>1/3</f>
        <v>0.33333333333333331</v>
      </c>
      <c r="E32" s="81">
        <f>$C22*D32</f>
        <v>800</v>
      </c>
    </row>
    <row r="33" spans="1:12" x14ac:dyDescent="0.25">
      <c r="B33" s="76">
        <f>B23</f>
        <v>504</v>
      </c>
      <c r="C33" s="191" t="s">
        <v>458</v>
      </c>
      <c r="D33" s="192">
        <f>4/24</f>
        <v>0.16666666666666666</v>
      </c>
      <c r="E33" s="114">
        <f>$C23*D33</f>
        <v>800</v>
      </c>
    </row>
    <row r="34" spans="1:12" x14ac:dyDescent="0.25">
      <c r="B34" s="74" t="s">
        <v>46</v>
      </c>
      <c r="C34" s="81"/>
      <c r="D34" s="6"/>
      <c r="E34" s="81">
        <f>SUM(E30:E33)</f>
        <v>4050</v>
      </c>
    </row>
    <row r="36" spans="1:12" x14ac:dyDescent="0.25">
      <c r="A36" s="5" t="s">
        <v>0</v>
      </c>
      <c r="B36" s="8" t="s">
        <v>227</v>
      </c>
      <c r="C36" s="4"/>
      <c r="D36" s="4"/>
      <c r="E36" s="4"/>
      <c r="F36" s="4"/>
      <c r="G36" s="4"/>
      <c r="H36" s="4"/>
      <c r="I36" s="4"/>
      <c r="J36" s="4"/>
      <c r="K36" s="4"/>
      <c r="L36" s="4"/>
    </row>
    <row r="37" spans="1:12" x14ac:dyDescent="0.25">
      <c r="A37" s="6"/>
      <c r="B37" s="6"/>
      <c r="C37" s="6"/>
      <c r="D37" s="6"/>
      <c r="E37" s="6"/>
      <c r="F37" s="6"/>
      <c r="G37" s="6"/>
      <c r="H37" s="6"/>
      <c r="I37" s="6"/>
      <c r="J37" s="6"/>
      <c r="K37" s="6"/>
      <c r="L37" s="6"/>
    </row>
    <row r="38" spans="1:12" x14ac:dyDescent="0.25">
      <c r="A38" s="6" t="s">
        <v>1</v>
      </c>
      <c r="B38" s="6"/>
      <c r="C38" s="6"/>
      <c r="D38" s="6"/>
      <c r="E38" s="6"/>
      <c r="F38" s="6"/>
      <c r="G38" s="6"/>
      <c r="H38" s="6"/>
      <c r="I38" s="6"/>
      <c r="J38" s="6"/>
      <c r="K38" s="6"/>
      <c r="L38" s="6"/>
    </row>
    <row r="39" spans="1:12" ht="47.25" x14ac:dyDescent="0.25">
      <c r="A39" s="6"/>
      <c r="B39" s="97" t="s">
        <v>219</v>
      </c>
      <c r="C39" s="97" t="s">
        <v>459</v>
      </c>
      <c r="D39" s="97" t="s">
        <v>460</v>
      </c>
      <c r="E39" s="97" t="s">
        <v>465</v>
      </c>
      <c r="F39" s="97" t="s">
        <v>466</v>
      </c>
      <c r="G39" s="6"/>
      <c r="H39" s="6"/>
      <c r="I39" s="6"/>
      <c r="J39" s="6"/>
      <c r="K39" s="6"/>
      <c r="L39" s="6"/>
    </row>
    <row r="40" spans="1:12" x14ac:dyDescent="0.25">
      <c r="A40" s="6"/>
      <c r="B40" s="74">
        <f>B20</f>
        <v>501</v>
      </c>
      <c r="C40" s="81">
        <f>C20/2</f>
        <v>2500</v>
      </c>
      <c r="D40" s="132">
        <f>DATE(2022,MONTH(D20),1)</f>
        <v>44743</v>
      </c>
      <c r="E40" s="81">
        <v>0</v>
      </c>
      <c r="F40" s="81">
        <f>C40*E40/12</f>
        <v>0</v>
      </c>
      <c r="G40" s="6"/>
      <c r="H40" s="6"/>
      <c r="I40" s="6"/>
      <c r="J40" s="6"/>
      <c r="K40" s="6"/>
      <c r="L40" s="6"/>
    </row>
    <row r="41" spans="1:12" x14ac:dyDescent="0.25">
      <c r="A41" s="6"/>
      <c r="B41" s="74">
        <f>B21</f>
        <v>502</v>
      </c>
      <c r="C41" s="81">
        <f>C21/3</f>
        <v>1200</v>
      </c>
      <c r="D41" s="132">
        <f>DATE(2022,MONTH(D21),1)</f>
        <v>44652</v>
      </c>
      <c r="E41" s="81">
        <f t="shared" ref="E41:E43" si="2">12-13+MONTH(D41)</f>
        <v>3</v>
      </c>
      <c r="F41" s="81">
        <f t="shared" ref="F41:F43" si="3">C41*E41/12</f>
        <v>300</v>
      </c>
      <c r="G41" s="6"/>
      <c r="H41" s="6"/>
      <c r="I41" s="6"/>
      <c r="J41" s="6"/>
      <c r="K41" s="6"/>
      <c r="L41" s="6"/>
    </row>
    <row r="42" spans="1:12" x14ac:dyDescent="0.25">
      <c r="A42" s="6"/>
      <c r="B42" s="74">
        <f>B22</f>
        <v>503</v>
      </c>
      <c r="C42" s="81">
        <f>C22/3</f>
        <v>800</v>
      </c>
      <c r="D42" s="132">
        <f>DATE(2022,MONTH(D22),1)</f>
        <v>44562</v>
      </c>
      <c r="E42" s="81">
        <f t="shared" si="2"/>
        <v>0</v>
      </c>
      <c r="F42" s="81">
        <f t="shared" si="3"/>
        <v>0</v>
      </c>
      <c r="G42" s="6"/>
      <c r="H42" s="6"/>
      <c r="I42" s="6"/>
      <c r="J42" s="6"/>
      <c r="K42" s="6"/>
      <c r="L42" s="6"/>
    </row>
    <row r="43" spans="1:12" x14ac:dyDescent="0.25">
      <c r="A43" s="6"/>
      <c r="B43" s="76">
        <f>B23</f>
        <v>504</v>
      </c>
      <c r="C43" s="114">
        <f>C23/2</f>
        <v>2400</v>
      </c>
      <c r="D43" s="194">
        <f>DATE(2022,MONTH(D23),1)</f>
        <v>44805</v>
      </c>
      <c r="E43" s="114">
        <f t="shared" si="2"/>
        <v>8</v>
      </c>
      <c r="F43" s="114">
        <f t="shared" si="3"/>
        <v>1600</v>
      </c>
      <c r="G43" s="6"/>
      <c r="H43" s="6"/>
      <c r="I43" s="6"/>
      <c r="J43" s="6"/>
      <c r="K43" s="6"/>
      <c r="L43" s="6"/>
    </row>
    <row r="44" spans="1:12" x14ac:dyDescent="0.25">
      <c r="A44" s="6"/>
      <c r="B44" s="74" t="s">
        <v>46</v>
      </c>
      <c r="C44" s="193"/>
      <c r="D44" s="193"/>
      <c r="E44" s="193"/>
      <c r="F44" s="81">
        <f>SUM(F40:F43)</f>
        <v>1900</v>
      </c>
      <c r="G44" s="6"/>
      <c r="H44" s="6"/>
      <c r="I44" s="6"/>
      <c r="J44" s="6"/>
      <c r="K44" s="6"/>
      <c r="L44" s="6"/>
    </row>
    <row r="46" spans="1:12" x14ac:dyDescent="0.25">
      <c r="A46" s="8"/>
      <c r="B46" s="8"/>
      <c r="C46" s="8"/>
      <c r="D46" s="8"/>
      <c r="E46" s="8"/>
      <c r="F46" s="8"/>
      <c r="G46" s="8"/>
      <c r="H46" s="8"/>
      <c r="I46" s="8"/>
      <c r="J46" s="8"/>
      <c r="K46" s="8"/>
      <c r="L46" s="8"/>
    </row>
    <row r="47" spans="1:12" x14ac:dyDescent="0.25">
      <c r="A47" s="59" t="s">
        <v>228</v>
      </c>
      <c r="B47" s="8"/>
      <c r="C47" s="8"/>
      <c r="D47" s="8"/>
      <c r="E47" s="8"/>
      <c r="F47" s="8"/>
      <c r="G47" s="8"/>
      <c r="H47" s="8"/>
      <c r="I47" s="8"/>
      <c r="J47" s="8"/>
      <c r="K47" s="8"/>
      <c r="L47" s="8"/>
    </row>
    <row r="48" spans="1:12" x14ac:dyDescent="0.25">
      <c r="A48" s="8"/>
      <c r="B48" s="8"/>
      <c r="C48" s="8"/>
      <c r="D48" s="8"/>
      <c r="E48" s="8"/>
      <c r="F48" s="8"/>
      <c r="G48" s="8"/>
      <c r="H48" s="8"/>
      <c r="I48" s="8"/>
      <c r="J48" s="8"/>
      <c r="K48" s="8"/>
      <c r="L48" s="8"/>
    </row>
    <row r="50" spans="1:13" x14ac:dyDescent="0.25">
      <c r="A50" s="5" t="s">
        <v>2</v>
      </c>
      <c r="B50" s="8" t="s">
        <v>229</v>
      </c>
      <c r="C50" s="4"/>
      <c r="D50" s="4"/>
      <c r="E50" s="4"/>
      <c r="F50" s="4"/>
      <c r="G50" s="4"/>
      <c r="H50" s="4"/>
      <c r="I50" s="4"/>
      <c r="J50" s="4"/>
      <c r="K50" s="4"/>
      <c r="L50" s="4"/>
    </row>
    <row r="51" spans="1:13" x14ac:dyDescent="0.25">
      <c r="A51" s="6"/>
      <c r="B51" s="6"/>
      <c r="C51" s="6"/>
      <c r="D51" s="6"/>
      <c r="E51" s="6"/>
      <c r="F51" s="6"/>
      <c r="G51" s="6"/>
      <c r="H51" s="6"/>
      <c r="I51" s="6"/>
      <c r="J51" s="6"/>
      <c r="K51" s="6"/>
      <c r="L51" s="6"/>
    </row>
    <row r="52" spans="1:13" x14ac:dyDescent="0.25">
      <c r="A52" s="6" t="s">
        <v>1</v>
      </c>
      <c r="B52" s="6"/>
      <c r="C52" s="6"/>
      <c r="D52" s="6"/>
      <c r="E52" s="6"/>
      <c r="F52" s="6"/>
      <c r="G52" s="6"/>
      <c r="H52" s="6"/>
      <c r="I52" s="6"/>
      <c r="J52" s="6"/>
      <c r="K52" s="6"/>
      <c r="L52" s="6"/>
    </row>
    <row r="53" spans="1:13" x14ac:dyDescent="0.25">
      <c r="A53" s="6"/>
      <c r="B53" s="6" t="str">
        <f>"Annual premium written on "&amp;TEXT(D23,"mmm. d, yyyy")&amp;" ="</f>
        <v>Annual premium written on Sep. 1, 2022 =</v>
      </c>
      <c r="C53" s="6"/>
      <c r="D53" s="6"/>
      <c r="E53" s="6"/>
      <c r="F53" s="6"/>
      <c r="G53" s="81">
        <f>G23</f>
        <v>2400</v>
      </c>
      <c r="I53" s="6"/>
      <c r="J53" s="6"/>
      <c r="K53" s="6"/>
      <c r="L53" s="6"/>
    </row>
    <row r="54" spans="1:13" x14ac:dyDescent="0.25">
      <c r="A54" s="6"/>
      <c r="B54" s="6" t="str">
        <f>"Number of months of earned premium during 1st year: (i.e., "&amp;TEXT(D23,"mmm. d, yyyy")&amp;" to "&amp;TEXT(DATE(1+YEAR(D23),MONTH(D23),DAY(D23)),"mmm. D, yyyy")&amp;")"</f>
        <v>Number of months of earned premium during 1st year: (i.e., Sep. 1, 2022 to Sep. 1, 2023)</v>
      </c>
      <c r="C54" s="6"/>
      <c r="D54" s="6"/>
      <c r="E54" s="6"/>
      <c r="F54" s="6"/>
      <c r="G54" s="74">
        <v>6</v>
      </c>
      <c r="I54" s="6"/>
      <c r="J54" s="6"/>
      <c r="K54" s="6"/>
      <c r="L54" s="6"/>
    </row>
    <row r="55" spans="1:13" x14ac:dyDescent="0.25">
      <c r="B55" s="6"/>
      <c r="C55" s="6"/>
      <c r="D55" s="100" t="s">
        <v>461</v>
      </c>
      <c r="E55" s="6"/>
      <c r="F55" s="6"/>
      <c r="G55" s="74"/>
    </row>
    <row r="56" spans="1:13" x14ac:dyDescent="0.25">
      <c r="B56" s="6" t="s">
        <v>462</v>
      </c>
      <c r="C56" s="6"/>
      <c r="D56" s="6"/>
      <c r="E56" s="6"/>
      <c r="F56" s="6"/>
      <c r="G56" s="74">
        <f>G53/G54</f>
        <v>400</v>
      </c>
    </row>
    <row r="57" spans="1:13" x14ac:dyDescent="0.25">
      <c r="B57" s="6" t="s">
        <v>463</v>
      </c>
      <c r="C57" s="6"/>
      <c r="D57" s="6"/>
      <c r="E57" s="6"/>
      <c r="F57" s="6"/>
      <c r="G57" s="74">
        <v>1</v>
      </c>
      <c r="M57" s="6"/>
    </row>
    <row r="58" spans="1:13" x14ac:dyDescent="0.25">
      <c r="B58" s="6" t="s">
        <v>464</v>
      </c>
      <c r="C58" s="6"/>
      <c r="D58" s="6"/>
      <c r="E58" s="6"/>
      <c r="F58" s="6"/>
      <c r="G58" s="74">
        <f>G57*G56</f>
        <v>400</v>
      </c>
      <c r="M58" s="6"/>
    </row>
    <row r="60" spans="1:13" x14ac:dyDescent="0.25">
      <c r="A60" s="5" t="s">
        <v>3</v>
      </c>
      <c r="B60" s="8" t="s">
        <v>230</v>
      </c>
      <c r="C60" s="4"/>
      <c r="D60" s="4"/>
      <c r="E60" s="4"/>
      <c r="F60" s="4"/>
      <c r="G60" s="4"/>
      <c r="H60" s="4"/>
      <c r="I60" s="4"/>
      <c r="J60" s="4"/>
      <c r="K60" s="4"/>
      <c r="L60" s="4"/>
    </row>
    <row r="61" spans="1:13" x14ac:dyDescent="0.25">
      <c r="A61" s="6"/>
      <c r="B61" s="6"/>
      <c r="C61" s="6"/>
      <c r="D61" s="6"/>
      <c r="E61" s="6"/>
      <c r="F61" s="6"/>
      <c r="G61" s="6"/>
      <c r="H61" s="6"/>
      <c r="I61" s="6"/>
      <c r="J61" s="6"/>
      <c r="K61" s="6"/>
      <c r="L61" s="6"/>
    </row>
    <row r="62" spans="1:13" x14ac:dyDescent="0.25">
      <c r="A62" s="6" t="s">
        <v>1</v>
      </c>
      <c r="B62" s="6"/>
      <c r="C62" s="6"/>
      <c r="D62" s="6"/>
      <c r="E62" s="6"/>
      <c r="F62" s="6"/>
      <c r="G62" s="6"/>
      <c r="H62" s="6"/>
      <c r="I62" s="6"/>
      <c r="J62" s="6"/>
      <c r="K62" s="6"/>
      <c r="L62" s="6"/>
    </row>
    <row r="63" spans="1:13" x14ac:dyDescent="0.25">
      <c r="B63" s="6" t="s">
        <v>468</v>
      </c>
      <c r="C63" s="6"/>
      <c r="D63" s="6"/>
      <c r="E63" s="6"/>
      <c r="F63" s="6"/>
      <c r="G63" s="6"/>
      <c r="H63" s="74">
        <f>G54-G57</f>
        <v>5</v>
      </c>
    </row>
    <row r="64" spans="1:13" x14ac:dyDescent="0.25">
      <c r="B64" s="6" t="s">
        <v>469</v>
      </c>
      <c r="C64" s="6"/>
      <c r="D64" s="6"/>
      <c r="E64" s="6"/>
      <c r="F64" s="6"/>
      <c r="G64" s="6"/>
      <c r="H64" s="81">
        <f>H63*G56</f>
        <v>2000</v>
      </c>
    </row>
    <row r="66" spans="1:12" x14ac:dyDescent="0.25">
      <c r="A66" s="5" t="s">
        <v>6</v>
      </c>
      <c r="B66" s="210" t="s">
        <v>231</v>
      </c>
      <c r="C66" s="210"/>
      <c r="D66" s="210"/>
      <c r="E66" s="210"/>
      <c r="F66" s="210"/>
      <c r="G66" s="210"/>
      <c r="H66" s="210"/>
      <c r="I66" s="210"/>
      <c r="J66" s="210"/>
      <c r="K66" s="210"/>
      <c r="L66" s="4"/>
    </row>
    <row r="67" spans="1:12" x14ac:dyDescent="0.25">
      <c r="A67" s="5"/>
      <c r="B67" s="210"/>
      <c r="C67" s="210"/>
      <c r="D67" s="210"/>
      <c r="E67" s="210"/>
      <c r="F67" s="210"/>
      <c r="G67" s="210"/>
      <c r="H67" s="210"/>
      <c r="I67" s="210"/>
      <c r="J67" s="210"/>
      <c r="K67" s="210"/>
      <c r="L67" s="4"/>
    </row>
    <row r="68" spans="1:12" x14ac:dyDescent="0.25">
      <c r="A68" s="6"/>
      <c r="B68" s="6"/>
      <c r="C68" s="6"/>
      <c r="D68" s="6"/>
      <c r="E68" s="6"/>
      <c r="F68" s="6"/>
      <c r="G68" s="6"/>
      <c r="H68" s="6"/>
      <c r="I68" s="6"/>
      <c r="J68" s="6"/>
      <c r="K68" s="6"/>
      <c r="L68" s="6"/>
    </row>
    <row r="69" spans="1:12" x14ac:dyDescent="0.25">
      <c r="A69" s="6" t="s">
        <v>1</v>
      </c>
      <c r="B69" s="6"/>
      <c r="C69" s="6"/>
      <c r="D69" s="6"/>
      <c r="E69" s="6"/>
      <c r="F69" s="6"/>
      <c r="G69" s="6"/>
      <c r="H69" s="6"/>
      <c r="I69" s="6"/>
      <c r="J69" s="6"/>
      <c r="K69" s="6"/>
      <c r="L69" s="6"/>
    </row>
    <row r="70" spans="1:12" x14ac:dyDescent="0.25">
      <c r="A70" s="6"/>
      <c r="B70" s="6" t="s">
        <v>467</v>
      </c>
      <c r="C70" s="6"/>
      <c r="D70" s="6"/>
      <c r="E70" s="6"/>
      <c r="F70" s="6"/>
      <c r="G70" s="6"/>
      <c r="H70" s="6"/>
      <c r="I70" s="6"/>
      <c r="J70" s="6"/>
      <c r="K70" s="6"/>
      <c r="L70" s="6"/>
    </row>
  </sheetData>
  <mergeCells count="1">
    <mergeCell ref="B66:K6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6C2F-1E3B-4753-A98A-811318C9B8E6}">
  <dimension ref="A1:L27"/>
  <sheetViews>
    <sheetView zoomScaleNormal="100" workbookViewId="0"/>
  </sheetViews>
  <sheetFormatPr defaultColWidth="8.85546875" defaultRowHeight="15.75" x14ac:dyDescent="0.25"/>
  <cols>
    <col min="1" max="6" width="13.7109375" style="1" customWidth="1"/>
    <col min="7" max="7" width="8.85546875" style="1"/>
    <col min="8" max="8" width="8.85546875" style="1" customWidth="1"/>
    <col min="9" max="16384" width="8.85546875" style="1"/>
  </cols>
  <sheetData>
    <row r="1" spans="1:12" ht="18.75" x14ac:dyDescent="0.3">
      <c r="A1" s="2" t="s">
        <v>37</v>
      </c>
      <c r="B1" s="4"/>
      <c r="C1" s="8" t="s">
        <v>9</v>
      </c>
      <c r="D1" s="4"/>
      <c r="E1" s="4"/>
      <c r="F1" s="4"/>
      <c r="G1" s="4"/>
      <c r="H1" s="4"/>
      <c r="I1" s="4"/>
      <c r="J1" s="4"/>
      <c r="K1" s="4"/>
      <c r="L1" s="3"/>
    </row>
    <row r="2" spans="1:12" x14ac:dyDescent="0.25">
      <c r="A2" s="4"/>
      <c r="B2" s="4"/>
      <c r="C2" s="4"/>
      <c r="D2" s="4"/>
      <c r="E2" s="4"/>
      <c r="F2" s="4"/>
      <c r="G2" s="4"/>
      <c r="H2" s="4"/>
      <c r="I2" s="4"/>
      <c r="J2" s="4"/>
      <c r="K2" s="4"/>
      <c r="L2" s="3"/>
    </row>
    <row r="3" spans="1:12" x14ac:dyDescent="0.25">
      <c r="A3" s="203" t="s">
        <v>38</v>
      </c>
      <c r="B3" s="203"/>
      <c r="C3" s="203"/>
      <c r="D3" s="203"/>
      <c r="E3" s="203"/>
      <c r="F3" s="203"/>
      <c r="G3" s="203"/>
      <c r="H3" s="203"/>
      <c r="I3" s="203"/>
      <c r="J3" s="203"/>
      <c r="K3" s="203"/>
      <c r="L3" s="8"/>
    </row>
    <row r="4" spans="1:12" x14ac:dyDescent="0.25">
      <c r="A4" s="203"/>
      <c r="B4" s="203"/>
      <c r="C4" s="203"/>
      <c r="D4" s="203"/>
      <c r="E4" s="203"/>
      <c r="F4" s="203"/>
      <c r="G4" s="203"/>
      <c r="H4" s="203"/>
      <c r="I4" s="203"/>
      <c r="J4" s="203"/>
      <c r="K4" s="203"/>
      <c r="L4" s="8"/>
    </row>
    <row r="5" spans="1:12" x14ac:dyDescent="0.25">
      <c r="A5" s="10"/>
      <c r="B5" s="4"/>
      <c r="C5" s="4"/>
      <c r="D5" s="4"/>
      <c r="E5" s="4"/>
      <c r="F5" s="4"/>
      <c r="G5" s="4"/>
      <c r="H5" s="8"/>
      <c r="I5" s="8"/>
      <c r="J5" s="8"/>
      <c r="K5" s="8"/>
      <c r="L5" s="8"/>
    </row>
    <row r="6" spans="1:12" x14ac:dyDescent="0.25">
      <c r="A6" s="41"/>
      <c r="B6" s="41"/>
      <c r="C6" s="204" t="s">
        <v>39</v>
      </c>
      <c r="D6" s="204"/>
      <c r="E6" s="204"/>
      <c r="F6" s="204"/>
      <c r="G6" s="4"/>
      <c r="H6" s="8"/>
      <c r="I6" s="8"/>
      <c r="J6" s="8"/>
      <c r="K6" s="8"/>
      <c r="L6" s="8"/>
    </row>
    <row r="7" spans="1:12" ht="47.25" x14ac:dyDescent="0.25">
      <c r="A7" s="42" t="s">
        <v>40</v>
      </c>
      <c r="B7" s="42" t="s">
        <v>41</v>
      </c>
      <c r="C7" s="33" t="s">
        <v>42</v>
      </c>
      <c r="D7" s="33" t="s">
        <v>43</v>
      </c>
      <c r="E7" s="33" t="s">
        <v>44</v>
      </c>
      <c r="F7" s="33" t="s">
        <v>45</v>
      </c>
      <c r="G7" s="4"/>
      <c r="H7" s="8"/>
      <c r="I7" s="8"/>
      <c r="J7" s="8"/>
      <c r="K7" s="8"/>
      <c r="L7" s="8"/>
    </row>
    <row r="8" spans="1:12" x14ac:dyDescent="0.25">
      <c r="A8" s="30">
        <v>2016</v>
      </c>
      <c r="B8" s="38">
        <v>4061301</v>
      </c>
      <c r="C8" s="38">
        <v>4213797</v>
      </c>
      <c r="D8" s="38">
        <v>3713314</v>
      </c>
      <c r="E8" s="38">
        <v>3621490</v>
      </c>
      <c r="F8" s="38">
        <v>4192361</v>
      </c>
      <c r="G8" s="4"/>
      <c r="H8" s="8"/>
      <c r="I8" s="8"/>
      <c r="J8" s="8"/>
      <c r="K8" s="8"/>
      <c r="L8" s="8"/>
    </row>
    <row r="9" spans="1:12" x14ac:dyDescent="0.25">
      <c r="A9" s="30">
        <v>2017</v>
      </c>
      <c r="B9" s="38">
        <v>3886797</v>
      </c>
      <c r="C9" s="38">
        <v>4184164</v>
      </c>
      <c r="D9" s="38">
        <v>3962745</v>
      </c>
      <c r="E9" s="39">
        <v>3785648</v>
      </c>
      <c r="F9" s="38">
        <v>4155841</v>
      </c>
      <c r="G9" s="4"/>
      <c r="H9" s="8"/>
      <c r="I9" s="8"/>
      <c r="J9" s="8"/>
      <c r="K9" s="8"/>
      <c r="L9" s="8"/>
    </row>
    <row r="10" spans="1:12" x14ac:dyDescent="0.25">
      <c r="A10" s="30">
        <v>2018</v>
      </c>
      <c r="B10" s="38">
        <v>3473991</v>
      </c>
      <c r="C10" s="38">
        <v>4362003</v>
      </c>
      <c r="D10" s="38">
        <v>4194937</v>
      </c>
      <c r="E10" s="38">
        <v>4031681</v>
      </c>
      <c r="F10" s="38">
        <v>4294757</v>
      </c>
      <c r="G10" s="4"/>
      <c r="H10" s="8"/>
      <c r="I10" s="8"/>
      <c r="J10" s="8"/>
      <c r="K10" s="8"/>
      <c r="L10" s="8"/>
    </row>
    <row r="11" spans="1:12" x14ac:dyDescent="0.25">
      <c r="A11" s="30">
        <v>2019</v>
      </c>
      <c r="B11" s="38">
        <v>2634801</v>
      </c>
      <c r="C11" s="38">
        <v>4567645</v>
      </c>
      <c r="D11" s="38">
        <v>4428939</v>
      </c>
      <c r="E11" s="38">
        <v>4369286</v>
      </c>
      <c r="F11" s="38">
        <v>4483708</v>
      </c>
      <c r="G11" s="4"/>
      <c r="H11" s="8"/>
      <c r="I11" s="8"/>
      <c r="J11" s="8"/>
      <c r="K11" s="8"/>
      <c r="L11" s="8"/>
    </row>
    <row r="12" spans="1:12" x14ac:dyDescent="0.25">
      <c r="A12" s="30">
        <v>2020</v>
      </c>
      <c r="B12" s="38">
        <v>1668537</v>
      </c>
      <c r="C12" s="38">
        <v>4583998</v>
      </c>
      <c r="D12" s="38">
        <v>4706684</v>
      </c>
      <c r="E12" s="38">
        <v>4614726</v>
      </c>
      <c r="F12" s="39">
        <v>4603541</v>
      </c>
      <c r="G12" s="4"/>
      <c r="H12" s="8"/>
      <c r="I12" s="8"/>
      <c r="J12" s="8"/>
      <c r="K12" s="8"/>
      <c r="L12" s="8"/>
    </row>
    <row r="13" spans="1:12" x14ac:dyDescent="0.25">
      <c r="A13" s="30">
        <v>2021</v>
      </c>
      <c r="B13" s="38">
        <v>841930</v>
      </c>
      <c r="C13" s="38">
        <v>4747208</v>
      </c>
      <c r="D13" s="38">
        <v>5046721</v>
      </c>
      <c r="E13" s="38">
        <v>4938526</v>
      </c>
      <c r="F13" s="38">
        <v>4904595</v>
      </c>
      <c r="G13" s="4"/>
      <c r="H13" s="8"/>
      <c r="I13" s="8"/>
      <c r="J13" s="8"/>
      <c r="K13" s="8"/>
      <c r="L13" s="8"/>
    </row>
    <row r="14" spans="1:12" x14ac:dyDescent="0.25">
      <c r="A14" s="30">
        <v>2022</v>
      </c>
      <c r="B14" s="38">
        <v>234974</v>
      </c>
      <c r="C14" s="38">
        <v>4861561</v>
      </c>
      <c r="D14" s="38">
        <v>5600346</v>
      </c>
      <c r="E14" s="38">
        <v>5553008</v>
      </c>
      <c r="F14" s="38">
        <v>5519588</v>
      </c>
      <c r="G14" s="4"/>
      <c r="H14" s="8"/>
      <c r="I14" s="8"/>
      <c r="J14" s="8"/>
      <c r="K14" s="8"/>
      <c r="L14" s="8"/>
    </row>
    <row r="15" spans="1:12" x14ac:dyDescent="0.25">
      <c r="A15" s="29" t="s">
        <v>46</v>
      </c>
      <c r="B15" s="40">
        <v>16802331</v>
      </c>
      <c r="C15" s="40">
        <v>31520376</v>
      </c>
      <c r="D15" s="40">
        <v>31653686</v>
      </c>
      <c r="E15" s="40">
        <v>30914365</v>
      </c>
      <c r="F15" s="40">
        <v>32154391</v>
      </c>
      <c r="G15" s="4"/>
      <c r="H15" s="8"/>
      <c r="I15" s="8"/>
      <c r="J15" s="8"/>
      <c r="K15" s="8"/>
      <c r="L15" s="8"/>
    </row>
    <row r="16" spans="1:12" x14ac:dyDescent="0.25">
      <c r="A16" s="37"/>
      <c r="B16" s="8"/>
      <c r="C16" s="8"/>
      <c r="D16" s="8"/>
      <c r="E16" s="8"/>
      <c r="F16" s="8"/>
      <c r="G16" s="4"/>
      <c r="H16" s="8"/>
      <c r="I16" s="8"/>
      <c r="J16" s="8"/>
      <c r="K16" s="8"/>
      <c r="L16" s="8"/>
    </row>
    <row r="17" spans="1:12" x14ac:dyDescent="0.25">
      <c r="A17" s="41"/>
      <c r="B17" s="41"/>
      <c r="C17" s="204" t="s">
        <v>47</v>
      </c>
      <c r="D17" s="204"/>
      <c r="E17" s="204"/>
      <c r="F17" s="204"/>
      <c r="G17" s="4"/>
      <c r="H17" s="8"/>
      <c r="I17" s="8"/>
      <c r="J17" s="8"/>
      <c r="K17" s="8"/>
      <c r="L17" s="8"/>
    </row>
    <row r="18" spans="1:12" ht="47.25" x14ac:dyDescent="0.25">
      <c r="A18" s="42" t="s">
        <v>40</v>
      </c>
      <c r="B18" s="42" t="s">
        <v>48</v>
      </c>
      <c r="C18" s="33" t="s">
        <v>42</v>
      </c>
      <c r="D18" s="33" t="s">
        <v>43</v>
      </c>
      <c r="E18" s="33" t="s">
        <v>44</v>
      </c>
      <c r="F18" s="33" t="s">
        <v>45</v>
      </c>
      <c r="G18" s="4"/>
      <c r="H18" s="8"/>
      <c r="I18" s="8"/>
      <c r="J18" s="8"/>
      <c r="K18" s="8"/>
      <c r="L18" s="8"/>
    </row>
    <row r="19" spans="1:12" x14ac:dyDescent="0.25">
      <c r="A19" s="30">
        <v>2016</v>
      </c>
      <c r="B19" s="38">
        <v>4286393</v>
      </c>
      <c r="C19" s="38">
        <v>4408940</v>
      </c>
      <c r="D19" s="38">
        <v>4521400</v>
      </c>
      <c r="E19" s="38">
        <v>4507837</v>
      </c>
      <c r="F19" s="38">
        <v>4411689</v>
      </c>
      <c r="G19" s="4"/>
      <c r="H19" s="8"/>
      <c r="I19" s="8"/>
      <c r="J19" s="8"/>
      <c r="K19" s="8"/>
      <c r="L19" s="8"/>
    </row>
    <row r="20" spans="1:12" x14ac:dyDescent="0.25">
      <c r="A20" s="30">
        <v>2017</v>
      </c>
      <c r="B20" s="38">
        <v>4481291</v>
      </c>
      <c r="C20" s="38">
        <v>4741193</v>
      </c>
      <c r="D20" s="38">
        <v>4824445</v>
      </c>
      <c r="E20" s="39">
        <v>4712173</v>
      </c>
      <c r="F20" s="38">
        <v>4739602</v>
      </c>
      <c r="G20" s="4"/>
      <c r="H20" s="8"/>
      <c r="I20" s="8"/>
      <c r="J20" s="8"/>
      <c r="K20" s="8"/>
      <c r="L20" s="8"/>
    </row>
    <row r="21" spans="1:12" x14ac:dyDescent="0.25">
      <c r="A21" s="30">
        <v>2018</v>
      </c>
      <c r="B21" s="38">
        <v>4206123</v>
      </c>
      <c r="C21" s="38">
        <v>5012214</v>
      </c>
      <c r="D21" s="38">
        <v>5107961</v>
      </c>
      <c r="E21" s="38">
        <v>5018421</v>
      </c>
      <c r="F21" s="38">
        <v>5013213</v>
      </c>
      <c r="G21" s="4"/>
      <c r="H21" s="8"/>
      <c r="I21" s="8"/>
      <c r="J21" s="8"/>
      <c r="K21" s="8"/>
      <c r="L21" s="8"/>
    </row>
    <row r="22" spans="1:12" x14ac:dyDescent="0.25">
      <c r="A22" s="30">
        <v>2019</v>
      </c>
      <c r="B22" s="38">
        <v>3595110</v>
      </c>
      <c r="C22" s="38">
        <v>5437466</v>
      </c>
      <c r="D22" s="38">
        <v>5396261</v>
      </c>
      <c r="E22" s="38">
        <v>5438653</v>
      </c>
      <c r="F22" s="38">
        <v>5437869</v>
      </c>
      <c r="G22" s="4"/>
      <c r="H22" s="8"/>
      <c r="I22" s="8"/>
      <c r="J22" s="8"/>
      <c r="K22" s="8"/>
      <c r="L22" s="8"/>
    </row>
    <row r="23" spans="1:12" x14ac:dyDescent="0.25">
      <c r="A23" s="30">
        <v>2020</v>
      </c>
      <c r="B23" s="38">
        <v>2701167</v>
      </c>
      <c r="C23" s="38">
        <v>5733690</v>
      </c>
      <c r="D23" s="38">
        <v>5731620</v>
      </c>
      <c r="E23" s="38">
        <v>5744164</v>
      </c>
      <c r="F23" s="39">
        <v>5739229</v>
      </c>
      <c r="G23" s="4"/>
      <c r="H23" s="8"/>
      <c r="I23" s="8"/>
      <c r="J23" s="8"/>
      <c r="K23" s="8"/>
      <c r="L23" s="8"/>
    </row>
    <row r="24" spans="1:12" x14ac:dyDescent="0.25">
      <c r="A24" s="30">
        <v>2021</v>
      </c>
      <c r="B24" s="38">
        <v>1772745</v>
      </c>
      <c r="C24" s="38">
        <v>6159764</v>
      </c>
      <c r="D24" s="38">
        <v>6145839</v>
      </c>
      <c r="E24" s="38">
        <v>6147213</v>
      </c>
      <c r="F24" s="38">
        <v>6150825</v>
      </c>
      <c r="G24" s="4"/>
      <c r="H24" s="8"/>
      <c r="I24" s="8"/>
      <c r="J24" s="8"/>
      <c r="K24" s="8"/>
      <c r="L24" s="8"/>
    </row>
    <row r="25" spans="1:12" x14ac:dyDescent="0.25">
      <c r="A25" s="30">
        <v>2022</v>
      </c>
      <c r="B25" s="38">
        <v>944060</v>
      </c>
      <c r="C25" s="38">
        <v>6654576</v>
      </c>
      <c r="D25" s="38">
        <v>6820458</v>
      </c>
      <c r="E25" s="38">
        <v>6912087</v>
      </c>
      <c r="F25" s="38">
        <v>6875555</v>
      </c>
      <c r="G25" s="4"/>
      <c r="H25" s="8"/>
      <c r="I25" s="8"/>
      <c r="J25" s="8"/>
      <c r="K25" s="8"/>
      <c r="L25" s="8"/>
    </row>
    <row r="26" spans="1:12" x14ac:dyDescent="0.25">
      <c r="A26" s="29" t="s">
        <v>46</v>
      </c>
      <c r="B26" s="40">
        <v>21986889</v>
      </c>
      <c r="C26" s="40">
        <v>38147843</v>
      </c>
      <c r="D26" s="40">
        <v>38547984</v>
      </c>
      <c r="E26" s="40">
        <v>38480548</v>
      </c>
      <c r="F26" s="40">
        <v>38367982</v>
      </c>
      <c r="G26" s="4"/>
      <c r="H26" s="8"/>
      <c r="I26" s="8"/>
      <c r="J26" s="8"/>
      <c r="K26" s="8"/>
      <c r="L26" s="8"/>
    </row>
    <row r="27" spans="1:12" x14ac:dyDescent="0.25">
      <c r="A27" s="10"/>
      <c r="B27" s="4"/>
      <c r="C27" s="4"/>
      <c r="D27" s="4"/>
      <c r="E27" s="4"/>
      <c r="F27" s="4"/>
      <c r="G27" s="4"/>
      <c r="H27" s="8"/>
      <c r="I27" s="8"/>
      <c r="J27" s="8"/>
      <c r="K27" s="8"/>
      <c r="L27" s="8"/>
    </row>
  </sheetData>
  <mergeCells count="3">
    <mergeCell ref="A3:K4"/>
    <mergeCell ref="C6:F6"/>
    <mergeCell ref="C17:F17"/>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CDD2F-46EA-42B7-ADB6-C3093C7E3E95}">
  <dimension ref="A1:R63"/>
  <sheetViews>
    <sheetView zoomScaleNormal="100" workbookViewId="0"/>
  </sheetViews>
  <sheetFormatPr defaultColWidth="8.85546875" defaultRowHeight="15.75" x14ac:dyDescent="0.25"/>
  <cols>
    <col min="1" max="1" width="8.85546875" style="1" customWidth="1"/>
    <col min="2" max="2" width="12.7109375" style="1" customWidth="1"/>
    <col min="3" max="4" width="18.7109375" style="1" customWidth="1"/>
    <col min="5" max="5" width="27.42578125" style="1" customWidth="1"/>
    <col min="6" max="6" width="20.5703125" style="1" customWidth="1"/>
    <col min="7" max="7" width="8.85546875" style="1"/>
    <col min="8" max="8" width="8.85546875" style="1" customWidth="1"/>
    <col min="9" max="16384" width="8.85546875" style="1"/>
  </cols>
  <sheetData>
    <row r="1" spans="1:18" ht="18.75" x14ac:dyDescent="0.3">
      <c r="A1" s="2" t="s">
        <v>49</v>
      </c>
      <c r="B1" s="4"/>
      <c r="C1" s="8" t="s">
        <v>7</v>
      </c>
      <c r="D1" s="4"/>
      <c r="E1" s="4"/>
      <c r="F1" s="4"/>
      <c r="G1" s="4"/>
      <c r="H1" s="4"/>
      <c r="I1" s="4"/>
      <c r="J1" s="4"/>
      <c r="K1" s="4"/>
      <c r="L1" s="3"/>
    </row>
    <row r="2" spans="1:18" x14ac:dyDescent="0.25">
      <c r="A2" s="4"/>
      <c r="B2" s="4"/>
      <c r="C2" s="4"/>
      <c r="D2" s="4"/>
      <c r="E2" s="4"/>
      <c r="F2" s="4"/>
      <c r="G2" s="4"/>
      <c r="H2" s="4"/>
      <c r="I2" s="4"/>
      <c r="J2" s="4"/>
      <c r="K2" s="4"/>
      <c r="L2" s="3"/>
    </row>
    <row r="3" spans="1:18" x14ac:dyDescent="0.25">
      <c r="A3" s="4" t="s">
        <v>50</v>
      </c>
      <c r="B3" s="4"/>
      <c r="C3" s="4"/>
      <c r="D3" s="4"/>
      <c r="E3" s="4"/>
      <c r="F3" s="4"/>
      <c r="G3" s="4"/>
      <c r="H3" s="4"/>
      <c r="I3" s="4"/>
      <c r="J3" s="4"/>
      <c r="K3" s="4"/>
      <c r="L3" s="3"/>
    </row>
    <row r="4" spans="1:18" x14ac:dyDescent="0.25">
      <c r="A4" s="6"/>
      <c r="B4" s="6"/>
      <c r="C4" s="6"/>
      <c r="D4" s="6"/>
      <c r="E4" s="6"/>
      <c r="F4" s="6"/>
      <c r="G4" s="6"/>
      <c r="H4" s="6"/>
      <c r="I4" s="6"/>
      <c r="J4" s="6"/>
      <c r="K4" s="6"/>
      <c r="L4" s="6"/>
    </row>
    <row r="5" spans="1:18" ht="15.6" customHeight="1" x14ac:dyDescent="0.25">
      <c r="A5" s="5" t="s">
        <v>4</v>
      </c>
      <c r="B5" s="8" t="s">
        <v>232</v>
      </c>
      <c r="C5" s="8"/>
      <c r="D5" s="8"/>
      <c r="E5" s="8"/>
      <c r="F5" s="8"/>
      <c r="G5" s="8"/>
      <c r="H5" s="8"/>
      <c r="I5" s="8"/>
      <c r="J5" s="8"/>
      <c r="K5" s="8"/>
      <c r="L5" s="4"/>
      <c r="M5" s="7"/>
      <c r="N5" s="7"/>
      <c r="O5" s="7"/>
      <c r="P5" s="7"/>
      <c r="Q5" s="7"/>
      <c r="R5" s="7"/>
    </row>
    <row r="6" spans="1:18" x14ac:dyDescent="0.25">
      <c r="A6" s="6"/>
      <c r="B6" s="6"/>
      <c r="C6" s="6"/>
      <c r="D6" s="6"/>
      <c r="E6" s="6"/>
      <c r="F6" s="6"/>
      <c r="G6" s="6"/>
      <c r="H6" s="6"/>
      <c r="I6" s="6"/>
      <c r="J6" s="6"/>
      <c r="K6" s="6"/>
      <c r="L6" s="6"/>
      <c r="M6" s="6"/>
    </row>
    <row r="7" spans="1:18" x14ac:dyDescent="0.25">
      <c r="A7" s="6" t="s">
        <v>1</v>
      </c>
      <c r="B7" s="6"/>
      <c r="C7" s="6"/>
      <c r="D7" s="6"/>
      <c r="E7" s="6"/>
      <c r="F7" s="6"/>
      <c r="G7" s="6"/>
      <c r="H7" s="6"/>
      <c r="I7" s="6"/>
      <c r="J7" s="6"/>
      <c r="K7" s="6"/>
      <c r="L7" s="6"/>
      <c r="M7" s="6"/>
      <c r="N7" s="7"/>
    </row>
    <row r="8" spans="1:18" x14ac:dyDescent="0.25">
      <c r="A8" s="6"/>
      <c r="B8" s="6"/>
      <c r="C8" s="6"/>
      <c r="D8" s="6"/>
      <c r="E8" s="6"/>
      <c r="F8" s="6"/>
      <c r="G8" s="6"/>
      <c r="H8" s="6"/>
      <c r="I8" s="6"/>
      <c r="J8" s="6"/>
      <c r="K8" s="6"/>
      <c r="L8" s="6"/>
      <c r="M8" s="6"/>
      <c r="N8" s="7"/>
    </row>
    <row r="9" spans="1:18" x14ac:dyDescent="0.25">
      <c r="A9" s="6" t="s">
        <v>250</v>
      </c>
      <c r="B9" s="6"/>
      <c r="C9" s="6"/>
      <c r="D9" s="6"/>
      <c r="E9" s="6"/>
      <c r="F9" s="6"/>
      <c r="G9" s="6"/>
      <c r="H9" s="6"/>
      <c r="I9" s="6"/>
      <c r="J9" s="6"/>
      <c r="K9" s="6"/>
      <c r="L9" s="6"/>
      <c r="M9" s="6"/>
      <c r="N9" s="7"/>
    </row>
    <row r="10" spans="1:18" x14ac:dyDescent="0.25">
      <c r="A10" s="1" t="s">
        <v>251</v>
      </c>
      <c r="M10" s="7"/>
      <c r="N10" s="7"/>
    </row>
    <row r="11" spans="1:18" x14ac:dyDescent="0.25">
      <c r="A11" s="1" t="s">
        <v>252</v>
      </c>
      <c r="M11" s="7"/>
      <c r="N11" s="7"/>
    </row>
    <row r="12" spans="1:18" x14ac:dyDescent="0.25">
      <c r="A12" s="1" t="s">
        <v>253</v>
      </c>
      <c r="M12" s="7"/>
      <c r="N12" s="7"/>
    </row>
    <row r="13" spans="1:18" x14ac:dyDescent="0.25">
      <c r="M13" s="7"/>
      <c r="N13" s="7"/>
    </row>
    <row r="14" spans="1:18" x14ac:dyDescent="0.25">
      <c r="A14" s="8"/>
      <c r="B14" s="8"/>
      <c r="C14" s="8"/>
      <c r="D14" s="8"/>
      <c r="E14" s="8"/>
      <c r="F14" s="8"/>
      <c r="G14" s="8"/>
      <c r="H14" s="8"/>
      <c r="I14" s="8"/>
      <c r="J14" s="8"/>
      <c r="K14" s="8"/>
      <c r="L14" s="8"/>
      <c r="M14" s="7"/>
      <c r="N14" s="7"/>
    </row>
    <row r="15" spans="1:18" x14ac:dyDescent="0.25">
      <c r="A15" s="8" t="s">
        <v>51</v>
      </c>
      <c r="B15" s="8"/>
      <c r="C15" s="8"/>
      <c r="D15" s="8"/>
      <c r="E15" s="8"/>
      <c r="F15" s="8"/>
      <c r="G15" s="8"/>
      <c r="H15" s="8"/>
      <c r="I15" s="8"/>
      <c r="J15" s="8"/>
      <c r="K15" s="8"/>
      <c r="L15" s="8"/>
      <c r="M15" s="7"/>
      <c r="N15" s="7"/>
    </row>
    <row r="16" spans="1:18" ht="47.25" x14ac:dyDescent="0.25">
      <c r="A16" s="8"/>
      <c r="B16" s="33" t="s">
        <v>52</v>
      </c>
      <c r="C16" s="33" t="s">
        <v>53</v>
      </c>
      <c r="D16" s="33" t="s">
        <v>54</v>
      </c>
      <c r="E16" s="8"/>
      <c r="F16" s="8"/>
      <c r="G16" s="8"/>
      <c r="H16" s="8"/>
      <c r="I16" s="8"/>
      <c r="J16" s="8"/>
      <c r="K16" s="8"/>
      <c r="L16" s="8"/>
      <c r="M16" s="7"/>
      <c r="N16" s="7"/>
    </row>
    <row r="17" spans="1:14" x14ac:dyDescent="0.25">
      <c r="A17" s="8"/>
      <c r="B17" s="30">
        <v>2019</v>
      </c>
      <c r="C17" s="38">
        <v>9850000</v>
      </c>
      <c r="D17" s="38">
        <v>12108000</v>
      </c>
      <c r="E17" s="8"/>
      <c r="F17" s="8"/>
      <c r="G17" s="8"/>
      <c r="H17" s="8"/>
      <c r="I17" s="8"/>
      <c r="J17" s="8"/>
      <c r="K17" s="8"/>
      <c r="L17" s="8"/>
      <c r="M17" s="7"/>
      <c r="N17" s="7"/>
    </row>
    <row r="18" spans="1:14" x14ac:dyDescent="0.25">
      <c r="A18" s="8"/>
      <c r="B18" s="30">
        <v>2020</v>
      </c>
      <c r="C18" s="38">
        <v>10365000</v>
      </c>
      <c r="D18" s="38">
        <v>12658000</v>
      </c>
      <c r="E18" s="8"/>
      <c r="F18" s="8"/>
      <c r="G18" s="8"/>
      <c r="H18" s="8"/>
      <c r="I18" s="8"/>
      <c r="J18" s="8"/>
      <c r="K18" s="8"/>
      <c r="L18" s="8"/>
      <c r="M18" s="7"/>
      <c r="N18" s="7"/>
    </row>
    <row r="19" spans="1:14" x14ac:dyDescent="0.25">
      <c r="A19" s="8"/>
      <c r="B19" s="30">
        <v>2021</v>
      </c>
      <c r="C19" s="38">
        <v>11275000</v>
      </c>
      <c r="D19" s="38">
        <v>15334000</v>
      </c>
      <c r="E19" s="8"/>
      <c r="F19" s="8"/>
      <c r="G19" s="8"/>
      <c r="H19" s="8"/>
      <c r="I19" s="8"/>
      <c r="J19" s="8"/>
      <c r="K19" s="8"/>
      <c r="L19" s="8"/>
      <c r="M19" s="7"/>
      <c r="N19" s="7"/>
    </row>
    <row r="20" spans="1:14" x14ac:dyDescent="0.25">
      <c r="A20" s="8"/>
      <c r="B20" s="30">
        <v>2022</v>
      </c>
      <c r="C20" s="38">
        <v>12385000</v>
      </c>
      <c r="D20" s="38">
        <v>14357000</v>
      </c>
      <c r="E20" s="8"/>
      <c r="F20" s="8"/>
      <c r="G20" s="8"/>
      <c r="H20" s="8"/>
      <c r="I20" s="8"/>
      <c r="J20" s="8"/>
      <c r="K20" s="8"/>
      <c r="L20" s="8"/>
      <c r="M20" s="7"/>
      <c r="N20" s="7"/>
    </row>
    <row r="21" spans="1:14" x14ac:dyDescent="0.25">
      <c r="A21" s="8"/>
      <c r="B21" s="8"/>
      <c r="C21" s="8"/>
      <c r="D21" s="8"/>
      <c r="E21" s="8"/>
      <c r="F21" s="8"/>
      <c r="G21" s="8"/>
      <c r="H21" s="8"/>
      <c r="I21" s="8"/>
      <c r="J21" s="8"/>
      <c r="K21" s="8"/>
      <c r="L21" s="8"/>
      <c r="M21" s="7"/>
      <c r="N21" s="7"/>
    </row>
    <row r="22" spans="1:14" x14ac:dyDescent="0.25">
      <c r="A22" s="8"/>
      <c r="B22" s="8" t="s">
        <v>55</v>
      </c>
      <c r="C22" s="8"/>
      <c r="D22" s="8"/>
      <c r="E22" s="8"/>
      <c r="F22" s="94"/>
      <c r="G22" s="8"/>
      <c r="H22" s="8"/>
      <c r="I22" s="8"/>
      <c r="J22" s="8"/>
      <c r="K22" s="8"/>
      <c r="L22" s="8"/>
      <c r="M22" s="7"/>
      <c r="N22" s="7"/>
    </row>
    <row r="23" spans="1:14" x14ac:dyDescent="0.25">
      <c r="A23" s="8"/>
      <c r="B23" s="8" t="s">
        <v>56</v>
      </c>
      <c r="C23" s="8"/>
      <c r="D23" s="8"/>
      <c r="E23" s="8"/>
      <c r="F23" s="8"/>
      <c r="G23" s="8"/>
      <c r="H23" s="8"/>
      <c r="I23" s="8"/>
      <c r="J23" s="8"/>
      <c r="K23" s="8"/>
      <c r="L23" s="8"/>
      <c r="M23" s="7"/>
      <c r="N23" s="7"/>
    </row>
    <row r="24" spans="1:14" x14ac:dyDescent="0.25">
      <c r="A24" s="8"/>
      <c r="B24" s="8" t="s">
        <v>58</v>
      </c>
      <c r="C24" s="8"/>
      <c r="D24" s="8"/>
      <c r="E24" s="44">
        <v>0.05</v>
      </c>
      <c r="F24" s="58"/>
      <c r="G24" s="8"/>
      <c r="H24" s="8"/>
      <c r="I24" s="8"/>
      <c r="J24" s="8"/>
      <c r="K24" s="8"/>
      <c r="L24" s="8"/>
      <c r="M24" s="7"/>
      <c r="N24" s="7"/>
    </row>
    <row r="25" spans="1:14" x14ac:dyDescent="0.25">
      <c r="A25" s="8"/>
      <c r="B25" s="8" t="s">
        <v>236</v>
      </c>
      <c r="C25" s="8"/>
      <c r="D25" s="8"/>
      <c r="E25" s="44">
        <v>7.0000000000000007E-2</v>
      </c>
      <c r="F25" s="58"/>
      <c r="G25" s="8"/>
      <c r="H25" s="8"/>
      <c r="I25" s="8"/>
      <c r="J25" s="8"/>
      <c r="K25" s="8"/>
      <c r="L25" s="8"/>
      <c r="M25" s="7"/>
      <c r="N25" s="7"/>
    </row>
    <row r="26" spans="1:14" x14ac:dyDescent="0.25">
      <c r="A26" s="8"/>
      <c r="B26" s="8" t="s">
        <v>60</v>
      </c>
      <c r="C26" s="8"/>
      <c r="D26" s="8"/>
      <c r="E26" s="8"/>
      <c r="F26" s="43">
        <v>1.28</v>
      </c>
      <c r="G26" s="8" t="s">
        <v>59</v>
      </c>
      <c r="H26" s="58"/>
      <c r="I26" s="8"/>
      <c r="J26" s="8"/>
      <c r="K26" s="8"/>
      <c r="L26" s="8"/>
      <c r="M26" s="7"/>
      <c r="N26" s="7"/>
    </row>
    <row r="27" spans="1:14" x14ac:dyDescent="0.25">
      <c r="A27" s="8"/>
      <c r="B27" s="8" t="s">
        <v>57</v>
      </c>
      <c r="C27" s="8"/>
      <c r="D27" s="8"/>
      <c r="E27" s="8"/>
      <c r="F27" s="8"/>
      <c r="G27" s="8"/>
      <c r="H27" s="8"/>
      <c r="I27" s="8"/>
      <c r="J27" s="8"/>
      <c r="K27" s="8"/>
      <c r="L27" s="8"/>
      <c r="M27" s="7"/>
      <c r="N27" s="7"/>
    </row>
    <row r="28" spans="1:14" x14ac:dyDescent="0.25">
      <c r="A28" s="8"/>
      <c r="B28" s="8"/>
      <c r="C28" s="8"/>
      <c r="D28" s="8"/>
      <c r="E28" s="8"/>
      <c r="F28" s="8"/>
      <c r="G28" s="8"/>
      <c r="H28" s="8"/>
      <c r="I28" s="8"/>
      <c r="J28" s="8"/>
      <c r="K28" s="8"/>
      <c r="L28" s="8"/>
      <c r="M28" s="7"/>
      <c r="N28" s="7"/>
    </row>
    <row r="30" spans="1:14" x14ac:dyDescent="0.25">
      <c r="A30" s="5" t="s">
        <v>5</v>
      </c>
      <c r="B30" s="8" t="s">
        <v>234</v>
      </c>
      <c r="C30" s="4"/>
      <c r="D30" s="4"/>
      <c r="E30" s="4"/>
      <c r="F30" s="4"/>
      <c r="G30" s="4"/>
      <c r="H30" s="4"/>
      <c r="I30" s="4"/>
      <c r="J30" s="4"/>
      <c r="K30" s="4"/>
      <c r="L30" s="4"/>
    </row>
    <row r="31" spans="1:14" x14ac:dyDescent="0.25">
      <c r="A31" s="6"/>
      <c r="B31" s="6"/>
      <c r="C31" s="6"/>
      <c r="D31" s="6"/>
      <c r="E31" s="6"/>
      <c r="F31" s="6"/>
      <c r="G31" s="6"/>
      <c r="H31" s="6"/>
      <c r="I31" s="6"/>
      <c r="J31" s="6"/>
      <c r="K31" s="6"/>
      <c r="L31" s="6"/>
    </row>
    <row r="32" spans="1:14" x14ac:dyDescent="0.25">
      <c r="A32" s="6" t="s">
        <v>1</v>
      </c>
      <c r="B32" s="6"/>
      <c r="C32" s="6"/>
      <c r="D32" s="6"/>
      <c r="E32" s="6"/>
      <c r="F32" s="6"/>
      <c r="G32" s="6"/>
      <c r="H32" s="6"/>
      <c r="I32" s="6"/>
      <c r="J32" s="6"/>
      <c r="K32" s="6"/>
      <c r="L32" s="6"/>
    </row>
    <row r="33" spans="1:13" x14ac:dyDescent="0.25">
      <c r="A33" s="6"/>
      <c r="B33" s="6"/>
      <c r="C33" s="6"/>
      <c r="D33" s="6"/>
      <c r="E33" s="6"/>
      <c r="F33" s="6"/>
      <c r="G33" s="6"/>
      <c r="H33" s="6"/>
      <c r="I33" s="6"/>
      <c r="J33" s="6"/>
      <c r="K33" s="6"/>
      <c r="L33" s="6"/>
    </row>
    <row r="34" spans="1:13" x14ac:dyDescent="0.25">
      <c r="A34" s="1" t="s">
        <v>254</v>
      </c>
      <c r="D34" s="95">
        <v>45474</v>
      </c>
      <c r="E34" s="86" t="s">
        <v>255</v>
      </c>
      <c r="G34" s="6"/>
      <c r="H34" s="6"/>
      <c r="I34" s="6"/>
      <c r="J34" s="6"/>
      <c r="K34" s="6"/>
      <c r="L34" s="6"/>
    </row>
    <row r="35" spans="1:13" x14ac:dyDescent="0.25">
      <c r="A35" s="86" t="s">
        <v>260</v>
      </c>
      <c r="D35" s="87">
        <v>24</v>
      </c>
      <c r="E35" s="86"/>
      <c r="G35" s="6"/>
      <c r="H35" s="6"/>
      <c r="I35" s="6"/>
      <c r="J35" s="6"/>
      <c r="K35" s="6"/>
      <c r="L35" s="6"/>
    </row>
    <row r="36" spans="1:13" x14ac:dyDescent="0.25">
      <c r="A36" s="89"/>
      <c r="B36"/>
      <c r="G36" s="6"/>
      <c r="H36" s="6"/>
      <c r="I36" s="6"/>
      <c r="J36" s="6"/>
      <c r="K36" s="6"/>
      <c r="L36" s="6"/>
    </row>
    <row r="37" spans="1:13" x14ac:dyDescent="0.25">
      <c r="C37" s="90" t="s">
        <v>256</v>
      </c>
      <c r="D37" s="91"/>
      <c r="G37" s="6"/>
      <c r="H37" s="6"/>
      <c r="I37" s="6"/>
      <c r="J37" s="6"/>
      <c r="K37" s="6"/>
      <c r="L37" s="6"/>
    </row>
    <row r="38" spans="1:13" ht="47.25" x14ac:dyDescent="0.25">
      <c r="A38" s="92" t="s">
        <v>52</v>
      </c>
      <c r="B38" s="92" t="s">
        <v>257</v>
      </c>
      <c r="C38" s="93">
        <f>E24</f>
        <v>0.05</v>
      </c>
      <c r="D38" s="93">
        <f>E25</f>
        <v>7.0000000000000007E-2</v>
      </c>
      <c r="E38" s="92" t="s">
        <v>258</v>
      </c>
      <c r="F38" s="92" t="s">
        <v>259</v>
      </c>
      <c r="G38" s="6"/>
      <c r="H38" s="6"/>
      <c r="I38" s="6"/>
      <c r="J38" s="6"/>
      <c r="K38" s="6"/>
      <c r="L38" s="6"/>
    </row>
    <row r="39" spans="1:13" x14ac:dyDescent="0.25">
      <c r="A39" s="79">
        <f>B17</f>
        <v>2019</v>
      </c>
      <c r="B39" s="79">
        <f t="shared" ref="B39:B40" si="0">B40+12</f>
        <v>60</v>
      </c>
      <c r="C39" s="88">
        <f>(1+$C$38)^($B39/12)</f>
        <v>1.2762815625000001</v>
      </c>
      <c r="D39" s="88">
        <f>(1+$D$38)^($B39/12)</f>
        <v>1.4025517307000002</v>
      </c>
      <c r="E39" s="88">
        <f>D39/C39</f>
        <v>1.0989359808290735</v>
      </c>
      <c r="F39" s="88">
        <f>$F$26/E39</f>
        <v>1.164763027446172</v>
      </c>
      <c r="G39" s="6"/>
      <c r="H39" s="6"/>
      <c r="I39" s="6"/>
      <c r="J39" s="6"/>
      <c r="K39" s="6"/>
      <c r="L39" s="6"/>
    </row>
    <row r="40" spans="1:13" x14ac:dyDescent="0.25">
      <c r="A40" s="79">
        <f>A39+1</f>
        <v>2020</v>
      </c>
      <c r="B40" s="79">
        <f t="shared" si="0"/>
        <v>48</v>
      </c>
      <c r="C40" s="88">
        <f>(1+$C$38)^($B40/12)</f>
        <v>1.21550625</v>
      </c>
      <c r="D40" s="88">
        <f>(1+$D$38)^($B40/12)</f>
        <v>1.31079601</v>
      </c>
      <c r="E40" s="88">
        <f t="shared" ref="E40:E42" si="1">D40/C40</f>
        <v>1.0783951213743246</v>
      </c>
      <c r="F40" s="88">
        <f>$F$26/E40</f>
        <v>1.186948989873718</v>
      </c>
      <c r="M40" s="6"/>
    </row>
    <row r="41" spans="1:13" x14ac:dyDescent="0.25">
      <c r="A41" s="79">
        <f t="shared" ref="A41:A42" si="2">A40+1</f>
        <v>2021</v>
      </c>
      <c r="B41" s="79">
        <f>B42+12</f>
        <v>36</v>
      </c>
      <c r="C41" s="88">
        <f>(1+$C$38)^($B41/12)</f>
        <v>1.1576250000000001</v>
      </c>
      <c r="D41" s="88">
        <f>(1+$D$38)^($B41/12)</f>
        <v>1.2250430000000001</v>
      </c>
      <c r="E41" s="88">
        <f t="shared" si="1"/>
        <v>1.058238203217795</v>
      </c>
      <c r="F41" s="88">
        <f>$F$26/E41</f>
        <v>1.2095575420617888</v>
      </c>
      <c r="M41" s="6"/>
    </row>
    <row r="42" spans="1:13" x14ac:dyDescent="0.25">
      <c r="A42" s="79">
        <f t="shared" si="2"/>
        <v>2022</v>
      </c>
      <c r="B42" s="74">
        <f>D35</f>
        <v>24</v>
      </c>
      <c r="C42" s="88">
        <f>(1+$C$38)^($B42/12)</f>
        <v>1.1025</v>
      </c>
      <c r="D42" s="88">
        <f>(1+$D$38)^($B42/12)</f>
        <v>1.1449</v>
      </c>
      <c r="E42" s="88">
        <f t="shared" si="1"/>
        <v>1.0384580498866214</v>
      </c>
      <c r="F42" s="88">
        <f>$F$26/E42</f>
        <v>1.2325967333391563</v>
      </c>
      <c r="M42" s="6"/>
    </row>
    <row r="44" spans="1:13" ht="15.6" customHeight="1" x14ac:dyDescent="0.25">
      <c r="A44" s="5" t="s">
        <v>0</v>
      </c>
      <c r="B44" s="8" t="s">
        <v>235</v>
      </c>
      <c r="C44" s="8"/>
      <c r="D44" s="8"/>
      <c r="E44" s="8"/>
      <c r="F44" s="8"/>
      <c r="G44" s="8"/>
      <c r="H44" s="8"/>
      <c r="I44" s="8"/>
      <c r="J44" s="8"/>
      <c r="K44" s="8"/>
      <c r="L44" s="4"/>
    </row>
    <row r="45" spans="1:13" x14ac:dyDescent="0.25">
      <c r="A45" s="6"/>
      <c r="B45" s="6"/>
      <c r="C45" s="6"/>
      <c r="D45" s="6"/>
      <c r="E45" s="6"/>
      <c r="F45" s="6"/>
      <c r="G45" s="6"/>
      <c r="H45" s="6"/>
      <c r="I45" s="6"/>
      <c r="J45" s="6"/>
      <c r="K45" s="6"/>
      <c r="L45" s="6"/>
    </row>
    <row r="46" spans="1:13" x14ac:dyDescent="0.25">
      <c r="A46" s="6" t="s">
        <v>1</v>
      </c>
      <c r="B46" s="6"/>
      <c r="C46" s="6"/>
      <c r="D46" s="6"/>
      <c r="E46" s="6"/>
      <c r="F46" s="6"/>
      <c r="G46" s="6"/>
      <c r="H46" s="6"/>
      <c r="I46" s="6"/>
      <c r="J46" s="6"/>
      <c r="K46" s="6"/>
      <c r="L46" s="6"/>
    </row>
    <row r="47" spans="1:13" x14ac:dyDescent="0.25">
      <c r="A47" s="6"/>
      <c r="B47" s="6"/>
      <c r="C47" s="96"/>
      <c r="D47" s="96"/>
      <c r="E47" s="96"/>
      <c r="F47" s="6"/>
      <c r="G47" s="6"/>
      <c r="H47" s="6"/>
      <c r="I47" s="6"/>
      <c r="J47" s="6"/>
      <c r="K47" s="6"/>
      <c r="L47" s="6"/>
    </row>
    <row r="48" spans="1:13" ht="47.25" x14ac:dyDescent="0.25">
      <c r="A48" s="6"/>
      <c r="B48" s="97" t="s">
        <v>52</v>
      </c>
      <c r="C48" s="92" t="s">
        <v>53</v>
      </c>
      <c r="D48" s="92" t="s">
        <v>259</v>
      </c>
      <c r="E48" s="97" t="s">
        <v>261</v>
      </c>
      <c r="F48" s="6"/>
      <c r="G48" s="6"/>
      <c r="H48" s="6"/>
      <c r="I48" s="6"/>
      <c r="J48" s="6"/>
      <c r="K48" s="6"/>
      <c r="L48" s="6"/>
    </row>
    <row r="49" spans="1:14" x14ac:dyDescent="0.25">
      <c r="B49" s="74">
        <f>$B$17</f>
        <v>2019</v>
      </c>
      <c r="C49" s="99">
        <f>C17</f>
        <v>9850000</v>
      </c>
      <c r="D49" s="98">
        <f>F39</f>
        <v>1.164763027446172</v>
      </c>
      <c r="E49" s="81">
        <f>D49*C17</f>
        <v>11472915.820344795</v>
      </c>
    </row>
    <row r="50" spans="1:14" x14ac:dyDescent="0.25">
      <c r="B50" s="74">
        <f>B49+1</f>
        <v>2020</v>
      </c>
      <c r="C50" s="99">
        <f t="shared" ref="C50:C52" si="3">C18</f>
        <v>10365000</v>
      </c>
      <c r="D50" s="98">
        <f>F40</f>
        <v>1.186948989873718</v>
      </c>
      <c r="E50" s="81">
        <f>D50*C18</f>
        <v>12302726.280041087</v>
      </c>
    </row>
    <row r="51" spans="1:14" x14ac:dyDescent="0.25">
      <c r="B51" s="74">
        <f>B50+1</f>
        <v>2021</v>
      </c>
      <c r="C51" s="99">
        <f t="shared" si="3"/>
        <v>11275000</v>
      </c>
      <c r="D51" s="98">
        <f>F41</f>
        <v>1.2095575420617888</v>
      </c>
      <c r="E51" s="81">
        <f>D51*C19</f>
        <v>13637761.286746668</v>
      </c>
      <c r="M51" s="6"/>
      <c r="N51" s="6"/>
    </row>
    <row r="52" spans="1:14" x14ac:dyDescent="0.25">
      <c r="B52" s="74">
        <f>B51+1</f>
        <v>2022</v>
      </c>
      <c r="C52" s="99">
        <f t="shared" si="3"/>
        <v>12385000</v>
      </c>
      <c r="D52" s="98">
        <f>F42</f>
        <v>1.2325967333391563</v>
      </c>
      <c r="E52" s="81">
        <f>D52*C20</f>
        <v>15265710.542405451</v>
      </c>
      <c r="M52" s="6"/>
      <c r="N52" s="6"/>
    </row>
    <row r="54" spans="1:14" x14ac:dyDescent="0.25">
      <c r="A54" s="5" t="s">
        <v>2</v>
      </c>
      <c r="B54" s="8" t="s">
        <v>61</v>
      </c>
      <c r="C54" s="4"/>
      <c r="D54" s="4"/>
      <c r="E54" s="4"/>
      <c r="F54" s="4"/>
      <c r="G54" s="4"/>
      <c r="H54" s="4"/>
      <c r="I54" s="4"/>
      <c r="J54" s="4"/>
      <c r="K54" s="4"/>
      <c r="L54" s="4"/>
    </row>
    <row r="55" spans="1:14" x14ac:dyDescent="0.25">
      <c r="A55" s="6"/>
      <c r="B55" s="6"/>
      <c r="C55" s="6"/>
      <c r="D55" s="6"/>
      <c r="E55" s="6"/>
      <c r="F55" s="6"/>
      <c r="G55" s="6"/>
      <c r="H55" s="6"/>
      <c r="I55" s="6"/>
      <c r="J55" s="6"/>
      <c r="K55" s="6"/>
      <c r="L55" s="6"/>
    </row>
    <row r="56" spans="1:14" x14ac:dyDescent="0.25">
      <c r="A56" s="6" t="s">
        <v>1</v>
      </c>
      <c r="B56" s="6"/>
      <c r="C56" s="6"/>
      <c r="D56" s="6"/>
      <c r="E56" s="6"/>
      <c r="F56" s="6"/>
      <c r="G56" s="6"/>
      <c r="H56" s="6"/>
      <c r="I56" s="6"/>
      <c r="J56" s="6"/>
      <c r="K56" s="6"/>
      <c r="L56" s="6"/>
    </row>
    <row r="57" spans="1:14" x14ac:dyDescent="0.25">
      <c r="A57" s="6"/>
      <c r="B57" s="6"/>
      <c r="C57" s="6"/>
      <c r="D57" s="6"/>
      <c r="E57" s="6"/>
      <c r="F57" s="6"/>
      <c r="G57" s="6"/>
      <c r="H57" s="6"/>
      <c r="I57" s="6"/>
      <c r="J57" s="6"/>
      <c r="K57" s="6"/>
      <c r="L57" s="6"/>
    </row>
    <row r="58" spans="1:14" x14ac:dyDescent="0.25">
      <c r="A58" s="6" t="s">
        <v>262</v>
      </c>
      <c r="B58" s="6"/>
      <c r="C58" s="6"/>
      <c r="D58" s="6"/>
      <c r="E58" s="6"/>
      <c r="F58" s="6"/>
      <c r="G58" s="6"/>
      <c r="H58" s="6"/>
      <c r="I58" s="6"/>
      <c r="J58" s="6"/>
      <c r="K58" s="6"/>
      <c r="L58" s="6"/>
    </row>
    <row r="59" spans="1:14" x14ac:dyDescent="0.25">
      <c r="A59" s="100" t="s">
        <v>263</v>
      </c>
      <c r="B59" s="6"/>
      <c r="C59" s="6"/>
      <c r="D59" s="6"/>
      <c r="E59" s="6"/>
      <c r="F59" s="6"/>
      <c r="G59" s="6"/>
      <c r="H59" s="6"/>
      <c r="I59" s="6"/>
      <c r="J59" s="6"/>
      <c r="K59" s="6"/>
      <c r="L59" s="6"/>
    </row>
    <row r="60" spans="1:14" x14ac:dyDescent="0.25">
      <c r="A60" s="86" t="s">
        <v>470</v>
      </c>
    </row>
    <row r="62" spans="1:14" x14ac:dyDescent="0.25">
      <c r="M62" s="6"/>
    </row>
    <row r="63" spans="1:14" x14ac:dyDescent="0.25">
      <c r="M63" s="6"/>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4EEF-A5F6-48F7-B5F1-ADCD20825953}">
  <dimension ref="A1:N76"/>
  <sheetViews>
    <sheetView zoomScaleNormal="100" workbookViewId="0"/>
  </sheetViews>
  <sheetFormatPr defaultColWidth="8.85546875" defaultRowHeight="15.75" x14ac:dyDescent="0.25"/>
  <cols>
    <col min="1" max="1" width="8.85546875" style="1" customWidth="1"/>
    <col min="2" max="10" width="11.7109375" style="1" customWidth="1"/>
    <col min="11" max="16384" width="8.85546875" style="1"/>
  </cols>
  <sheetData>
    <row r="1" spans="1:12" ht="18.75" x14ac:dyDescent="0.3">
      <c r="A1" s="2" t="s">
        <v>62</v>
      </c>
      <c r="B1" s="4"/>
      <c r="C1" s="8" t="s">
        <v>9</v>
      </c>
      <c r="D1" s="4"/>
      <c r="E1" s="4"/>
      <c r="F1" s="4"/>
      <c r="G1" s="4"/>
      <c r="H1" s="4"/>
      <c r="I1" s="4"/>
      <c r="J1" s="4"/>
      <c r="K1" s="4"/>
      <c r="L1" s="3"/>
    </row>
    <row r="2" spans="1:12" x14ac:dyDescent="0.25">
      <c r="A2" s="4"/>
      <c r="B2" s="4"/>
      <c r="C2" s="4"/>
      <c r="D2" s="4"/>
      <c r="E2" s="4"/>
      <c r="F2" s="4"/>
      <c r="G2" s="4"/>
      <c r="H2" s="4"/>
      <c r="I2" s="4"/>
      <c r="J2" s="4"/>
      <c r="K2" s="4"/>
      <c r="L2" s="3"/>
    </row>
    <row r="3" spans="1:12" x14ac:dyDescent="0.25">
      <c r="A3" s="205" t="s">
        <v>63</v>
      </c>
      <c r="B3" s="205"/>
      <c r="C3" s="205"/>
      <c r="D3" s="205"/>
      <c r="E3" s="205"/>
      <c r="F3" s="205"/>
      <c r="G3" s="205"/>
      <c r="H3" s="205"/>
      <c r="I3" s="205"/>
      <c r="J3" s="205"/>
      <c r="K3" s="205"/>
      <c r="L3" s="3"/>
    </row>
    <row r="4" spans="1:12" x14ac:dyDescent="0.25">
      <c r="A4" s="205"/>
      <c r="B4" s="205"/>
      <c r="C4" s="205"/>
      <c r="D4" s="205"/>
      <c r="E4" s="205"/>
      <c r="F4" s="205"/>
      <c r="G4" s="205"/>
      <c r="H4" s="205"/>
      <c r="I4" s="205"/>
      <c r="J4" s="205"/>
      <c r="K4" s="205"/>
      <c r="L4" s="8"/>
    </row>
    <row r="5" spans="1:12" x14ac:dyDescent="0.25">
      <c r="A5" s="9"/>
      <c r="B5" s="4"/>
      <c r="C5" s="4"/>
      <c r="D5" s="4"/>
      <c r="E5" s="4"/>
      <c r="F5" s="4"/>
      <c r="G5" s="4"/>
      <c r="H5" s="8"/>
      <c r="I5" s="8"/>
      <c r="J5" s="8"/>
      <c r="K5" s="8"/>
      <c r="L5" s="8"/>
    </row>
    <row r="6" spans="1:12" x14ac:dyDescent="0.25">
      <c r="A6" s="9"/>
      <c r="B6" s="47" t="s">
        <v>13</v>
      </c>
      <c r="C6" s="206" t="s">
        <v>64</v>
      </c>
      <c r="D6" s="207"/>
      <c r="E6" s="207"/>
      <c r="F6" s="207"/>
      <c r="G6" s="207"/>
      <c r="H6" s="207"/>
      <c r="I6" s="207"/>
      <c r="J6" s="47" t="s">
        <v>65</v>
      </c>
      <c r="K6" s="8"/>
      <c r="L6" s="8"/>
    </row>
    <row r="7" spans="1:12" x14ac:dyDescent="0.25">
      <c r="A7" s="9"/>
      <c r="B7" s="48" t="s">
        <v>66</v>
      </c>
      <c r="C7" s="45">
        <v>12</v>
      </c>
      <c r="D7" s="29">
        <v>24</v>
      </c>
      <c r="E7" s="29">
        <v>36</v>
      </c>
      <c r="F7" s="29">
        <v>48</v>
      </c>
      <c r="G7" s="29">
        <v>60</v>
      </c>
      <c r="H7" s="29">
        <v>72</v>
      </c>
      <c r="I7" s="29">
        <v>84</v>
      </c>
      <c r="J7" s="48" t="s">
        <v>67</v>
      </c>
      <c r="K7" s="8"/>
      <c r="L7" s="8"/>
    </row>
    <row r="8" spans="1:12" x14ac:dyDescent="0.25">
      <c r="A8" s="9"/>
      <c r="B8" s="46">
        <v>2017</v>
      </c>
      <c r="C8" s="30">
        <v>401</v>
      </c>
      <c r="D8" s="30">
        <v>111</v>
      </c>
      <c r="E8" s="30">
        <v>78</v>
      </c>
      <c r="F8" s="30">
        <v>69</v>
      </c>
      <c r="G8" s="30">
        <v>47</v>
      </c>
      <c r="H8" s="30">
        <v>26</v>
      </c>
      <c r="I8" s="53">
        <v>42</v>
      </c>
      <c r="J8" s="30">
        <v>774</v>
      </c>
      <c r="K8" s="8"/>
      <c r="L8" s="8"/>
    </row>
    <row r="9" spans="1:12" x14ac:dyDescent="0.25">
      <c r="A9" s="4"/>
      <c r="B9" s="30">
        <v>2018</v>
      </c>
      <c r="C9" s="30">
        <v>410</v>
      </c>
      <c r="D9" s="30">
        <v>103</v>
      </c>
      <c r="E9" s="30">
        <v>95</v>
      </c>
      <c r="F9" s="30">
        <v>68</v>
      </c>
      <c r="G9" s="30">
        <v>39</v>
      </c>
      <c r="H9" s="53">
        <v>45</v>
      </c>
      <c r="I9" s="53">
        <v>23</v>
      </c>
      <c r="J9" s="30">
        <v>783</v>
      </c>
      <c r="K9" s="8"/>
      <c r="L9" s="8"/>
    </row>
    <row r="10" spans="1:12" x14ac:dyDescent="0.25">
      <c r="A10" s="4"/>
      <c r="B10" s="30">
        <v>2019</v>
      </c>
      <c r="C10" s="30">
        <v>410</v>
      </c>
      <c r="D10" s="30">
        <v>114</v>
      </c>
      <c r="E10" s="30">
        <v>94</v>
      </c>
      <c r="F10" s="30">
        <v>67</v>
      </c>
      <c r="G10" s="53">
        <v>47</v>
      </c>
      <c r="H10" s="53">
        <v>47</v>
      </c>
      <c r="I10" s="53">
        <v>24</v>
      </c>
      <c r="J10" s="30">
        <v>803</v>
      </c>
      <c r="K10" s="8"/>
      <c r="L10" s="8"/>
    </row>
    <row r="11" spans="1:12" x14ac:dyDescent="0.25">
      <c r="A11" s="9"/>
      <c r="B11" s="30">
        <v>2020</v>
      </c>
      <c r="C11" s="30">
        <v>410</v>
      </c>
      <c r="D11" s="30">
        <v>120</v>
      </c>
      <c r="E11" s="30">
        <v>95</v>
      </c>
      <c r="F11" s="53">
        <v>67</v>
      </c>
      <c r="G11" s="53">
        <v>50</v>
      </c>
      <c r="H11" s="53">
        <v>51</v>
      </c>
      <c r="I11" s="53">
        <v>25</v>
      </c>
      <c r="J11" s="30">
        <v>818</v>
      </c>
      <c r="K11" s="8"/>
      <c r="L11" s="8"/>
    </row>
    <row r="12" spans="1:12" x14ac:dyDescent="0.25">
      <c r="A12" s="4"/>
      <c r="B12" s="30">
        <v>2021</v>
      </c>
      <c r="C12" s="30">
        <v>425</v>
      </c>
      <c r="D12" s="30">
        <v>111</v>
      </c>
      <c r="E12" s="54">
        <v>95</v>
      </c>
      <c r="F12" s="53">
        <v>66</v>
      </c>
      <c r="G12" s="53">
        <v>49</v>
      </c>
      <c r="H12" s="53">
        <v>49</v>
      </c>
      <c r="I12" s="53">
        <v>25</v>
      </c>
      <c r="J12" s="30">
        <v>820</v>
      </c>
      <c r="K12" s="8"/>
      <c r="L12" s="8"/>
    </row>
    <row r="13" spans="1:12" x14ac:dyDescent="0.25">
      <c r="A13" s="4"/>
      <c r="B13" s="30">
        <v>2022</v>
      </c>
      <c r="C13" s="30">
        <v>434</v>
      </c>
      <c r="D13" s="53">
        <v>120</v>
      </c>
      <c r="E13" s="53">
        <v>96</v>
      </c>
      <c r="F13" s="53">
        <v>66</v>
      </c>
      <c r="G13" s="53">
        <v>50</v>
      </c>
      <c r="H13" s="53">
        <v>50</v>
      </c>
      <c r="I13" s="53">
        <v>25</v>
      </c>
      <c r="J13" s="30">
        <v>841</v>
      </c>
      <c r="K13" s="8"/>
      <c r="L13" s="8"/>
    </row>
    <row r="14" spans="1:12" x14ac:dyDescent="0.25">
      <c r="A14" s="4"/>
      <c r="B14" s="4"/>
      <c r="C14" s="4"/>
      <c r="D14" s="4"/>
      <c r="E14" s="4"/>
      <c r="F14" s="4"/>
      <c r="G14" s="4"/>
      <c r="H14" s="8"/>
      <c r="I14" s="8"/>
      <c r="J14" s="8"/>
      <c r="K14" s="8"/>
      <c r="L14" s="8"/>
    </row>
    <row r="15" spans="1:12" x14ac:dyDescent="0.25">
      <c r="A15" s="4"/>
      <c r="B15" s="207" t="s">
        <v>68</v>
      </c>
      <c r="C15" s="207"/>
      <c r="D15" s="207"/>
      <c r="E15" s="207"/>
      <c r="F15" s="207"/>
      <c r="G15" s="207"/>
      <c r="H15" s="207"/>
      <c r="I15" s="58"/>
      <c r="J15" s="8"/>
      <c r="K15" s="8"/>
      <c r="L15" s="8"/>
    </row>
    <row r="16" spans="1:12" x14ac:dyDescent="0.25">
      <c r="A16" s="8"/>
      <c r="B16" s="29">
        <v>12</v>
      </c>
      <c r="C16" s="29">
        <v>24</v>
      </c>
      <c r="D16" s="29">
        <v>36</v>
      </c>
      <c r="E16" s="29">
        <v>48</v>
      </c>
      <c r="F16" s="29">
        <v>60</v>
      </c>
      <c r="G16" s="29">
        <v>72</v>
      </c>
      <c r="H16" s="29">
        <v>84</v>
      </c>
      <c r="I16" s="58"/>
      <c r="J16" s="8"/>
      <c r="K16" s="8"/>
      <c r="L16" s="8"/>
    </row>
    <row r="17" spans="1:14" x14ac:dyDescent="0.25">
      <c r="A17" s="8"/>
      <c r="B17" s="49">
        <v>0.51</v>
      </c>
      <c r="C17" s="49">
        <v>0.65400000000000003</v>
      </c>
      <c r="D17" s="49">
        <v>0.77</v>
      </c>
      <c r="E17" s="49">
        <v>0.85</v>
      </c>
      <c r="F17" s="49">
        <v>0.91</v>
      </c>
      <c r="G17" s="49">
        <v>0.97</v>
      </c>
      <c r="H17" s="49">
        <v>1</v>
      </c>
      <c r="I17" s="58"/>
      <c r="J17" s="8"/>
      <c r="K17" s="8"/>
      <c r="L17" s="8"/>
    </row>
    <row r="18" spans="1:14" x14ac:dyDescent="0.25">
      <c r="A18" s="8"/>
      <c r="B18" s="8"/>
      <c r="C18" s="8"/>
      <c r="D18" s="8"/>
      <c r="E18" s="8"/>
      <c r="F18" s="8"/>
      <c r="G18" s="8"/>
      <c r="H18" s="8"/>
      <c r="I18" s="8"/>
      <c r="J18" s="8"/>
      <c r="K18" s="8"/>
      <c r="L18" s="8"/>
    </row>
    <row r="19" spans="1:14" x14ac:dyDescent="0.25">
      <c r="A19" s="6"/>
      <c r="B19" s="6"/>
      <c r="C19" s="6"/>
      <c r="D19" s="6"/>
      <c r="E19" s="6"/>
      <c r="F19" s="6"/>
      <c r="G19" s="6"/>
      <c r="H19" s="6"/>
      <c r="I19" s="6"/>
      <c r="J19" s="6"/>
      <c r="K19" s="6"/>
      <c r="L19" s="6"/>
    </row>
    <row r="20" spans="1:14" x14ac:dyDescent="0.25">
      <c r="A20" s="5" t="s">
        <v>4</v>
      </c>
      <c r="B20" s="8" t="s">
        <v>233</v>
      </c>
      <c r="C20" s="4"/>
      <c r="D20" s="4"/>
      <c r="E20" s="4"/>
      <c r="F20" s="4"/>
      <c r="G20" s="4"/>
      <c r="H20" s="4"/>
      <c r="I20" s="4"/>
      <c r="J20" s="4"/>
      <c r="K20" s="4"/>
      <c r="L20" s="4"/>
      <c r="M20" s="7"/>
      <c r="N20" s="7"/>
    </row>
    <row r="21" spans="1:14" x14ac:dyDescent="0.25">
      <c r="A21" s="6"/>
      <c r="B21" s="6"/>
      <c r="C21" s="6"/>
      <c r="D21" s="6"/>
      <c r="E21" s="6"/>
      <c r="F21" s="6"/>
      <c r="G21" s="6"/>
      <c r="H21" s="6"/>
      <c r="I21" s="6"/>
      <c r="J21" s="6"/>
      <c r="K21" s="6"/>
      <c r="L21" s="6"/>
      <c r="M21" s="6"/>
    </row>
    <row r="22" spans="1:14" x14ac:dyDescent="0.25">
      <c r="A22" s="6" t="s">
        <v>1</v>
      </c>
      <c r="B22" s="6"/>
      <c r="C22" s="6"/>
      <c r="D22" s="6"/>
      <c r="E22" s="6"/>
      <c r="F22" s="6"/>
      <c r="G22" s="6"/>
      <c r="H22" s="6"/>
      <c r="I22" s="6"/>
      <c r="J22" s="6"/>
      <c r="K22" s="6"/>
      <c r="L22" s="6"/>
      <c r="M22" s="6"/>
      <c r="N22" s="7"/>
    </row>
    <row r="23" spans="1:14" x14ac:dyDescent="0.25">
      <c r="A23" s="6"/>
      <c r="B23" s="6"/>
      <c r="C23" s="6"/>
      <c r="D23" s="6"/>
      <c r="E23" s="6"/>
      <c r="F23" s="6"/>
      <c r="G23" s="6"/>
      <c r="H23" s="6"/>
      <c r="I23" s="6"/>
      <c r="J23" s="6"/>
      <c r="K23" s="6"/>
      <c r="L23" s="6"/>
      <c r="M23" s="6"/>
      <c r="N23" s="7"/>
    </row>
    <row r="24" spans="1:14" x14ac:dyDescent="0.25">
      <c r="A24" s="6"/>
      <c r="B24" s="1" t="s">
        <v>264</v>
      </c>
      <c r="E24"/>
      <c r="F24" s="79">
        <f>C12+D12</f>
        <v>536</v>
      </c>
      <c r="H24"/>
      <c r="K24"/>
      <c r="L24" s="6"/>
      <c r="M24" s="6"/>
      <c r="N24" s="7"/>
    </row>
    <row r="25" spans="1:14" x14ac:dyDescent="0.25">
      <c r="B25" s="1" t="s">
        <v>285</v>
      </c>
      <c r="F25" s="79">
        <f>ROUND((J12-C12-D12)*(D17-C17)/(1-C17)+C12+D12,0)</f>
        <v>631</v>
      </c>
      <c r="H25"/>
      <c r="K25"/>
      <c r="M25" s="7"/>
      <c r="N25" s="7"/>
    </row>
    <row r="26" spans="1:14" x14ac:dyDescent="0.25">
      <c r="B26" s="1" t="s">
        <v>286</v>
      </c>
      <c r="F26" s="79">
        <f>F25-F24</f>
        <v>95</v>
      </c>
      <c r="H26"/>
      <c r="K26"/>
      <c r="M26" s="7"/>
      <c r="N26" s="7"/>
    </row>
    <row r="27" spans="1:14" x14ac:dyDescent="0.25">
      <c r="M27" s="7"/>
      <c r="N27" s="7"/>
    </row>
    <row r="28" spans="1:14" x14ac:dyDescent="0.25">
      <c r="A28" s="8"/>
      <c r="B28" s="8"/>
      <c r="C28" s="8"/>
      <c r="D28" s="8"/>
      <c r="E28" s="8"/>
      <c r="F28" s="8"/>
      <c r="G28" s="8"/>
      <c r="H28" s="8"/>
      <c r="I28" s="8"/>
      <c r="J28" s="8"/>
      <c r="K28" s="8"/>
      <c r="L28" s="8"/>
      <c r="M28" s="7"/>
      <c r="N28" s="7"/>
    </row>
    <row r="29" spans="1:14" x14ac:dyDescent="0.25">
      <c r="A29" s="8" t="s">
        <v>69</v>
      </c>
      <c r="B29" s="8"/>
      <c r="C29" s="8"/>
      <c r="D29" s="8"/>
      <c r="E29" s="8"/>
      <c r="F29" s="8"/>
      <c r="G29" s="8"/>
      <c r="H29" s="8"/>
      <c r="I29" s="8"/>
      <c r="J29" s="8"/>
      <c r="K29" s="8"/>
      <c r="L29" s="8"/>
      <c r="M29" s="7"/>
      <c r="N29" s="7"/>
    </row>
    <row r="30" spans="1:14" x14ac:dyDescent="0.25">
      <c r="A30" s="8"/>
      <c r="B30" s="8"/>
      <c r="C30" s="8"/>
      <c r="D30" s="8"/>
      <c r="E30" s="8"/>
      <c r="F30" s="8"/>
      <c r="G30" s="8"/>
      <c r="H30" s="8"/>
      <c r="I30" s="8"/>
      <c r="J30" s="8"/>
      <c r="K30" s="8"/>
      <c r="L30" s="8"/>
      <c r="M30" s="7"/>
      <c r="N30" s="7"/>
    </row>
    <row r="31" spans="1:14" x14ac:dyDescent="0.25">
      <c r="A31" s="8"/>
      <c r="B31" s="47" t="s">
        <v>13</v>
      </c>
      <c r="C31" s="206" t="s">
        <v>70</v>
      </c>
      <c r="D31" s="207"/>
      <c r="E31" s="207"/>
      <c r="F31" s="207"/>
      <c r="G31" s="207"/>
      <c r="H31" s="207"/>
      <c r="I31" s="207"/>
      <c r="J31" s="8"/>
      <c r="K31" s="8"/>
      <c r="L31" s="8"/>
      <c r="M31" s="7"/>
      <c r="N31" s="7"/>
    </row>
    <row r="32" spans="1:14" x14ac:dyDescent="0.25">
      <c r="A32" s="8"/>
      <c r="B32" s="48" t="s">
        <v>14</v>
      </c>
      <c r="C32" s="45">
        <v>12</v>
      </c>
      <c r="D32" s="29">
        <v>24</v>
      </c>
      <c r="E32" s="29">
        <v>36</v>
      </c>
      <c r="F32" s="29">
        <v>48</v>
      </c>
      <c r="G32" s="29">
        <v>60</v>
      </c>
      <c r="H32" s="29">
        <v>72</v>
      </c>
      <c r="I32" s="29">
        <v>84</v>
      </c>
      <c r="J32" s="8"/>
      <c r="K32" s="8"/>
      <c r="L32" s="8"/>
      <c r="M32" s="7"/>
      <c r="N32" s="7"/>
    </row>
    <row r="33" spans="1:14" x14ac:dyDescent="0.25">
      <c r="A33" s="8"/>
      <c r="B33" s="46">
        <v>2017</v>
      </c>
      <c r="C33" s="30">
        <v>138</v>
      </c>
      <c r="D33" s="30">
        <v>166</v>
      </c>
      <c r="E33" s="30">
        <v>132</v>
      </c>
      <c r="F33" s="30">
        <v>122</v>
      </c>
      <c r="G33" s="30">
        <v>99</v>
      </c>
      <c r="H33" s="30">
        <v>73</v>
      </c>
      <c r="I33" s="53">
        <v>44</v>
      </c>
      <c r="J33" s="8"/>
      <c r="K33" s="8"/>
      <c r="L33" s="8"/>
      <c r="M33" s="7"/>
      <c r="N33" s="7"/>
    </row>
    <row r="34" spans="1:14" x14ac:dyDescent="0.25">
      <c r="A34" s="8"/>
      <c r="B34" s="30">
        <v>2018</v>
      </c>
      <c r="C34" s="30">
        <v>141</v>
      </c>
      <c r="D34" s="30">
        <v>160</v>
      </c>
      <c r="E34" s="30">
        <v>154</v>
      </c>
      <c r="F34" s="30">
        <v>119</v>
      </c>
      <c r="G34" s="30">
        <v>92</v>
      </c>
      <c r="H34" s="53">
        <v>73</v>
      </c>
      <c r="I34" s="53">
        <v>44</v>
      </c>
      <c r="J34" s="8"/>
      <c r="K34" s="8"/>
      <c r="L34" s="8"/>
      <c r="M34" s="7"/>
      <c r="N34" s="7"/>
    </row>
    <row r="35" spans="1:14" x14ac:dyDescent="0.25">
      <c r="A35" s="8"/>
      <c r="B35" s="30">
        <v>2019</v>
      </c>
      <c r="C35" s="30">
        <v>141</v>
      </c>
      <c r="D35" s="30">
        <v>171</v>
      </c>
      <c r="E35" s="30">
        <v>148</v>
      </c>
      <c r="F35" s="30">
        <v>123</v>
      </c>
      <c r="G35" s="53">
        <v>99</v>
      </c>
      <c r="H35" s="53">
        <v>75</v>
      </c>
      <c r="I35" s="53">
        <v>46</v>
      </c>
      <c r="J35" s="8"/>
      <c r="K35" s="8"/>
      <c r="L35" s="8"/>
      <c r="M35" s="7"/>
      <c r="N35" s="7"/>
    </row>
    <row r="36" spans="1:14" x14ac:dyDescent="0.25">
      <c r="A36" s="8"/>
      <c r="B36" s="30">
        <v>2020</v>
      </c>
      <c r="C36" s="30">
        <v>141</v>
      </c>
      <c r="D36" s="30">
        <v>177</v>
      </c>
      <c r="E36" s="30">
        <v>149</v>
      </c>
      <c r="F36" s="53">
        <v>127</v>
      </c>
      <c r="G36" s="53">
        <v>101</v>
      </c>
      <c r="H36" s="53">
        <v>77</v>
      </c>
      <c r="I36" s="53">
        <v>46</v>
      </c>
      <c r="J36" s="8"/>
      <c r="K36" s="8"/>
      <c r="L36" s="8"/>
      <c r="M36" s="7"/>
      <c r="N36" s="7"/>
    </row>
    <row r="37" spans="1:14" x14ac:dyDescent="0.25">
      <c r="A37" s="8"/>
      <c r="B37" s="30">
        <v>2021</v>
      </c>
      <c r="C37" s="30">
        <v>146</v>
      </c>
      <c r="D37" s="30">
        <v>170</v>
      </c>
      <c r="E37" s="53">
        <v>154</v>
      </c>
      <c r="F37" s="53">
        <v>126</v>
      </c>
      <c r="G37" s="53">
        <v>101</v>
      </c>
      <c r="H37" s="53">
        <v>77</v>
      </c>
      <c r="I37" s="53">
        <v>46</v>
      </c>
      <c r="J37" s="8"/>
      <c r="K37" s="8"/>
      <c r="L37" s="8"/>
      <c r="M37" s="7"/>
      <c r="N37" s="7"/>
    </row>
    <row r="38" spans="1:14" x14ac:dyDescent="0.25">
      <c r="A38" s="8"/>
      <c r="B38" s="30">
        <v>2022</v>
      </c>
      <c r="C38" s="30">
        <v>149</v>
      </c>
      <c r="D38" s="53">
        <v>177</v>
      </c>
      <c r="E38" s="53">
        <v>158</v>
      </c>
      <c r="F38" s="53">
        <v>129</v>
      </c>
      <c r="G38" s="53">
        <v>102</v>
      </c>
      <c r="H38" s="53">
        <v>79</v>
      </c>
      <c r="I38" s="53">
        <v>47</v>
      </c>
      <c r="J38" s="8"/>
      <c r="K38" s="8"/>
      <c r="L38" s="8"/>
      <c r="M38" s="7"/>
      <c r="N38" s="7"/>
    </row>
    <row r="39" spans="1:14" x14ac:dyDescent="0.25">
      <c r="A39" s="8"/>
      <c r="B39" s="8"/>
      <c r="C39" s="8"/>
      <c r="D39" s="8"/>
      <c r="E39" s="8"/>
      <c r="F39" s="8"/>
      <c r="G39" s="8"/>
      <c r="H39" s="8"/>
      <c r="I39" s="8"/>
      <c r="J39" s="8"/>
      <c r="K39" s="8"/>
      <c r="L39" s="8"/>
      <c r="M39" s="7"/>
      <c r="N39" s="7"/>
    </row>
    <row r="40" spans="1:14" ht="47.25" x14ac:dyDescent="0.25">
      <c r="A40" s="8"/>
      <c r="B40" s="33" t="s">
        <v>71</v>
      </c>
      <c r="C40" s="33" t="s">
        <v>72</v>
      </c>
      <c r="D40" s="33" t="s">
        <v>73</v>
      </c>
      <c r="E40" s="33" t="s">
        <v>74</v>
      </c>
      <c r="F40" s="33" t="s">
        <v>75</v>
      </c>
      <c r="G40" s="8"/>
      <c r="H40" s="8"/>
      <c r="I40" s="8"/>
      <c r="J40" s="8"/>
      <c r="K40" s="8"/>
      <c r="L40" s="8"/>
      <c r="M40" s="7"/>
      <c r="N40" s="7"/>
    </row>
    <row r="41" spans="1:14" x14ac:dyDescent="0.25">
      <c r="A41" s="8"/>
      <c r="B41" s="30">
        <v>2020</v>
      </c>
      <c r="C41" s="38">
        <v>640000</v>
      </c>
      <c r="D41" s="30">
        <v>796</v>
      </c>
      <c r="E41" s="30">
        <v>786</v>
      </c>
      <c r="F41" s="30">
        <v>792</v>
      </c>
      <c r="G41" s="8"/>
      <c r="H41" s="8"/>
      <c r="I41" s="8"/>
      <c r="J41" s="8"/>
      <c r="K41" s="8"/>
      <c r="L41" s="8"/>
      <c r="M41" s="7"/>
      <c r="N41" s="7"/>
    </row>
    <row r="42" spans="1:14" x14ac:dyDescent="0.25">
      <c r="A42" s="8"/>
      <c r="B42" s="30">
        <v>2021</v>
      </c>
      <c r="C42" s="38">
        <v>675000</v>
      </c>
      <c r="D42" s="30">
        <v>819</v>
      </c>
      <c r="E42" s="30">
        <v>802</v>
      </c>
      <c r="F42" s="30">
        <v>803</v>
      </c>
      <c r="G42" s="8"/>
      <c r="H42" s="8"/>
      <c r="I42" s="8"/>
      <c r="J42" s="8"/>
      <c r="K42" s="8"/>
      <c r="L42" s="8"/>
      <c r="M42" s="7"/>
      <c r="N42" s="7"/>
    </row>
    <row r="43" spans="1:14" x14ac:dyDescent="0.25">
      <c r="A43" s="8"/>
      <c r="B43" s="30">
        <v>2022</v>
      </c>
      <c r="C43" s="38">
        <v>692000</v>
      </c>
      <c r="D43" s="30">
        <v>814</v>
      </c>
      <c r="E43" s="30">
        <v>816</v>
      </c>
      <c r="F43" s="30">
        <v>800</v>
      </c>
      <c r="G43" s="8"/>
      <c r="H43" s="8"/>
      <c r="I43" s="8"/>
      <c r="J43" s="8"/>
      <c r="K43" s="8"/>
      <c r="L43" s="8"/>
      <c r="M43" s="7"/>
      <c r="N43" s="7"/>
    </row>
    <row r="44" spans="1:14" x14ac:dyDescent="0.25">
      <c r="A44" s="8"/>
      <c r="B44" s="8"/>
      <c r="C44" s="8"/>
      <c r="D44" s="8"/>
      <c r="E44" s="8"/>
      <c r="F44" s="8"/>
      <c r="G44" s="8"/>
      <c r="H44" s="8"/>
      <c r="I44" s="8"/>
      <c r="J44" s="8"/>
      <c r="K44" s="8"/>
      <c r="L44" s="8"/>
      <c r="M44" s="7"/>
      <c r="N44" s="7"/>
    </row>
    <row r="45" spans="1:14" x14ac:dyDescent="0.25">
      <c r="A45" s="8"/>
      <c r="B45" s="8" t="s">
        <v>76</v>
      </c>
      <c r="C45" s="8"/>
      <c r="D45" s="58"/>
      <c r="E45" s="58"/>
      <c r="F45" s="58"/>
      <c r="G45" s="8"/>
      <c r="H45" s="8"/>
      <c r="I45" s="8"/>
      <c r="J45" s="8"/>
      <c r="K45" s="8"/>
      <c r="L45" s="8"/>
      <c r="M45" s="7"/>
      <c r="N45" s="7"/>
    </row>
    <row r="46" spans="1:14" x14ac:dyDescent="0.25">
      <c r="A46" s="8"/>
      <c r="B46" s="8"/>
      <c r="C46" s="8"/>
      <c r="D46" s="8"/>
      <c r="E46" s="8"/>
      <c r="F46" s="8"/>
      <c r="G46" s="8"/>
      <c r="H46" s="8"/>
      <c r="I46" s="8"/>
      <c r="J46" s="8"/>
      <c r="K46" s="8"/>
      <c r="L46" s="8"/>
      <c r="M46" s="7"/>
      <c r="N46" s="7"/>
    </row>
    <row r="47" spans="1:14" x14ac:dyDescent="0.25">
      <c r="A47" s="8"/>
      <c r="B47" s="50" t="s">
        <v>77</v>
      </c>
      <c r="C47" s="51"/>
      <c r="D47" s="52">
        <v>0.25</v>
      </c>
      <c r="E47" s="8"/>
      <c r="F47" s="8"/>
      <c r="G47" s="8"/>
      <c r="H47" s="58"/>
      <c r="I47" s="8"/>
      <c r="J47" s="8"/>
      <c r="K47" s="8"/>
      <c r="L47" s="8"/>
      <c r="M47" s="7"/>
      <c r="N47" s="7"/>
    </row>
    <row r="48" spans="1:14" x14ac:dyDescent="0.25">
      <c r="A48" s="8"/>
      <c r="B48" s="50" t="s">
        <v>78</v>
      </c>
      <c r="C48" s="51"/>
      <c r="D48" s="52">
        <v>0.65</v>
      </c>
      <c r="E48" s="8"/>
      <c r="F48" s="8"/>
      <c r="G48" s="8"/>
      <c r="H48" s="58"/>
      <c r="I48" s="8"/>
      <c r="J48" s="8"/>
      <c r="K48" s="8"/>
      <c r="L48" s="8"/>
      <c r="M48" s="7"/>
      <c r="N48" s="7"/>
    </row>
    <row r="49" spans="1:14" x14ac:dyDescent="0.25">
      <c r="A49" s="8"/>
      <c r="B49" s="50" t="s">
        <v>79</v>
      </c>
      <c r="C49" s="51"/>
      <c r="D49" s="52">
        <v>0.1</v>
      </c>
      <c r="E49" s="8"/>
      <c r="F49" s="8"/>
      <c r="G49" s="8"/>
      <c r="H49" s="8"/>
      <c r="I49" s="8"/>
      <c r="J49" s="8"/>
      <c r="K49" s="8"/>
      <c r="L49" s="8"/>
      <c r="M49" s="7"/>
      <c r="N49" s="7"/>
    </row>
    <row r="50" spans="1:14" x14ac:dyDescent="0.25">
      <c r="A50" s="8"/>
      <c r="B50" s="8"/>
      <c r="C50" s="8"/>
      <c r="D50" s="8"/>
      <c r="E50" s="8"/>
      <c r="F50" s="8"/>
      <c r="G50" s="8"/>
      <c r="H50" s="8"/>
      <c r="I50" s="8"/>
      <c r="J50" s="8"/>
      <c r="K50" s="8"/>
      <c r="L50" s="8"/>
      <c r="M50" s="7"/>
      <c r="N50" s="7"/>
    </row>
    <row r="51" spans="1:14" x14ac:dyDescent="0.25">
      <c r="A51" s="8"/>
      <c r="B51" s="8" t="s">
        <v>80</v>
      </c>
      <c r="C51" s="8"/>
      <c r="D51" s="8"/>
      <c r="E51" s="8"/>
      <c r="F51" s="8"/>
      <c r="G51" s="44">
        <v>0.02</v>
      </c>
      <c r="H51" s="8"/>
      <c r="I51" s="8"/>
      <c r="J51" s="8"/>
      <c r="K51" s="8"/>
      <c r="L51" s="8"/>
      <c r="M51" s="7"/>
      <c r="N51" s="7"/>
    </row>
    <row r="52" spans="1:14" x14ac:dyDescent="0.25">
      <c r="A52" s="8"/>
      <c r="B52" s="8" t="s">
        <v>81</v>
      </c>
      <c r="C52" s="8"/>
      <c r="D52" s="8"/>
      <c r="E52" s="8"/>
      <c r="F52" s="8"/>
      <c r="G52" s="44">
        <v>0.03</v>
      </c>
      <c r="H52" s="8"/>
      <c r="I52" s="8"/>
      <c r="J52" s="8"/>
      <c r="K52" s="8"/>
      <c r="L52" s="8"/>
      <c r="M52" s="7"/>
      <c r="N52" s="7"/>
    </row>
    <row r="53" spans="1:14" x14ac:dyDescent="0.25">
      <c r="A53" s="8"/>
      <c r="B53" s="8"/>
      <c r="C53" s="8"/>
      <c r="D53" s="8"/>
      <c r="E53" s="8"/>
      <c r="F53" s="8"/>
      <c r="G53" s="8"/>
      <c r="H53" s="8"/>
      <c r="I53" s="8"/>
      <c r="J53" s="8"/>
      <c r="K53" s="8"/>
      <c r="L53" s="8"/>
      <c r="M53" s="7"/>
      <c r="N53" s="7"/>
    </row>
    <row r="55" spans="1:14" x14ac:dyDescent="0.25">
      <c r="A55" s="5" t="s">
        <v>5</v>
      </c>
      <c r="B55" s="8" t="s">
        <v>82</v>
      </c>
      <c r="C55" s="4"/>
      <c r="D55" s="4"/>
      <c r="E55" s="4"/>
      <c r="F55" s="4"/>
      <c r="G55" s="4"/>
      <c r="H55" s="4"/>
      <c r="I55" s="4"/>
      <c r="J55" s="4"/>
      <c r="K55" s="4"/>
      <c r="L55" s="4"/>
    </row>
    <row r="56" spans="1:14" x14ac:dyDescent="0.25">
      <c r="A56" s="6"/>
      <c r="B56" s="6"/>
      <c r="C56" s="6"/>
      <c r="D56" s="6"/>
      <c r="E56" s="6"/>
      <c r="F56" s="6"/>
      <c r="G56" s="6"/>
      <c r="H56" s="6"/>
      <c r="I56" s="6"/>
      <c r="J56" s="6"/>
      <c r="K56" s="6"/>
      <c r="L56" s="6"/>
    </row>
    <row r="57" spans="1:14" x14ac:dyDescent="0.25">
      <c r="A57" s="6" t="s">
        <v>1</v>
      </c>
      <c r="B57" s="6"/>
      <c r="C57" s="6"/>
      <c r="D57" s="6"/>
      <c r="E57" s="6"/>
      <c r="F57" s="6"/>
      <c r="G57" s="6"/>
      <c r="H57" s="6"/>
      <c r="I57" s="6"/>
      <c r="J57" s="6"/>
      <c r="K57" s="6"/>
      <c r="L57" s="6"/>
    </row>
    <row r="58" spans="1:14" ht="47.25" x14ac:dyDescent="0.25">
      <c r="A58" s="6"/>
      <c r="B58" s="92" t="s">
        <v>71</v>
      </c>
      <c r="C58" s="92" t="s">
        <v>265</v>
      </c>
      <c r="D58" s="92" t="s">
        <v>287</v>
      </c>
      <c r="E58" s="92" t="s">
        <v>266</v>
      </c>
      <c r="F58" s="92" t="s">
        <v>283</v>
      </c>
      <c r="G58" s="92" t="s">
        <v>267</v>
      </c>
      <c r="K58" s="6"/>
      <c r="L58" s="6"/>
    </row>
    <row r="59" spans="1:14" x14ac:dyDescent="0.25">
      <c r="A59" s="6"/>
      <c r="B59" s="79">
        <v>2020</v>
      </c>
      <c r="C59" s="101">
        <f>D41*$D$47+E41*$D$48+F41*$D$49</f>
        <v>789.10000000000014</v>
      </c>
      <c r="D59" s="102">
        <f>C41/C59</f>
        <v>811.05056393359507</v>
      </c>
      <c r="E59" s="79">
        <f>E60+1</f>
        <v>3</v>
      </c>
      <c r="F59" s="103">
        <f>(1+$G$51)^E59</f>
        <v>1.0612079999999999</v>
      </c>
      <c r="G59" s="102">
        <f>F59*D59</f>
        <v>860.69334685084254</v>
      </c>
      <c r="K59" s="6"/>
      <c r="L59" s="6"/>
    </row>
    <row r="60" spans="1:14" x14ac:dyDescent="0.25">
      <c r="B60" s="79">
        <v>2021</v>
      </c>
      <c r="C60" s="101">
        <f>D42*$D$47+E42*$D$48+F42*$D$49</f>
        <v>806.35000000000014</v>
      </c>
      <c r="D60" s="102">
        <f>C42/C60</f>
        <v>837.10547528988639</v>
      </c>
      <c r="E60" s="79">
        <f>E61+1</f>
        <v>2</v>
      </c>
      <c r="F60" s="103">
        <f>(1+$G$51)^E60</f>
        <v>1.0404</v>
      </c>
      <c r="G60" s="102">
        <f t="shared" ref="G60:G61" si="0">F60*D60</f>
        <v>870.92453649159779</v>
      </c>
      <c r="M60" s="6"/>
    </row>
    <row r="61" spans="1:14" x14ac:dyDescent="0.25">
      <c r="B61" s="79">
        <v>2022</v>
      </c>
      <c r="C61" s="101">
        <f>D43*$D$47+E43*$D$48+F43*$D$49</f>
        <v>813.9</v>
      </c>
      <c r="D61" s="102">
        <f>C43/C61</f>
        <v>850.22730065118571</v>
      </c>
      <c r="E61" s="74">
        <v>1</v>
      </c>
      <c r="F61" s="103">
        <f>(1+$G$51)^E61</f>
        <v>1.02</v>
      </c>
      <c r="G61" s="102">
        <f t="shared" si="0"/>
        <v>867.23184666420946</v>
      </c>
      <c r="M61" s="6"/>
    </row>
    <row r="62" spans="1:14" x14ac:dyDescent="0.25">
      <c r="M62" s="6"/>
    </row>
    <row r="63" spans="1:14" x14ac:dyDescent="0.25">
      <c r="B63" s="1" t="s">
        <v>288</v>
      </c>
      <c r="G63" s="82">
        <f>AVERAGE(G59:G61)</f>
        <v>866.28324333554986</v>
      </c>
    </row>
    <row r="65" spans="2:10" x14ac:dyDescent="0.25">
      <c r="B65" s="1" t="s">
        <v>284</v>
      </c>
    </row>
    <row r="67" spans="2:10" x14ac:dyDescent="0.25">
      <c r="C67" s="104" t="s">
        <v>67</v>
      </c>
      <c r="D67" s="104"/>
      <c r="E67" s="104"/>
      <c r="F67" s="104"/>
      <c r="G67" s="79" t="s">
        <v>268</v>
      </c>
      <c r="H67" s="79" t="s">
        <v>269</v>
      </c>
      <c r="I67" s="79" t="s">
        <v>270</v>
      </c>
      <c r="J67" s="79" t="s">
        <v>271</v>
      </c>
    </row>
    <row r="68" spans="2:10" x14ac:dyDescent="0.25">
      <c r="B68" s="79" t="s">
        <v>272</v>
      </c>
      <c r="C68" s="79" t="s">
        <v>273</v>
      </c>
      <c r="D68" s="79"/>
      <c r="E68" s="79"/>
      <c r="F68" s="79" t="s">
        <v>274</v>
      </c>
      <c r="G68" s="79" t="s">
        <v>275</v>
      </c>
      <c r="H68" s="79" t="str">
        <f>B70&amp;" at"</f>
        <v>2023 at</v>
      </c>
      <c r="I68" s="79" t="s">
        <v>276</v>
      </c>
      <c r="J68" s="79" t="s">
        <v>277</v>
      </c>
    </row>
    <row r="69" spans="2:10" x14ac:dyDescent="0.25">
      <c r="B69" s="105" t="s">
        <v>14</v>
      </c>
      <c r="C69" s="105" t="s">
        <v>278</v>
      </c>
      <c r="D69" s="105" t="s">
        <v>279</v>
      </c>
      <c r="E69" s="105" t="s">
        <v>280</v>
      </c>
      <c r="F69" s="105" t="s">
        <v>46</v>
      </c>
      <c r="G69" s="105" t="s">
        <v>281</v>
      </c>
      <c r="H69" s="106">
        <f>G52</f>
        <v>0.03</v>
      </c>
      <c r="I69" s="105" t="s">
        <v>282</v>
      </c>
      <c r="J69" s="105" t="s">
        <v>282</v>
      </c>
    </row>
    <row r="70" spans="2:10" x14ac:dyDescent="0.25">
      <c r="B70" s="79">
        <f>B43+1</f>
        <v>2023</v>
      </c>
      <c r="C70" s="99">
        <f>+D13+E12+F11+G10+H9+I8</f>
        <v>416</v>
      </c>
      <c r="D70" s="99">
        <f>E43+C70-E70</f>
        <v>558</v>
      </c>
      <c r="E70" s="99">
        <f>D38+E37+F36+G35+H34+I33</f>
        <v>674</v>
      </c>
      <c r="F70" s="102">
        <f t="shared" ref="F70:F75" si="1">C70*$D$47+D70*$D$48+E70*$D$49</f>
        <v>534.1</v>
      </c>
      <c r="G70" s="74">
        <v>0</v>
      </c>
      <c r="H70" s="107">
        <f t="shared" ref="H70:H75" si="2">(1+$H$69)^G70</f>
        <v>1</v>
      </c>
      <c r="I70" s="102">
        <f t="shared" ref="I70:I75" si="3">H70*$G$63</f>
        <v>866.28324333554986</v>
      </c>
      <c r="J70" s="99">
        <f>I70*F70</f>
        <v>462681.88026551722</v>
      </c>
    </row>
    <row r="71" spans="2:10" x14ac:dyDescent="0.25">
      <c r="B71" s="79">
        <f>B70+1</f>
        <v>2024</v>
      </c>
      <c r="C71" s="99">
        <f>E13+F12+G11+H10+I9</f>
        <v>282</v>
      </c>
      <c r="D71" s="99">
        <f>D70+C71-E71</f>
        <v>336</v>
      </c>
      <c r="E71" s="99">
        <f>E38+F37+G36+H35+I34</f>
        <v>504</v>
      </c>
      <c r="F71" s="102">
        <f t="shared" si="1"/>
        <v>339.29999999999995</v>
      </c>
      <c r="G71" s="79">
        <f>G70+1</f>
        <v>1</v>
      </c>
      <c r="H71" s="107">
        <f t="shared" si="2"/>
        <v>1.03</v>
      </c>
      <c r="I71" s="102">
        <f t="shared" si="3"/>
        <v>892.27174063561642</v>
      </c>
      <c r="J71" s="99">
        <f t="shared" ref="J71:J75" si="4">I71*F71</f>
        <v>302747.8015976646</v>
      </c>
    </row>
    <row r="72" spans="2:10" x14ac:dyDescent="0.25">
      <c r="B72" s="79">
        <f t="shared" ref="B72:B75" si="5">B71+1</f>
        <v>2025</v>
      </c>
      <c r="C72" s="99">
        <f>F13+G12+H11+I10</f>
        <v>190</v>
      </c>
      <c r="D72" s="99">
        <f t="shared" ref="D72:D75" si="6">D71+C72-E72</f>
        <v>173</v>
      </c>
      <c r="E72" s="99">
        <f>F38+G37+H36+I35</f>
        <v>353</v>
      </c>
      <c r="F72" s="102">
        <f t="shared" si="1"/>
        <v>195.25</v>
      </c>
      <c r="G72" s="79">
        <f t="shared" ref="G72:G75" si="7">G71+1</f>
        <v>2</v>
      </c>
      <c r="H72" s="107">
        <f t="shared" si="2"/>
        <v>1.0609</v>
      </c>
      <c r="I72" s="102">
        <f t="shared" si="3"/>
        <v>919.03989285468481</v>
      </c>
      <c r="J72" s="99">
        <f t="shared" si="4"/>
        <v>179442.5390798772</v>
      </c>
    </row>
    <row r="73" spans="2:10" x14ac:dyDescent="0.25">
      <c r="B73" s="79">
        <f t="shared" si="5"/>
        <v>2026</v>
      </c>
      <c r="C73" s="99">
        <f>G13+H12+I11</f>
        <v>124</v>
      </c>
      <c r="D73" s="99">
        <f t="shared" si="6"/>
        <v>72</v>
      </c>
      <c r="E73" s="99">
        <f>G38+H37+I36</f>
        <v>225</v>
      </c>
      <c r="F73" s="102">
        <f t="shared" si="1"/>
        <v>100.30000000000001</v>
      </c>
      <c r="G73" s="79">
        <f t="shared" si="7"/>
        <v>3</v>
      </c>
      <c r="H73" s="107">
        <f t="shared" si="2"/>
        <v>1.092727</v>
      </c>
      <c r="I73" s="102">
        <f t="shared" si="3"/>
        <v>946.61108964032542</v>
      </c>
      <c r="J73" s="99">
        <f t="shared" si="4"/>
        <v>94945.092290924644</v>
      </c>
    </row>
    <row r="74" spans="2:10" x14ac:dyDescent="0.25">
      <c r="B74" s="79">
        <f t="shared" si="5"/>
        <v>2027</v>
      </c>
      <c r="C74" s="99">
        <f>H13+I12</f>
        <v>75</v>
      </c>
      <c r="D74" s="99">
        <f t="shared" si="6"/>
        <v>22</v>
      </c>
      <c r="E74" s="99">
        <f>H38+I37</f>
        <v>125</v>
      </c>
      <c r="F74" s="102">
        <f t="shared" si="1"/>
        <v>45.55</v>
      </c>
      <c r="G74" s="79">
        <f t="shared" si="7"/>
        <v>4</v>
      </c>
      <c r="H74" s="107">
        <f t="shared" si="2"/>
        <v>1.1255088099999999</v>
      </c>
      <c r="I74" s="102">
        <f t="shared" si="3"/>
        <v>975.00942232953503</v>
      </c>
      <c r="J74" s="99">
        <f t="shared" si="4"/>
        <v>44411.67918711032</v>
      </c>
    </row>
    <row r="75" spans="2:10" x14ac:dyDescent="0.25">
      <c r="B75" s="105">
        <f t="shared" si="5"/>
        <v>2028</v>
      </c>
      <c r="C75" s="108">
        <f>I13</f>
        <v>25</v>
      </c>
      <c r="D75" s="108">
        <f t="shared" si="6"/>
        <v>0</v>
      </c>
      <c r="E75" s="108">
        <f>I38</f>
        <v>47</v>
      </c>
      <c r="F75" s="109">
        <f t="shared" si="1"/>
        <v>10.95</v>
      </c>
      <c r="G75" s="105">
        <f t="shared" si="7"/>
        <v>5</v>
      </c>
      <c r="H75" s="110">
        <f t="shared" si="2"/>
        <v>1.1592740742999998</v>
      </c>
      <c r="I75" s="109">
        <f t="shared" si="3"/>
        <v>1004.259704999421</v>
      </c>
      <c r="J75" s="108">
        <f t="shared" si="4"/>
        <v>10996.64376974366</v>
      </c>
    </row>
    <row r="76" spans="2:10" x14ac:dyDescent="0.25">
      <c r="B76" s="79" t="s">
        <v>46</v>
      </c>
      <c r="J76" s="99">
        <f>SUM(J70:J75)</f>
        <v>1095225.6361908375</v>
      </c>
    </row>
  </sheetData>
  <mergeCells count="4">
    <mergeCell ref="A3:K4"/>
    <mergeCell ref="C6:I6"/>
    <mergeCell ref="B15:H15"/>
    <mergeCell ref="C31:I3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71431-6867-454F-AD6B-C4064DAFD835}">
  <dimension ref="A1:R37"/>
  <sheetViews>
    <sheetView zoomScaleNormal="100" workbookViewId="0"/>
  </sheetViews>
  <sheetFormatPr defaultColWidth="8.85546875" defaultRowHeight="15.75" x14ac:dyDescent="0.25"/>
  <cols>
    <col min="1" max="1" width="8.85546875" style="1" customWidth="1"/>
    <col min="2" max="6" width="14.7109375" style="1" customWidth="1"/>
    <col min="7" max="15" width="12.7109375" style="1" customWidth="1"/>
    <col min="16" max="16384" width="8.85546875" style="1"/>
  </cols>
  <sheetData>
    <row r="1" spans="1:18" ht="18.75" x14ac:dyDescent="0.3">
      <c r="A1" s="2" t="s">
        <v>91</v>
      </c>
      <c r="B1" s="4"/>
      <c r="C1" s="8" t="s">
        <v>7</v>
      </c>
      <c r="D1" s="4"/>
      <c r="E1" s="4"/>
      <c r="F1" s="4"/>
      <c r="G1" s="4"/>
      <c r="H1" s="4"/>
      <c r="I1" s="4"/>
      <c r="J1" s="4"/>
      <c r="K1" s="4"/>
      <c r="L1" s="3"/>
    </row>
    <row r="2" spans="1:18" x14ac:dyDescent="0.25">
      <c r="A2" s="4"/>
      <c r="B2" s="4"/>
      <c r="C2" s="4"/>
      <c r="D2" s="4"/>
      <c r="E2" s="4"/>
      <c r="F2" s="4"/>
      <c r="G2" s="4"/>
      <c r="H2" s="4"/>
      <c r="I2" s="4"/>
      <c r="J2" s="4"/>
      <c r="K2" s="4"/>
      <c r="L2" s="3"/>
    </row>
    <row r="3" spans="1:18" x14ac:dyDescent="0.25">
      <c r="A3" s="4" t="s">
        <v>83</v>
      </c>
      <c r="B3" s="4"/>
      <c r="C3" s="4"/>
      <c r="D3" s="4"/>
      <c r="E3" s="4"/>
      <c r="F3" s="4"/>
      <c r="G3" s="4"/>
      <c r="H3" s="4"/>
      <c r="I3" s="4"/>
      <c r="J3" s="4"/>
      <c r="K3" s="4"/>
      <c r="L3" s="3"/>
    </row>
    <row r="4" spans="1:18" x14ac:dyDescent="0.25">
      <c r="A4" s="9"/>
      <c r="B4" s="4"/>
      <c r="C4" s="4"/>
      <c r="D4" s="4"/>
      <c r="E4" s="4"/>
      <c r="F4" s="4"/>
      <c r="G4" s="4"/>
      <c r="H4" s="8"/>
      <c r="I4" s="8"/>
      <c r="J4" s="8"/>
      <c r="K4" s="8"/>
      <c r="L4" s="8"/>
    </row>
    <row r="5" spans="1:18" ht="63" x14ac:dyDescent="0.25">
      <c r="A5" s="9"/>
      <c r="B5" s="33" t="s">
        <v>52</v>
      </c>
      <c r="C5" s="33" t="s">
        <v>84</v>
      </c>
      <c r="D5" s="33" t="s">
        <v>48</v>
      </c>
      <c r="E5" s="33" t="s">
        <v>85</v>
      </c>
      <c r="F5" s="4"/>
      <c r="G5" s="4"/>
      <c r="H5" s="8"/>
      <c r="I5" s="8"/>
      <c r="J5" s="8"/>
      <c r="K5" s="8"/>
      <c r="L5" s="8"/>
    </row>
    <row r="6" spans="1:18" x14ac:dyDescent="0.25">
      <c r="A6" s="9"/>
      <c r="B6" s="21">
        <v>2019</v>
      </c>
      <c r="C6" s="22">
        <v>15700</v>
      </c>
      <c r="D6" s="22">
        <v>8200</v>
      </c>
      <c r="E6" s="55">
        <v>1.1000000000000001</v>
      </c>
      <c r="F6" s="4"/>
      <c r="G6" s="4"/>
      <c r="H6" s="8"/>
      <c r="I6" s="8"/>
      <c r="J6" s="8"/>
      <c r="K6" s="8"/>
      <c r="L6" s="8"/>
    </row>
    <row r="7" spans="1:18" x14ac:dyDescent="0.25">
      <c r="A7" s="9"/>
      <c r="B7" s="21">
        <v>2020</v>
      </c>
      <c r="C7" s="22">
        <v>15200</v>
      </c>
      <c r="D7" s="22">
        <v>6200</v>
      </c>
      <c r="E7" s="55">
        <v>1.5</v>
      </c>
      <c r="F7" s="4"/>
      <c r="G7" s="4"/>
      <c r="H7" s="8"/>
      <c r="I7" s="8"/>
      <c r="J7" s="8"/>
      <c r="K7" s="8"/>
      <c r="L7" s="8"/>
    </row>
    <row r="8" spans="1:18" x14ac:dyDescent="0.25">
      <c r="A8" s="9"/>
      <c r="B8" s="21">
        <v>2021</v>
      </c>
      <c r="C8" s="22">
        <v>15800</v>
      </c>
      <c r="D8" s="22">
        <v>3500</v>
      </c>
      <c r="E8" s="55">
        <v>2.2000000000000002</v>
      </c>
      <c r="F8" s="4"/>
      <c r="G8" s="4"/>
      <c r="H8" s="8"/>
      <c r="I8" s="8"/>
      <c r="J8" s="8"/>
      <c r="K8" s="8"/>
      <c r="L8" s="8"/>
    </row>
    <row r="9" spans="1:18" x14ac:dyDescent="0.25">
      <c r="A9" s="4"/>
      <c r="B9" s="21">
        <v>2022</v>
      </c>
      <c r="C9" s="22">
        <v>16300</v>
      </c>
      <c r="D9" s="22">
        <v>1500</v>
      </c>
      <c r="E9" s="55">
        <v>4</v>
      </c>
      <c r="F9" s="4"/>
      <c r="G9" s="4"/>
      <c r="H9" s="8"/>
      <c r="I9" s="8"/>
      <c r="J9" s="8"/>
      <c r="K9" s="8"/>
      <c r="L9" s="8"/>
    </row>
    <row r="10" spans="1:18" x14ac:dyDescent="0.25">
      <c r="A10" s="4"/>
      <c r="B10" s="4"/>
      <c r="C10" s="4"/>
      <c r="D10" s="4"/>
      <c r="E10" s="4"/>
      <c r="F10" s="4"/>
      <c r="G10" s="4"/>
      <c r="H10" s="8"/>
      <c r="I10" s="8"/>
      <c r="J10" s="8"/>
      <c r="K10" s="8"/>
      <c r="L10" s="8"/>
    </row>
    <row r="11" spans="1:18" x14ac:dyDescent="0.25">
      <c r="A11" s="9"/>
      <c r="B11" s="4" t="s">
        <v>87</v>
      </c>
      <c r="C11" s="4"/>
      <c r="D11" s="44">
        <v>0.03</v>
      </c>
      <c r="E11" s="4"/>
      <c r="F11" s="4"/>
      <c r="G11" s="4"/>
      <c r="H11" s="8"/>
      <c r="I11" s="8"/>
      <c r="J11" s="8"/>
      <c r="K11" s="8"/>
      <c r="L11" s="8"/>
    </row>
    <row r="12" spans="1:18" x14ac:dyDescent="0.25">
      <c r="A12" s="4"/>
      <c r="B12" s="4" t="s">
        <v>89</v>
      </c>
      <c r="C12" s="4"/>
      <c r="D12" s="4"/>
      <c r="E12" s="4"/>
      <c r="F12" s="4"/>
      <c r="G12" s="57">
        <v>0.1</v>
      </c>
      <c r="H12" s="8"/>
      <c r="I12" s="8"/>
      <c r="J12" s="8"/>
      <c r="K12" s="8"/>
      <c r="L12" s="8"/>
    </row>
    <row r="13" spans="1:18" x14ac:dyDescent="0.25">
      <c r="A13" s="4"/>
      <c r="B13" s="4"/>
      <c r="C13" s="4" t="s">
        <v>88</v>
      </c>
      <c r="D13" s="4"/>
      <c r="E13" s="4"/>
      <c r="F13" s="4"/>
      <c r="G13" s="56"/>
      <c r="H13" s="8"/>
      <c r="I13" s="8"/>
      <c r="J13" s="8"/>
      <c r="K13" s="8"/>
      <c r="L13" s="8"/>
    </row>
    <row r="14" spans="1:18" x14ac:dyDescent="0.25">
      <c r="A14" s="8"/>
      <c r="B14" s="8"/>
      <c r="C14" s="8"/>
      <c r="D14" s="8"/>
      <c r="E14" s="8"/>
      <c r="F14" s="8"/>
      <c r="G14" s="8"/>
      <c r="H14" s="8"/>
      <c r="I14" s="8"/>
      <c r="J14" s="8"/>
      <c r="K14" s="8"/>
      <c r="L14" s="8"/>
    </row>
    <row r="15" spans="1:18" x14ac:dyDescent="0.25">
      <c r="A15" s="6"/>
      <c r="B15" s="6"/>
      <c r="C15" s="6"/>
      <c r="D15" s="6"/>
      <c r="E15" s="6"/>
      <c r="F15" s="6"/>
      <c r="G15" s="6"/>
      <c r="H15" s="6"/>
      <c r="I15" s="6"/>
      <c r="J15" s="6"/>
      <c r="K15" s="6"/>
      <c r="L15" s="6"/>
    </row>
    <row r="16" spans="1:18" x14ac:dyDescent="0.25">
      <c r="A16" s="5" t="s">
        <v>4</v>
      </c>
      <c r="B16" s="8" t="s">
        <v>86</v>
      </c>
      <c r="C16" s="4"/>
      <c r="D16" s="4"/>
      <c r="E16" s="4"/>
      <c r="F16" s="4"/>
      <c r="G16" s="4"/>
      <c r="H16" s="4"/>
      <c r="I16" s="4"/>
      <c r="J16" s="4"/>
      <c r="K16" s="4"/>
      <c r="L16" s="4"/>
      <c r="M16" s="7"/>
      <c r="N16" s="7"/>
      <c r="O16" s="7"/>
      <c r="P16" s="7"/>
      <c r="Q16" s="7"/>
      <c r="R16" s="7"/>
    </row>
    <row r="17" spans="1:15" x14ac:dyDescent="0.25">
      <c r="A17" s="6"/>
      <c r="B17" s="6"/>
      <c r="C17" s="6"/>
      <c r="D17" s="6"/>
      <c r="E17" s="6"/>
      <c r="F17" s="6"/>
      <c r="G17" s="6"/>
      <c r="H17" s="6"/>
      <c r="I17" s="6"/>
      <c r="J17" s="6"/>
      <c r="K17" s="6"/>
      <c r="L17" s="6"/>
      <c r="M17" s="6"/>
    </row>
    <row r="18" spans="1:15" x14ac:dyDescent="0.25">
      <c r="A18" s="6" t="s">
        <v>1</v>
      </c>
      <c r="B18" s="6"/>
      <c r="C18" s="6"/>
      <c r="D18" s="6"/>
      <c r="E18" s="6"/>
      <c r="F18" s="6"/>
      <c r="G18" s="6"/>
      <c r="H18" s="6"/>
      <c r="I18" s="6"/>
      <c r="J18" s="6"/>
      <c r="K18" s="6"/>
      <c r="L18" s="6"/>
      <c r="M18" s="6"/>
      <c r="N18" s="7"/>
    </row>
    <row r="19" spans="1:15" x14ac:dyDescent="0.25">
      <c r="A19" s="6"/>
      <c r="B19" s="6"/>
      <c r="C19" s="6"/>
      <c r="D19" s="6"/>
      <c r="E19" s="6"/>
      <c r="F19" s="6"/>
      <c r="G19" s="6"/>
      <c r="H19" s="6"/>
      <c r="I19" s="6"/>
      <c r="J19" s="6"/>
      <c r="K19" s="6"/>
      <c r="L19" s="6"/>
      <c r="M19" s="6"/>
      <c r="N19" s="7"/>
    </row>
    <row r="20" spans="1:15" ht="47.25" x14ac:dyDescent="0.25">
      <c r="B20" s="97" t="s">
        <v>52</v>
      </c>
      <c r="C20" s="97" t="s">
        <v>84</v>
      </c>
      <c r="D20" s="97" t="s">
        <v>289</v>
      </c>
      <c r="E20" s="97" t="s">
        <v>290</v>
      </c>
      <c r="F20" s="97" t="s">
        <v>291</v>
      </c>
      <c r="G20" s="97" t="s">
        <v>48</v>
      </c>
      <c r="H20" s="97" t="s">
        <v>292</v>
      </c>
      <c r="I20" s="97" t="s">
        <v>293</v>
      </c>
      <c r="J20" s="97" t="s">
        <v>294</v>
      </c>
      <c r="K20" s="97" t="s">
        <v>295</v>
      </c>
      <c r="L20" s="97" t="s">
        <v>296</v>
      </c>
      <c r="M20" s="97" t="s">
        <v>297</v>
      </c>
      <c r="N20" s="97" t="s">
        <v>163</v>
      </c>
      <c r="O20" s="97" t="s">
        <v>298</v>
      </c>
    </row>
    <row r="21" spans="1:15" x14ac:dyDescent="0.25">
      <c r="B21" s="74">
        <f t="shared" ref="B21:C24" si="0">B6</f>
        <v>2019</v>
      </c>
      <c r="C21" s="81">
        <f t="shared" si="0"/>
        <v>15700</v>
      </c>
      <c r="D21" s="98">
        <f>E6</f>
        <v>1.1000000000000001</v>
      </c>
      <c r="E21" s="112">
        <f>1/$D21</f>
        <v>0.90909090909090906</v>
      </c>
      <c r="F21" s="81">
        <f>$C21*$E21</f>
        <v>14272.727272727272</v>
      </c>
      <c r="G21" s="81">
        <f>D6</f>
        <v>8200</v>
      </c>
      <c r="H21" s="113">
        <f>(1+$D$11)^($B$24-$B21)</f>
        <v>1.092727</v>
      </c>
      <c r="I21" s="98">
        <v>1.1000000000000001</v>
      </c>
      <c r="J21" s="81">
        <f>$H21*$G21*$I21</f>
        <v>9856.3975399999999</v>
      </c>
      <c r="K21" s="81">
        <f>$J$27*$C21/($H21*$I21)</f>
        <v>8129.5780203630466</v>
      </c>
      <c r="L21" s="112">
        <f>1-$E21</f>
        <v>9.0909090909090939E-2</v>
      </c>
      <c r="M21" s="81">
        <f>$L21*$K21</f>
        <v>739.05254730573176</v>
      </c>
      <c r="N21" s="81">
        <f>$G21+$M21</f>
        <v>8939.0525473057314</v>
      </c>
      <c r="O21" s="81">
        <f>$N21-$G21</f>
        <v>739.05254730573142</v>
      </c>
    </row>
    <row r="22" spans="1:15" x14ac:dyDescent="0.25">
      <c r="B22" s="74">
        <f t="shared" si="0"/>
        <v>2020</v>
      </c>
      <c r="C22" s="81">
        <f t="shared" si="0"/>
        <v>15200</v>
      </c>
      <c r="D22" s="98">
        <f>E7</f>
        <v>1.5</v>
      </c>
      <c r="E22" s="112">
        <f t="shared" ref="E22:E24" si="1">1/$D22</f>
        <v>0.66666666666666663</v>
      </c>
      <c r="F22" s="81">
        <f>$C22*$E22</f>
        <v>10133.333333333332</v>
      </c>
      <c r="G22" s="81">
        <f>D7</f>
        <v>6200</v>
      </c>
      <c r="H22" s="113">
        <f t="shared" ref="H22:H24" si="2">(1+$D$11)^($B$24-$B22)</f>
        <v>1.0609</v>
      </c>
      <c r="I22" s="98">
        <v>1.1000000000000001</v>
      </c>
      <c r="J22" s="81">
        <f>$H22*$G22*$I22</f>
        <v>7235.3380000000006</v>
      </c>
      <c r="K22" s="81">
        <f>$J$27*$C22/($H22*$I22)</f>
        <v>8106.7944896053423</v>
      </c>
      <c r="L22" s="112">
        <f>1-$E22</f>
        <v>0.33333333333333337</v>
      </c>
      <c r="M22" s="81">
        <f>$L22*$K22</f>
        <v>2702.2648298684476</v>
      </c>
      <c r="N22" s="81">
        <f>$G22+$M22</f>
        <v>8902.2648298684471</v>
      </c>
      <c r="O22" s="81">
        <f>$N22-$G22</f>
        <v>2702.2648298684471</v>
      </c>
    </row>
    <row r="23" spans="1:15" x14ac:dyDescent="0.25">
      <c r="B23" s="74">
        <f t="shared" si="0"/>
        <v>2021</v>
      </c>
      <c r="C23" s="81">
        <f t="shared" si="0"/>
        <v>15800</v>
      </c>
      <c r="D23" s="98">
        <f>E8</f>
        <v>2.2000000000000002</v>
      </c>
      <c r="E23" s="112">
        <f t="shared" si="1"/>
        <v>0.45454545454545453</v>
      </c>
      <c r="F23" s="81">
        <f>$C23*$E23</f>
        <v>7181.818181818182</v>
      </c>
      <c r="G23" s="81">
        <f>D8</f>
        <v>3500</v>
      </c>
      <c r="H23" s="113">
        <f t="shared" si="2"/>
        <v>1.03</v>
      </c>
      <c r="I23" s="98">
        <v>1</v>
      </c>
      <c r="J23" s="81">
        <f>$H23*$G23*$I23</f>
        <v>3605</v>
      </c>
      <c r="K23" s="81">
        <f>$J$27*$C23/($H23*$I23)</f>
        <v>9547.5638734355944</v>
      </c>
      <c r="L23" s="112">
        <f>1-$E23</f>
        <v>0.54545454545454541</v>
      </c>
      <c r="M23" s="81">
        <f>$L23*$K23</f>
        <v>5207.7621127830507</v>
      </c>
      <c r="N23" s="81">
        <f>$G23+$M23</f>
        <v>8707.7621127830498</v>
      </c>
      <c r="O23" s="81">
        <f>$N23-$G23</f>
        <v>5207.7621127830498</v>
      </c>
    </row>
    <row r="24" spans="1:15" x14ac:dyDescent="0.25">
      <c r="B24" s="76">
        <f t="shared" si="0"/>
        <v>2022</v>
      </c>
      <c r="C24" s="114">
        <f t="shared" si="0"/>
        <v>16300</v>
      </c>
      <c r="D24" s="115">
        <f>E9</f>
        <v>4</v>
      </c>
      <c r="E24" s="116">
        <f t="shared" si="1"/>
        <v>0.25</v>
      </c>
      <c r="F24" s="114">
        <f>$C24*$E24</f>
        <v>4075</v>
      </c>
      <c r="G24" s="114">
        <f>D9</f>
        <v>1500</v>
      </c>
      <c r="H24" s="117">
        <f t="shared" si="2"/>
        <v>1</v>
      </c>
      <c r="I24" s="115">
        <v>1</v>
      </c>
      <c r="J24" s="114">
        <f>$H24*$G24*$I24</f>
        <v>1500</v>
      </c>
      <c r="K24" s="114">
        <f>$J$27*$C24/($H24*$I24)</f>
        <v>10145.193029817103</v>
      </c>
      <c r="L24" s="116">
        <f>1-$E24</f>
        <v>0.75</v>
      </c>
      <c r="M24" s="114">
        <f>$L24*$K24</f>
        <v>7608.8947723628271</v>
      </c>
      <c r="N24" s="114">
        <f>$G24+$M24</f>
        <v>9108.8947723628262</v>
      </c>
      <c r="O24" s="114">
        <f>$N24-$G24</f>
        <v>7608.8947723628262</v>
      </c>
    </row>
    <row r="25" spans="1:15" x14ac:dyDescent="0.25">
      <c r="B25" s="74" t="s">
        <v>46</v>
      </c>
      <c r="C25" s="6"/>
      <c r="D25" s="6"/>
      <c r="E25" s="6"/>
      <c r="F25" s="81">
        <f>SUM(F21:F24)</f>
        <v>35662.878787878784</v>
      </c>
      <c r="G25" s="81">
        <f>SUM(G21:G24)</f>
        <v>19400</v>
      </c>
      <c r="H25" s="6"/>
      <c r="I25" s="6"/>
      <c r="J25" s="81">
        <f>SUM(J21:J24)</f>
        <v>22196.735540000001</v>
      </c>
      <c r="K25" s="81">
        <f>SUM(K21:K24)</f>
        <v>35929.12941322109</v>
      </c>
      <c r="L25" s="81"/>
      <c r="M25" s="81"/>
      <c r="N25" s="81">
        <f>SUM(N21:N24)</f>
        <v>35657.974262320058</v>
      </c>
      <c r="O25" s="81">
        <f>SUM(O21:O24)</f>
        <v>16257.974262320055</v>
      </c>
    </row>
    <row r="26" spans="1:15" x14ac:dyDescent="0.25">
      <c r="B26" s="6"/>
      <c r="C26" s="6"/>
      <c r="D26" s="6"/>
      <c r="E26" s="6"/>
      <c r="F26" s="6"/>
      <c r="G26" s="6"/>
      <c r="H26" s="6"/>
      <c r="I26" s="6"/>
      <c r="J26" s="6"/>
      <c r="K26" s="6"/>
      <c r="L26" s="6"/>
      <c r="M26" s="6"/>
      <c r="N26" s="6"/>
      <c r="O26" s="6"/>
    </row>
    <row r="27" spans="1:15" x14ac:dyDescent="0.25">
      <c r="B27" s="111"/>
      <c r="C27" s="111"/>
      <c r="D27" s="111"/>
      <c r="E27" s="111"/>
      <c r="F27" s="111"/>
      <c r="G27" s="6" t="s">
        <v>299</v>
      </c>
      <c r="H27" s="6"/>
      <c r="I27" s="6"/>
      <c r="J27" s="112">
        <f>J25/F25</f>
        <v>0.62240448035687745</v>
      </c>
      <c r="K27" s="6"/>
      <c r="L27" s="6"/>
      <c r="M27" s="6"/>
      <c r="N27" s="6"/>
      <c r="O27" s="111"/>
    </row>
    <row r="29" spans="1:15" x14ac:dyDescent="0.25">
      <c r="A29" s="5" t="s">
        <v>5</v>
      </c>
      <c r="B29" s="8" t="s">
        <v>90</v>
      </c>
      <c r="C29" s="4"/>
      <c r="D29" s="4"/>
      <c r="E29" s="4"/>
      <c r="F29" s="4"/>
      <c r="G29" s="4"/>
      <c r="H29" s="4"/>
      <c r="I29" s="4"/>
      <c r="J29" s="4"/>
      <c r="K29" s="4"/>
      <c r="L29" s="4"/>
    </row>
    <row r="30" spans="1:15" x14ac:dyDescent="0.25">
      <c r="A30" s="6"/>
      <c r="B30" s="6"/>
      <c r="C30" s="6"/>
      <c r="D30" s="6"/>
      <c r="E30" s="6"/>
      <c r="F30" s="6"/>
      <c r="G30" s="6"/>
      <c r="H30" s="6"/>
      <c r="I30" s="6"/>
      <c r="J30" s="6"/>
      <c r="K30" s="6"/>
      <c r="L30" s="6"/>
    </row>
    <row r="31" spans="1:15" x14ac:dyDescent="0.25">
      <c r="A31" s="6" t="s">
        <v>1</v>
      </c>
      <c r="B31" s="6"/>
      <c r="C31" s="6"/>
      <c r="D31" s="6"/>
      <c r="E31" s="6"/>
      <c r="F31" s="6"/>
      <c r="G31" s="6"/>
      <c r="H31" s="6"/>
      <c r="I31" s="6"/>
      <c r="J31" s="6"/>
      <c r="K31" s="6"/>
      <c r="L31" s="6"/>
    </row>
    <row r="32" spans="1:15" x14ac:dyDescent="0.25">
      <c r="A32" s="6"/>
      <c r="B32" s="6" t="s">
        <v>300</v>
      </c>
      <c r="C32" s="6"/>
      <c r="D32" s="6"/>
      <c r="E32" s="6"/>
      <c r="F32" s="6"/>
      <c r="G32" s="6"/>
      <c r="H32" s="6"/>
      <c r="I32" s="6"/>
      <c r="J32" s="6"/>
      <c r="K32" s="6"/>
      <c r="L32" s="6"/>
    </row>
    <row r="33" spans="1:13" x14ac:dyDescent="0.25">
      <c r="A33" s="6"/>
      <c r="C33" s="6"/>
      <c r="D33" s="6"/>
      <c r="E33" s="6"/>
      <c r="F33" s="6"/>
      <c r="G33" s="6"/>
      <c r="H33" s="6"/>
      <c r="I33" s="6"/>
      <c r="J33" s="6"/>
      <c r="K33" s="6"/>
      <c r="L33" s="6"/>
    </row>
    <row r="34" spans="1:13" x14ac:dyDescent="0.25">
      <c r="B34" s="6" t="s">
        <v>302</v>
      </c>
      <c r="C34" s="118">
        <f>D8</f>
        <v>3500</v>
      </c>
      <c r="D34" s="6" t="s">
        <v>304</v>
      </c>
      <c r="E34" s="6"/>
      <c r="M34" s="6"/>
    </row>
    <row r="35" spans="1:13" x14ac:dyDescent="0.25">
      <c r="C35" s="119">
        <f>E8</f>
        <v>2.2000000000000002</v>
      </c>
      <c r="D35" s="1" t="s">
        <v>301</v>
      </c>
      <c r="M35" s="6"/>
    </row>
    <row r="36" spans="1:13" x14ac:dyDescent="0.25">
      <c r="C36" s="120">
        <f>C34*C35</f>
        <v>7700.0000000000009</v>
      </c>
      <c r="D36" s="1" t="s">
        <v>303</v>
      </c>
      <c r="E36" s="86"/>
      <c r="M36" s="6"/>
    </row>
    <row r="37" spans="1:13" x14ac:dyDescent="0.25">
      <c r="C37" s="120">
        <f>C36-C34</f>
        <v>4200.0000000000009</v>
      </c>
      <c r="D37" s="1" t="s">
        <v>305</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83B35-F63A-4562-A37F-131EB79FF3E4}">
  <dimension ref="A1:L4"/>
  <sheetViews>
    <sheetView zoomScaleNormal="100" workbookViewId="0"/>
  </sheetViews>
  <sheetFormatPr defaultColWidth="8.85546875" defaultRowHeight="15.75" x14ac:dyDescent="0.25"/>
  <cols>
    <col min="1" max="6" width="8.85546875" style="1" customWidth="1"/>
    <col min="7" max="7" width="8.85546875" style="1"/>
    <col min="8" max="8" width="8.85546875" style="1" customWidth="1"/>
    <col min="9" max="16384" width="8.85546875" style="1"/>
  </cols>
  <sheetData>
    <row r="1" spans="1:12" ht="18.75" x14ac:dyDescent="0.3">
      <c r="A1" s="2" t="s">
        <v>92</v>
      </c>
      <c r="B1" s="4"/>
      <c r="C1" s="8" t="s">
        <v>93</v>
      </c>
      <c r="D1" s="4"/>
      <c r="E1" s="4"/>
      <c r="F1" s="4"/>
      <c r="G1" s="4"/>
      <c r="H1" s="4"/>
      <c r="I1" s="4"/>
      <c r="J1" s="4"/>
      <c r="K1" s="4"/>
      <c r="L1" s="3"/>
    </row>
    <row r="2" spans="1:12" x14ac:dyDescent="0.25">
      <c r="A2" s="4"/>
      <c r="B2" s="4"/>
      <c r="C2" s="4"/>
      <c r="D2" s="4"/>
      <c r="E2" s="4"/>
      <c r="F2" s="4"/>
      <c r="G2" s="4"/>
      <c r="H2" s="4"/>
      <c r="I2" s="4"/>
      <c r="J2" s="4"/>
      <c r="K2" s="4"/>
      <c r="L2" s="3"/>
    </row>
    <row r="3" spans="1:12" x14ac:dyDescent="0.25">
      <c r="A3" s="10" t="s">
        <v>94</v>
      </c>
      <c r="B3" s="4"/>
      <c r="C3" s="4"/>
      <c r="D3" s="4"/>
      <c r="E3" s="4"/>
      <c r="F3" s="4"/>
      <c r="G3" s="4"/>
      <c r="H3" s="8"/>
      <c r="I3" s="8"/>
      <c r="J3" s="8"/>
      <c r="K3" s="8"/>
      <c r="L3" s="8"/>
    </row>
    <row r="4" spans="1:12" x14ac:dyDescent="0.25">
      <c r="A4" s="4"/>
      <c r="B4" s="4"/>
      <c r="C4" s="4"/>
      <c r="D4" s="4"/>
      <c r="E4" s="4"/>
      <c r="F4" s="4"/>
      <c r="G4" s="4"/>
      <c r="H4" s="8"/>
      <c r="I4" s="8"/>
      <c r="J4" s="8"/>
      <c r="K4" s="8"/>
      <c r="L4" s="8"/>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6283B-7562-4E67-AFA3-9B95CDE38DCA}">
  <dimension ref="A1:L4"/>
  <sheetViews>
    <sheetView zoomScaleNormal="100" workbookViewId="0"/>
  </sheetViews>
  <sheetFormatPr defaultColWidth="8.85546875" defaultRowHeight="15.75" x14ac:dyDescent="0.25"/>
  <cols>
    <col min="1" max="6" width="8.85546875" style="1" customWidth="1"/>
    <col min="7" max="7" width="8.85546875" style="1"/>
    <col min="8" max="8" width="8.85546875" style="1" customWidth="1"/>
    <col min="9" max="16384" width="8.85546875" style="1"/>
  </cols>
  <sheetData>
    <row r="1" spans="1:12" ht="18.75" x14ac:dyDescent="0.3">
      <c r="A1" s="2" t="s">
        <v>95</v>
      </c>
      <c r="B1" s="4"/>
      <c r="C1" s="8" t="s">
        <v>7</v>
      </c>
      <c r="D1" s="4"/>
      <c r="E1" s="4"/>
      <c r="F1" s="4"/>
      <c r="G1" s="4"/>
      <c r="H1" s="4"/>
      <c r="I1" s="4"/>
      <c r="J1" s="4"/>
      <c r="K1" s="4"/>
      <c r="L1" s="3"/>
    </row>
    <row r="2" spans="1:12" x14ac:dyDescent="0.25">
      <c r="A2" s="4"/>
      <c r="B2" s="4"/>
      <c r="C2" s="4"/>
      <c r="D2" s="4"/>
      <c r="E2" s="4"/>
      <c r="F2" s="4"/>
      <c r="G2" s="4"/>
      <c r="H2" s="4"/>
      <c r="I2" s="4"/>
      <c r="J2" s="4"/>
      <c r="K2" s="4"/>
      <c r="L2" s="3"/>
    </row>
    <row r="3" spans="1:12" x14ac:dyDescent="0.25">
      <c r="A3" s="10" t="s">
        <v>96</v>
      </c>
      <c r="B3" s="4"/>
      <c r="C3" s="4"/>
      <c r="D3" s="4"/>
      <c r="E3" s="4"/>
      <c r="F3" s="4"/>
      <c r="G3" s="4"/>
      <c r="H3" s="8"/>
      <c r="I3" s="8"/>
      <c r="J3" s="8"/>
      <c r="K3" s="8"/>
      <c r="L3" s="8"/>
    </row>
    <row r="4" spans="1:12" x14ac:dyDescent="0.25">
      <c r="A4" s="4"/>
      <c r="B4" s="4"/>
      <c r="C4" s="4"/>
      <c r="D4" s="4"/>
      <c r="E4" s="4"/>
      <c r="F4" s="4"/>
      <c r="G4" s="4"/>
      <c r="H4" s="8"/>
      <c r="I4" s="8"/>
      <c r="J4" s="8"/>
      <c r="K4" s="8"/>
      <c r="L4" s="8"/>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5341E-EDC4-457E-8B1A-0F8D46B26723}">
  <dimension ref="A1:R69"/>
  <sheetViews>
    <sheetView zoomScaleNormal="100" workbookViewId="0"/>
  </sheetViews>
  <sheetFormatPr defaultColWidth="8.85546875" defaultRowHeight="15.75" x14ac:dyDescent="0.25"/>
  <cols>
    <col min="1" max="1" width="8.85546875" style="1" customWidth="1"/>
    <col min="2" max="4" width="12.7109375" style="1" customWidth="1"/>
    <col min="5" max="12" width="11.7109375" style="1" customWidth="1"/>
    <col min="13" max="16384" width="8.85546875" style="1"/>
  </cols>
  <sheetData>
    <row r="1" spans="1:18" ht="18.75" x14ac:dyDescent="0.3">
      <c r="A1" s="2" t="s">
        <v>97</v>
      </c>
      <c r="B1" s="4"/>
      <c r="C1" s="8" t="s">
        <v>7</v>
      </c>
      <c r="D1" s="4"/>
      <c r="E1" s="4"/>
      <c r="F1" s="4"/>
      <c r="G1" s="4"/>
      <c r="H1" s="4"/>
      <c r="I1" s="4"/>
      <c r="J1" s="4"/>
      <c r="K1" s="4"/>
      <c r="L1" s="3"/>
    </row>
    <row r="2" spans="1:18" x14ac:dyDescent="0.25">
      <c r="A2" s="4"/>
      <c r="B2" s="4"/>
      <c r="C2" s="4"/>
      <c r="D2" s="4"/>
      <c r="E2" s="4"/>
      <c r="F2" s="4"/>
      <c r="G2" s="4"/>
      <c r="H2" s="4"/>
      <c r="I2" s="4"/>
      <c r="J2" s="4"/>
      <c r="K2" s="4"/>
      <c r="L2" s="3"/>
    </row>
    <row r="3" spans="1:18" x14ac:dyDescent="0.25">
      <c r="A3" s="4" t="s">
        <v>98</v>
      </c>
      <c r="B3" s="4"/>
      <c r="C3" s="4"/>
      <c r="D3" s="4"/>
      <c r="E3" s="4"/>
      <c r="F3" s="4"/>
      <c r="G3" s="4"/>
      <c r="H3" s="4"/>
      <c r="I3" s="4"/>
      <c r="J3" s="4"/>
      <c r="K3" s="4"/>
      <c r="L3" s="3"/>
    </row>
    <row r="4" spans="1:18" x14ac:dyDescent="0.25">
      <c r="A4" s="8"/>
      <c r="B4" s="8"/>
      <c r="C4" s="8"/>
      <c r="D4" s="8"/>
      <c r="E4" s="8"/>
      <c r="F4" s="8"/>
      <c r="G4" s="8"/>
      <c r="H4" s="8"/>
      <c r="I4" s="8"/>
      <c r="J4" s="8"/>
      <c r="K4" s="8"/>
      <c r="L4" s="8"/>
    </row>
    <row r="5" spans="1:18" x14ac:dyDescent="0.25">
      <c r="A5" s="6"/>
      <c r="B5" s="6"/>
      <c r="C5" s="6"/>
      <c r="D5" s="6"/>
      <c r="E5" s="6"/>
      <c r="F5" s="6"/>
      <c r="G5" s="6"/>
      <c r="H5" s="6"/>
      <c r="I5" s="6"/>
      <c r="J5" s="6"/>
      <c r="K5" s="6"/>
      <c r="L5" s="6"/>
    </row>
    <row r="6" spans="1:18" x14ac:dyDescent="0.25">
      <c r="A6" s="5" t="s">
        <v>4</v>
      </c>
      <c r="B6" s="8" t="s">
        <v>99</v>
      </c>
      <c r="C6" s="4"/>
      <c r="D6" s="4"/>
      <c r="E6" s="4"/>
      <c r="F6" s="4"/>
      <c r="G6" s="4"/>
      <c r="H6" s="4"/>
      <c r="I6" s="4"/>
      <c r="J6" s="4"/>
      <c r="K6" s="4"/>
      <c r="L6" s="4"/>
      <c r="M6" s="7"/>
      <c r="N6" s="7"/>
      <c r="O6" s="7"/>
      <c r="P6" s="7"/>
      <c r="Q6" s="7"/>
      <c r="R6" s="7"/>
    </row>
    <row r="7" spans="1:18" x14ac:dyDescent="0.25">
      <c r="A7" s="6"/>
      <c r="B7" s="6"/>
      <c r="C7" s="6"/>
      <c r="D7" s="6"/>
      <c r="E7" s="6"/>
      <c r="F7" s="6"/>
      <c r="G7" s="6"/>
      <c r="H7" s="6"/>
      <c r="I7" s="6"/>
      <c r="J7" s="6"/>
      <c r="K7" s="6"/>
      <c r="L7" s="6"/>
      <c r="M7" s="6"/>
    </row>
    <row r="8" spans="1:18" x14ac:dyDescent="0.25">
      <c r="A8" s="6" t="s">
        <v>1</v>
      </c>
      <c r="B8" s="6"/>
      <c r="C8" s="6"/>
      <c r="D8" s="6"/>
      <c r="E8" s="6"/>
      <c r="F8" s="6"/>
      <c r="G8" s="6"/>
      <c r="H8" s="6"/>
      <c r="I8" s="6"/>
      <c r="J8" s="6"/>
      <c r="K8" s="6"/>
      <c r="L8" s="6"/>
      <c r="M8" s="6"/>
      <c r="N8" s="7"/>
    </row>
    <row r="9" spans="1:18" x14ac:dyDescent="0.25">
      <c r="A9" s="6"/>
      <c r="B9" s="6"/>
      <c r="C9" s="6"/>
      <c r="D9" s="6"/>
      <c r="E9" s="6"/>
      <c r="F9" s="6"/>
      <c r="G9" s="6"/>
      <c r="H9" s="6"/>
      <c r="I9" s="6"/>
      <c r="J9" s="6"/>
      <c r="K9" s="6"/>
      <c r="L9" s="6"/>
      <c r="M9" s="6"/>
      <c r="N9" s="7"/>
    </row>
    <row r="10" spans="1:18" x14ac:dyDescent="0.25">
      <c r="A10" s="6" t="s">
        <v>306</v>
      </c>
      <c r="B10" s="6"/>
      <c r="C10" s="6"/>
      <c r="D10" s="6"/>
      <c r="E10" s="6"/>
      <c r="F10" s="6"/>
      <c r="G10" s="6"/>
      <c r="H10" s="6"/>
      <c r="I10" s="6"/>
      <c r="J10" s="6"/>
      <c r="K10" s="6"/>
      <c r="L10" s="6"/>
      <c r="M10" s="6"/>
      <c r="N10" s="7"/>
    </row>
    <row r="11" spans="1:18" x14ac:dyDescent="0.25">
      <c r="A11" s="1" t="s">
        <v>307</v>
      </c>
      <c r="M11" s="7"/>
      <c r="N11" s="7"/>
    </row>
    <row r="12" spans="1:18" x14ac:dyDescent="0.25">
      <c r="M12" s="7"/>
      <c r="N12" s="7"/>
    </row>
    <row r="13" spans="1:18" x14ac:dyDescent="0.25">
      <c r="A13" s="8"/>
      <c r="B13" s="8"/>
      <c r="C13" s="8"/>
      <c r="D13" s="8"/>
      <c r="E13" s="8"/>
      <c r="F13" s="8"/>
      <c r="G13" s="8"/>
      <c r="H13" s="8"/>
      <c r="I13" s="8"/>
      <c r="J13" s="8"/>
      <c r="K13" s="8"/>
      <c r="L13" s="8"/>
      <c r="M13" s="7"/>
      <c r="N13" s="7"/>
    </row>
    <row r="14" spans="1:18" x14ac:dyDescent="0.25">
      <c r="A14" s="59" t="s">
        <v>51</v>
      </c>
      <c r="B14" s="8"/>
      <c r="C14" s="8"/>
      <c r="D14" s="8"/>
      <c r="E14" s="8"/>
      <c r="F14" s="8"/>
      <c r="G14" s="8"/>
      <c r="H14" s="8"/>
      <c r="I14" s="8"/>
      <c r="J14" s="8"/>
      <c r="K14" s="8"/>
      <c r="L14" s="8"/>
      <c r="M14" s="7"/>
      <c r="N14" s="7"/>
    </row>
    <row r="15" spans="1:18" x14ac:dyDescent="0.25">
      <c r="A15" s="8"/>
      <c r="B15" s="8"/>
      <c r="C15" s="8"/>
      <c r="D15" s="8"/>
      <c r="E15" s="8"/>
      <c r="F15" s="8"/>
      <c r="G15" s="8"/>
      <c r="H15" s="8"/>
      <c r="I15" s="8"/>
      <c r="J15" s="8"/>
      <c r="K15" s="8"/>
      <c r="L15" s="8"/>
      <c r="M15" s="7"/>
      <c r="N15" s="7"/>
    </row>
    <row r="16" spans="1:18" ht="47.25" x14ac:dyDescent="0.25">
      <c r="A16" s="8"/>
      <c r="B16" s="33" t="s">
        <v>52</v>
      </c>
      <c r="C16" s="33" t="s">
        <v>100</v>
      </c>
      <c r="D16" s="33" t="s">
        <v>101</v>
      </c>
      <c r="E16" s="33" t="s">
        <v>102</v>
      </c>
      <c r="F16" s="8"/>
      <c r="G16" s="8"/>
      <c r="H16" s="8"/>
      <c r="I16" s="8"/>
      <c r="J16" s="8"/>
      <c r="K16" s="8"/>
      <c r="L16" s="8"/>
      <c r="M16" s="7"/>
      <c r="N16" s="7"/>
    </row>
    <row r="17" spans="1:14" x14ac:dyDescent="0.25">
      <c r="A17" s="8"/>
      <c r="B17" s="30">
        <v>2016</v>
      </c>
      <c r="C17" s="38">
        <v>15859</v>
      </c>
      <c r="D17" s="38">
        <v>1454</v>
      </c>
      <c r="E17" s="61">
        <v>9.1700000000000004E-2</v>
      </c>
      <c r="F17" s="8"/>
      <c r="G17" s="8"/>
      <c r="H17" s="8"/>
      <c r="I17" s="8"/>
      <c r="J17" s="8"/>
      <c r="K17" s="8"/>
      <c r="L17" s="8"/>
      <c r="M17" s="7"/>
      <c r="N17" s="7"/>
    </row>
    <row r="18" spans="1:14" x14ac:dyDescent="0.25">
      <c r="A18" s="8"/>
      <c r="B18" s="30">
        <v>2017</v>
      </c>
      <c r="C18" s="38">
        <v>16140</v>
      </c>
      <c r="D18" s="38">
        <v>1452</v>
      </c>
      <c r="E18" s="61">
        <v>0.09</v>
      </c>
      <c r="F18" s="8"/>
      <c r="G18" s="8"/>
      <c r="H18" s="8"/>
      <c r="I18" s="8"/>
      <c r="J18" s="8"/>
      <c r="K18" s="8"/>
      <c r="L18" s="8"/>
      <c r="M18" s="7"/>
      <c r="N18" s="7"/>
    </row>
    <row r="19" spans="1:14" x14ac:dyDescent="0.25">
      <c r="A19" s="8"/>
      <c r="B19" s="30">
        <v>2018</v>
      </c>
      <c r="C19" s="38">
        <v>16265</v>
      </c>
      <c r="D19" s="38">
        <v>1457</v>
      </c>
      <c r="E19" s="61">
        <v>8.9599999999999999E-2</v>
      </c>
      <c r="F19" s="8"/>
      <c r="G19" s="8"/>
      <c r="H19" s="8"/>
      <c r="I19" s="8"/>
      <c r="J19" s="8"/>
      <c r="K19" s="8"/>
      <c r="L19" s="8"/>
      <c r="M19" s="7"/>
      <c r="N19" s="7"/>
    </row>
    <row r="20" spans="1:14" x14ac:dyDescent="0.25">
      <c r="A20" s="8"/>
      <c r="B20" s="30">
        <v>2019</v>
      </c>
      <c r="C20" s="38">
        <v>16319</v>
      </c>
      <c r="D20" s="38">
        <v>1453</v>
      </c>
      <c r="E20" s="61">
        <v>8.8999999999999996E-2</v>
      </c>
      <c r="F20" s="8"/>
      <c r="G20" s="8"/>
      <c r="H20" s="8"/>
      <c r="I20" s="8"/>
      <c r="J20" s="8"/>
      <c r="K20" s="8"/>
      <c r="L20" s="8"/>
      <c r="M20" s="7"/>
      <c r="N20" s="7"/>
    </row>
    <row r="21" spans="1:14" x14ac:dyDescent="0.25">
      <c r="A21" s="8"/>
      <c r="B21" s="30">
        <v>2020</v>
      </c>
      <c r="C21" s="38">
        <v>16536</v>
      </c>
      <c r="D21" s="38">
        <v>1442</v>
      </c>
      <c r="E21" s="61">
        <v>8.72E-2</v>
      </c>
      <c r="F21" s="8"/>
      <c r="G21" s="8"/>
      <c r="H21" s="8"/>
      <c r="I21" s="8"/>
      <c r="J21" s="8"/>
      <c r="K21" s="8"/>
      <c r="L21" s="8"/>
      <c r="M21" s="7"/>
      <c r="N21" s="7"/>
    </row>
    <row r="22" spans="1:14" x14ac:dyDescent="0.25">
      <c r="A22" s="8"/>
      <c r="B22" s="30">
        <v>2021</v>
      </c>
      <c r="C22" s="38">
        <v>16928</v>
      </c>
      <c r="D22" s="38">
        <v>1464</v>
      </c>
      <c r="E22" s="61">
        <v>8.6499999999999994E-2</v>
      </c>
      <c r="F22" s="8"/>
      <c r="G22" s="8"/>
      <c r="H22" s="8"/>
      <c r="I22" s="8"/>
      <c r="J22" s="8"/>
      <c r="K22" s="8"/>
      <c r="L22" s="8"/>
      <c r="M22" s="7"/>
      <c r="N22" s="7"/>
    </row>
    <row r="23" spans="1:14" x14ac:dyDescent="0.25">
      <c r="A23" s="8"/>
      <c r="B23" s="30">
        <v>2022</v>
      </c>
      <c r="C23" s="38">
        <v>16842</v>
      </c>
      <c r="D23" s="38">
        <v>1475</v>
      </c>
      <c r="E23" s="61">
        <v>8.7599999999999997E-2</v>
      </c>
      <c r="F23" s="8"/>
      <c r="G23" s="8"/>
      <c r="H23" s="8"/>
      <c r="I23" s="8"/>
      <c r="J23" s="8"/>
      <c r="K23" s="8"/>
      <c r="L23" s="8"/>
      <c r="M23" s="7"/>
      <c r="N23" s="7"/>
    </row>
    <row r="24" spans="1:14" x14ac:dyDescent="0.25">
      <c r="A24" s="8"/>
      <c r="B24" s="60"/>
      <c r="C24" s="60"/>
      <c r="D24" s="60"/>
      <c r="E24" s="60"/>
      <c r="F24" s="8"/>
      <c r="G24" s="8"/>
      <c r="H24" s="8"/>
      <c r="I24" s="8"/>
      <c r="J24" s="8"/>
      <c r="K24" s="8"/>
      <c r="L24" s="8"/>
      <c r="M24" s="7"/>
      <c r="N24" s="7"/>
    </row>
    <row r="25" spans="1:14" x14ac:dyDescent="0.25">
      <c r="A25" s="8"/>
      <c r="B25" s="208" t="s">
        <v>103</v>
      </c>
      <c r="C25" s="208"/>
      <c r="D25" s="208"/>
      <c r="E25" s="208"/>
      <c r="F25" s="8"/>
      <c r="G25" s="8"/>
      <c r="H25" s="8"/>
      <c r="I25" s="8"/>
      <c r="J25" s="8"/>
      <c r="K25" s="8"/>
      <c r="L25" s="8"/>
      <c r="M25" s="7"/>
      <c r="N25" s="7"/>
    </row>
    <row r="26" spans="1:14" x14ac:dyDescent="0.25">
      <c r="A26" s="8"/>
      <c r="B26" s="209" t="s">
        <v>104</v>
      </c>
      <c r="C26" s="209"/>
      <c r="D26" s="209"/>
      <c r="E26" s="61">
        <v>-8.6E-3</v>
      </c>
      <c r="F26" s="8"/>
      <c r="G26" s="66"/>
      <c r="H26" s="8"/>
      <c r="I26" s="8"/>
      <c r="J26" s="8"/>
      <c r="K26" s="8"/>
      <c r="L26" s="8"/>
      <c r="M26" s="7"/>
      <c r="N26" s="7"/>
    </row>
    <row r="27" spans="1:14" x14ac:dyDescent="0.25">
      <c r="A27" s="8"/>
      <c r="B27" s="209" t="s">
        <v>105</v>
      </c>
      <c r="C27" s="209"/>
      <c r="D27" s="209"/>
      <c r="E27" s="61">
        <v>-7.4000000000000003E-3</v>
      </c>
      <c r="F27" s="8"/>
      <c r="G27" s="66"/>
      <c r="H27" s="8"/>
      <c r="I27" s="8"/>
      <c r="J27" s="8"/>
      <c r="K27" s="8"/>
      <c r="L27" s="8"/>
      <c r="M27" s="7"/>
      <c r="N27" s="7"/>
    </row>
    <row r="28" spans="1:14" x14ac:dyDescent="0.25">
      <c r="A28" s="8"/>
      <c r="B28" s="209" t="s">
        <v>106</v>
      </c>
      <c r="C28" s="209"/>
      <c r="D28" s="209"/>
      <c r="E28" s="61">
        <v>-1.11E-2</v>
      </c>
      <c r="F28" s="8"/>
      <c r="G28" s="66"/>
      <c r="H28" s="8"/>
      <c r="I28" s="8"/>
      <c r="J28" s="8"/>
      <c r="K28" s="8"/>
      <c r="L28" s="8"/>
      <c r="M28" s="7"/>
      <c r="N28" s="7"/>
    </row>
    <row r="29" spans="1:14" x14ac:dyDescent="0.25">
      <c r="A29" s="8"/>
      <c r="B29" s="8"/>
      <c r="C29" s="8"/>
      <c r="D29" s="8"/>
      <c r="E29" s="8"/>
      <c r="F29" s="8"/>
      <c r="G29" s="8"/>
      <c r="H29" s="8"/>
      <c r="I29" s="8"/>
      <c r="J29" s="8"/>
      <c r="K29" s="8"/>
      <c r="L29" s="8"/>
      <c r="M29" s="7"/>
      <c r="N29" s="7"/>
    </row>
    <row r="31" spans="1:14" x14ac:dyDescent="0.25">
      <c r="A31" s="5" t="s">
        <v>5</v>
      </c>
      <c r="B31" s="8" t="s">
        <v>107</v>
      </c>
      <c r="C31" s="4"/>
      <c r="D31" s="4"/>
      <c r="E31" s="4"/>
      <c r="F31" s="4"/>
      <c r="G31" s="4"/>
      <c r="H31" s="4"/>
      <c r="I31" s="4"/>
      <c r="J31" s="4"/>
      <c r="K31" s="4"/>
      <c r="L31" s="4"/>
    </row>
    <row r="32" spans="1:14" x14ac:dyDescent="0.25">
      <c r="A32" s="6"/>
      <c r="B32" s="6"/>
      <c r="C32" s="6"/>
      <c r="D32" s="6"/>
      <c r="E32" s="6"/>
      <c r="F32" s="6"/>
      <c r="G32" s="6"/>
      <c r="H32" s="6"/>
      <c r="I32" s="6"/>
      <c r="J32" s="6"/>
      <c r="K32" s="6"/>
      <c r="L32" s="6"/>
    </row>
    <row r="33" spans="1:14" x14ac:dyDescent="0.25">
      <c r="A33" s="6" t="s">
        <v>1</v>
      </c>
      <c r="B33" s="6"/>
      <c r="C33" s="6"/>
      <c r="D33" s="6"/>
      <c r="E33" s="6"/>
      <c r="F33" s="6"/>
      <c r="G33" s="6"/>
      <c r="H33" s="6"/>
      <c r="I33" s="6"/>
      <c r="J33" s="6"/>
      <c r="K33" s="6"/>
      <c r="L33" s="6"/>
    </row>
    <row r="34" spans="1:14" x14ac:dyDescent="0.25">
      <c r="A34" s="6"/>
      <c r="B34" s="1" t="s">
        <v>308</v>
      </c>
      <c r="E34" s="122">
        <f>E28</f>
        <v>-1.11E-2</v>
      </c>
      <c r="F34" s="7"/>
      <c r="G34" s="6"/>
      <c r="H34" s="6"/>
      <c r="I34" s="6"/>
      <c r="J34" s="6"/>
      <c r="K34" s="6"/>
      <c r="L34" s="6"/>
    </row>
    <row r="35" spans="1:14" x14ac:dyDescent="0.25">
      <c r="A35" s="6"/>
      <c r="E35" s="121"/>
      <c r="F35" s="7"/>
      <c r="G35" s="6"/>
      <c r="H35" s="6"/>
      <c r="I35" s="6"/>
      <c r="J35" s="6"/>
      <c r="K35" s="6"/>
      <c r="L35" s="6"/>
    </row>
    <row r="36" spans="1:14" x14ac:dyDescent="0.25">
      <c r="A36" s="6"/>
      <c r="B36" s="1" t="s">
        <v>309</v>
      </c>
      <c r="E36" s="121"/>
      <c r="F36" s="7"/>
      <c r="G36" s="6"/>
      <c r="H36" s="6"/>
      <c r="I36" s="6"/>
      <c r="J36" s="6"/>
      <c r="K36" s="6"/>
      <c r="L36" s="6"/>
    </row>
    <row r="38" spans="1:14" x14ac:dyDescent="0.25">
      <c r="A38" s="8"/>
      <c r="B38" s="8"/>
      <c r="C38" s="8"/>
      <c r="D38" s="8"/>
      <c r="E38" s="8"/>
      <c r="F38" s="8"/>
      <c r="G38" s="8"/>
      <c r="H38" s="8"/>
      <c r="I38" s="8"/>
      <c r="J38" s="8"/>
      <c r="K38" s="8"/>
      <c r="L38" s="8"/>
      <c r="M38" s="7"/>
      <c r="N38" s="7"/>
    </row>
    <row r="39" spans="1:14" x14ac:dyDescent="0.25">
      <c r="A39" s="59" t="s">
        <v>108</v>
      </c>
      <c r="B39" s="8"/>
      <c r="C39" s="8"/>
      <c r="D39" s="8"/>
      <c r="E39" s="8"/>
      <c r="F39" s="8"/>
      <c r="G39" s="8"/>
      <c r="H39" s="8"/>
      <c r="I39" s="8"/>
      <c r="J39" s="8"/>
      <c r="K39" s="8"/>
      <c r="L39" s="8"/>
      <c r="M39" s="7"/>
      <c r="N39" s="7"/>
    </row>
    <row r="40" spans="1:14" x14ac:dyDescent="0.25">
      <c r="A40" s="8"/>
      <c r="B40" s="8"/>
      <c r="C40" s="8"/>
      <c r="D40" s="8"/>
      <c r="E40" s="8"/>
      <c r="F40" s="8"/>
      <c r="G40" s="8"/>
      <c r="H40" s="8"/>
      <c r="I40" s="8"/>
      <c r="J40" s="8"/>
      <c r="K40" s="8"/>
      <c r="L40" s="8"/>
      <c r="M40" s="7"/>
      <c r="N40" s="7"/>
    </row>
    <row r="41" spans="1:14" ht="31.5" x14ac:dyDescent="0.25">
      <c r="A41" s="8"/>
      <c r="B41" s="20" t="s">
        <v>52</v>
      </c>
      <c r="C41" s="20" t="s">
        <v>109</v>
      </c>
      <c r="D41" s="8"/>
      <c r="E41" s="8"/>
      <c r="F41" s="8"/>
      <c r="G41" s="8"/>
      <c r="H41" s="8"/>
      <c r="I41" s="8"/>
      <c r="J41" s="8"/>
      <c r="K41" s="8"/>
      <c r="L41" s="8"/>
      <c r="M41" s="7"/>
      <c r="N41" s="7"/>
    </row>
    <row r="42" spans="1:14" x14ac:dyDescent="0.25">
      <c r="A42" s="8"/>
      <c r="B42" s="30">
        <v>2016</v>
      </c>
      <c r="C42" s="38">
        <v>3750</v>
      </c>
      <c r="D42" s="8"/>
      <c r="E42" s="8"/>
      <c r="F42" s="8"/>
      <c r="G42" s="8"/>
      <c r="H42" s="8"/>
      <c r="I42" s="8"/>
      <c r="J42" s="8"/>
      <c r="K42" s="8"/>
      <c r="L42" s="8"/>
      <c r="M42" s="7"/>
      <c r="N42" s="7"/>
    </row>
    <row r="43" spans="1:14" x14ac:dyDescent="0.25">
      <c r="A43" s="8"/>
      <c r="B43" s="30">
        <v>2017</v>
      </c>
      <c r="C43" s="38">
        <v>3993</v>
      </c>
      <c r="D43" s="8"/>
      <c r="E43" s="8"/>
      <c r="F43" s="8"/>
      <c r="G43" s="8"/>
      <c r="H43" s="8"/>
      <c r="I43" s="8"/>
      <c r="J43" s="8"/>
      <c r="K43" s="8"/>
      <c r="L43" s="8"/>
      <c r="M43" s="7"/>
      <c r="N43" s="7"/>
    </row>
    <row r="44" spans="1:14" x14ac:dyDescent="0.25">
      <c r="A44" s="8"/>
      <c r="B44" s="30">
        <v>2018</v>
      </c>
      <c r="C44" s="38">
        <v>4230</v>
      </c>
      <c r="D44" s="8"/>
      <c r="E44" s="8"/>
      <c r="F44" s="8"/>
      <c r="G44" s="8"/>
      <c r="H44" s="8"/>
      <c r="I44" s="8"/>
      <c r="J44" s="8"/>
      <c r="K44" s="8"/>
      <c r="L44" s="8"/>
      <c r="M44" s="7"/>
      <c r="N44" s="7"/>
    </row>
    <row r="45" spans="1:14" x14ac:dyDescent="0.25">
      <c r="A45" s="8"/>
      <c r="B45" s="30">
        <v>2019</v>
      </c>
      <c r="C45" s="38">
        <v>4489</v>
      </c>
      <c r="D45" s="8"/>
      <c r="E45" s="8"/>
      <c r="F45" s="8"/>
      <c r="G45" s="8"/>
      <c r="H45" s="8"/>
      <c r="I45" s="8"/>
      <c r="J45" s="8"/>
      <c r="K45" s="8"/>
      <c r="L45" s="8"/>
      <c r="M45" s="7"/>
      <c r="N45" s="7"/>
    </row>
    <row r="46" spans="1:14" x14ac:dyDescent="0.25">
      <c r="A46" s="8"/>
      <c r="B46" s="30">
        <v>2020</v>
      </c>
      <c r="C46" s="38">
        <v>4679</v>
      </c>
      <c r="D46" s="8"/>
      <c r="E46" s="8"/>
      <c r="F46" s="8"/>
      <c r="G46" s="8"/>
      <c r="H46" s="8"/>
      <c r="I46" s="8"/>
      <c r="J46" s="8"/>
      <c r="K46" s="8"/>
      <c r="L46" s="8"/>
      <c r="M46" s="7"/>
      <c r="N46" s="7"/>
    </row>
    <row r="47" spans="1:14" x14ac:dyDescent="0.25">
      <c r="A47" s="8"/>
      <c r="B47" s="30">
        <v>2021</v>
      </c>
      <c r="C47" s="38">
        <v>5048</v>
      </c>
      <c r="D47" s="8"/>
      <c r="E47" s="8"/>
      <c r="F47" s="8"/>
      <c r="G47" s="8"/>
      <c r="H47" s="8"/>
      <c r="I47" s="8"/>
      <c r="J47" s="8"/>
      <c r="K47" s="8"/>
      <c r="L47" s="8"/>
      <c r="M47" s="7"/>
      <c r="N47" s="7"/>
    </row>
    <row r="48" spans="1:14" x14ac:dyDescent="0.25">
      <c r="A48" s="8"/>
      <c r="B48" s="30">
        <v>2022</v>
      </c>
      <c r="C48" s="38">
        <v>5409</v>
      </c>
      <c r="D48" s="8"/>
      <c r="E48" s="8"/>
      <c r="F48" s="8"/>
      <c r="G48" s="8"/>
      <c r="H48" s="8"/>
      <c r="I48" s="8"/>
      <c r="J48" s="8"/>
      <c r="K48" s="8"/>
      <c r="L48" s="8"/>
      <c r="M48" s="7"/>
      <c r="N48" s="7"/>
    </row>
    <row r="49" spans="1:14" x14ac:dyDescent="0.25">
      <c r="A49" s="8"/>
      <c r="B49" s="8"/>
      <c r="C49" s="8"/>
      <c r="D49" s="8"/>
      <c r="E49" s="8"/>
      <c r="F49" s="8"/>
      <c r="G49" s="8"/>
      <c r="H49" s="8"/>
      <c r="I49" s="8"/>
      <c r="J49" s="8"/>
      <c r="K49" s="8"/>
      <c r="L49" s="8"/>
      <c r="M49" s="7"/>
      <c r="N49" s="7"/>
    </row>
    <row r="50" spans="1:14" x14ac:dyDescent="0.25">
      <c r="A50" s="8"/>
      <c r="B50" s="8" t="s">
        <v>111</v>
      </c>
      <c r="C50" s="8"/>
      <c r="D50" s="8"/>
      <c r="E50" s="62">
        <v>0.06</v>
      </c>
      <c r="F50" s="8"/>
      <c r="G50" s="8"/>
      <c r="H50" s="8"/>
      <c r="I50" s="8"/>
      <c r="J50" s="8"/>
      <c r="K50" s="8"/>
      <c r="L50" s="8"/>
      <c r="M50" s="7"/>
      <c r="N50" s="7"/>
    </row>
    <row r="51" spans="1:14" x14ac:dyDescent="0.25">
      <c r="A51" s="8"/>
      <c r="B51" s="8" t="s">
        <v>110</v>
      </c>
      <c r="C51" s="8"/>
      <c r="D51" s="8"/>
      <c r="E51" s="8"/>
      <c r="F51" s="8"/>
      <c r="G51" s="8"/>
      <c r="H51" s="8"/>
      <c r="I51" s="8"/>
      <c r="J51" s="8"/>
      <c r="K51" s="8"/>
      <c r="L51" s="8"/>
      <c r="M51" s="7"/>
      <c r="N51" s="7"/>
    </row>
    <row r="52" spans="1:14" x14ac:dyDescent="0.25">
      <c r="A52" s="8"/>
      <c r="B52" s="8"/>
      <c r="C52" s="8"/>
      <c r="D52" s="8"/>
      <c r="E52" s="8"/>
      <c r="F52" s="8"/>
      <c r="G52" s="8"/>
      <c r="H52" s="8"/>
      <c r="I52" s="8"/>
      <c r="J52" s="8"/>
      <c r="K52" s="8"/>
      <c r="L52" s="8"/>
      <c r="M52" s="7"/>
      <c r="N52" s="7"/>
    </row>
    <row r="54" spans="1:14" x14ac:dyDescent="0.25">
      <c r="A54" s="5" t="s">
        <v>0</v>
      </c>
      <c r="B54" s="210" t="s">
        <v>112</v>
      </c>
      <c r="C54" s="210"/>
      <c r="D54" s="210"/>
      <c r="E54" s="210"/>
      <c r="F54" s="210"/>
      <c r="G54" s="210"/>
      <c r="H54" s="210"/>
      <c r="I54" s="210"/>
      <c r="J54" s="210"/>
      <c r="K54" s="210"/>
      <c r="L54" s="4"/>
    </row>
    <row r="55" spans="1:14" x14ac:dyDescent="0.25">
      <c r="A55" s="5"/>
      <c r="B55" s="210"/>
      <c r="C55" s="210"/>
      <c r="D55" s="210"/>
      <c r="E55" s="210"/>
      <c r="F55" s="210"/>
      <c r="G55" s="210"/>
      <c r="H55" s="210"/>
      <c r="I55" s="210"/>
      <c r="J55" s="210"/>
      <c r="K55" s="210"/>
      <c r="L55" s="4"/>
    </row>
    <row r="56" spans="1:14" x14ac:dyDescent="0.25">
      <c r="A56" s="6"/>
      <c r="B56" s="6"/>
      <c r="C56" s="6"/>
      <c r="D56" s="6"/>
      <c r="E56" s="6"/>
      <c r="F56" s="6"/>
      <c r="G56" s="6"/>
      <c r="H56" s="6"/>
      <c r="I56" s="6"/>
      <c r="J56" s="6"/>
      <c r="K56" s="6"/>
      <c r="L56" s="6"/>
    </row>
    <row r="57" spans="1:14" x14ac:dyDescent="0.25">
      <c r="A57" s="6" t="s">
        <v>1</v>
      </c>
      <c r="B57" s="6"/>
      <c r="C57" s="6"/>
      <c r="D57" s="6"/>
      <c r="E57" s="6"/>
      <c r="F57" s="6"/>
      <c r="G57" s="6"/>
      <c r="H57" s="6"/>
      <c r="I57" s="6"/>
      <c r="J57" s="6"/>
      <c r="K57" s="6"/>
      <c r="L57" s="6"/>
    </row>
    <row r="58" spans="1:14" ht="47.25" x14ac:dyDescent="0.25">
      <c r="B58" s="97" t="s">
        <v>52</v>
      </c>
      <c r="C58" s="97" t="s">
        <v>310</v>
      </c>
      <c r="D58" s="97" t="s">
        <v>318</v>
      </c>
      <c r="E58" s="97" t="s">
        <v>311</v>
      </c>
      <c r="F58" s="97" t="s">
        <v>312</v>
      </c>
      <c r="G58" s="97" t="s">
        <v>109</v>
      </c>
      <c r="H58" s="97" t="s">
        <v>317</v>
      </c>
      <c r="I58" s="97" t="s">
        <v>313</v>
      </c>
      <c r="J58" s="97" t="s">
        <v>314</v>
      </c>
      <c r="K58" s="97" t="s">
        <v>163</v>
      </c>
      <c r="L58" s="6"/>
    </row>
    <row r="59" spans="1:14" x14ac:dyDescent="0.25">
      <c r="B59" s="74">
        <f t="shared" ref="B59:B63" si="0">B60-1</f>
        <v>2016</v>
      </c>
      <c r="C59" s="123">
        <f t="shared" ref="C59:C65" si="1">E17</f>
        <v>9.1700000000000004E-2</v>
      </c>
      <c r="D59" s="124">
        <f>(1+$E$34)*D60</f>
        <v>0.93522102408139707</v>
      </c>
      <c r="E59" s="123">
        <f>C59*D59</f>
        <v>8.5759767908264117E-2</v>
      </c>
      <c r="F59" s="82">
        <f t="shared" ref="F59:F65" si="2">$E$69*C17/D59</f>
        <v>1472.5704826202646</v>
      </c>
      <c r="G59" s="82">
        <f t="shared" ref="G59:G65" si="3">C42</f>
        <v>3750</v>
      </c>
      <c r="H59" s="124">
        <f t="shared" ref="H59:H64" si="4">(1+$E$50)*H60</f>
        <v>1.4185191122560006</v>
      </c>
      <c r="I59" s="82">
        <f>G59*H59</f>
        <v>5319.4466709600019</v>
      </c>
      <c r="J59" s="82">
        <f t="shared" ref="J59:J65" si="5">$I$69/H59</f>
        <v>3764.5752582991126</v>
      </c>
      <c r="K59" s="81">
        <f>J59*F59</f>
        <v>5543602.404973831</v>
      </c>
      <c r="L59" s="81"/>
    </row>
    <row r="60" spans="1:14" x14ac:dyDescent="0.25">
      <c r="B60" s="74">
        <f t="shared" si="0"/>
        <v>2017</v>
      </c>
      <c r="C60" s="123">
        <f t="shared" si="1"/>
        <v>0.09</v>
      </c>
      <c r="D60" s="124">
        <f t="shared" ref="D60:D64" si="6">(1+$E$34)*D61</f>
        <v>0.94571849942501474</v>
      </c>
      <c r="E60" s="123">
        <f t="shared" ref="E60:E65" si="7">C60*D60</f>
        <v>8.5114664948251317E-2</v>
      </c>
      <c r="F60" s="82">
        <f t="shared" si="2"/>
        <v>1482.0272840183948</v>
      </c>
      <c r="G60" s="82">
        <f t="shared" si="3"/>
        <v>3993</v>
      </c>
      <c r="H60" s="124">
        <f t="shared" si="4"/>
        <v>1.3382255776000005</v>
      </c>
      <c r="I60" s="82">
        <f t="shared" ref="I60:I65" si="8">G60*H60</f>
        <v>5343.5347313568018</v>
      </c>
      <c r="J60" s="82">
        <f t="shared" si="5"/>
        <v>3990.4497737970596</v>
      </c>
      <c r="K60" s="81">
        <f t="shared" ref="K60:K65" si="9">J60*F60</f>
        <v>5913955.4402722744</v>
      </c>
      <c r="L60" s="81"/>
    </row>
    <row r="61" spans="1:14" x14ac:dyDescent="0.25">
      <c r="B61" s="74">
        <f t="shared" si="0"/>
        <v>2018</v>
      </c>
      <c r="C61" s="123">
        <f t="shared" si="1"/>
        <v>8.9599999999999999E-2</v>
      </c>
      <c r="D61" s="124">
        <f t="shared" si="6"/>
        <v>0.95633380465670415</v>
      </c>
      <c r="E61" s="123">
        <f t="shared" si="7"/>
        <v>8.5687508897240694E-2</v>
      </c>
      <c r="F61" s="82">
        <f t="shared" si="2"/>
        <v>1476.9272828786607</v>
      </c>
      <c r="G61" s="82">
        <f t="shared" si="3"/>
        <v>4230</v>
      </c>
      <c r="H61" s="124">
        <f t="shared" si="4"/>
        <v>1.2624769600000003</v>
      </c>
      <c r="I61" s="82">
        <f t="shared" si="8"/>
        <v>5340.2775408000016</v>
      </c>
      <c r="J61" s="82">
        <f t="shared" si="5"/>
        <v>4229.8767602248836</v>
      </c>
      <c r="K61" s="81">
        <f t="shared" si="9"/>
        <v>6247220.3903905293</v>
      </c>
      <c r="L61" s="81"/>
    </row>
    <row r="62" spans="1:14" x14ac:dyDescent="0.25">
      <c r="B62" s="74">
        <f t="shared" si="0"/>
        <v>2019</v>
      </c>
      <c r="C62" s="123">
        <f t="shared" si="1"/>
        <v>8.8999999999999996E-2</v>
      </c>
      <c r="D62" s="124">
        <f t="shared" si="6"/>
        <v>0.96706826236900001</v>
      </c>
      <c r="E62" s="123">
        <f t="shared" si="7"/>
        <v>8.606907535084099E-2</v>
      </c>
      <c r="F62" s="82">
        <f t="shared" si="2"/>
        <v>1465.3823788528539</v>
      </c>
      <c r="G62" s="82">
        <f t="shared" si="3"/>
        <v>4489</v>
      </c>
      <c r="H62" s="124">
        <f t="shared" si="4"/>
        <v>1.1910160000000003</v>
      </c>
      <c r="I62" s="82">
        <f t="shared" si="8"/>
        <v>5346.4708240000009</v>
      </c>
      <c r="J62" s="82">
        <f t="shared" si="5"/>
        <v>4483.6693658383765</v>
      </c>
      <c r="K62" s="81">
        <f t="shared" si="9"/>
        <v>6570290.0813019071</v>
      </c>
      <c r="L62" s="81"/>
      <c r="M62" s="6"/>
      <c r="N62" s="6"/>
    </row>
    <row r="63" spans="1:14" x14ac:dyDescent="0.25">
      <c r="B63" s="74">
        <f t="shared" si="0"/>
        <v>2020</v>
      </c>
      <c r="C63" s="123">
        <f t="shared" si="1"/>
        <v>8.72E-2</v>
      </c>
      <c r="D63" s="124">
        <f t="shared" si="6"/>
        <v>0.97792321000000004</v>
      </c>
      <c r="E63" s="123">
        <f t="shared" si="7"/>
        <v>8.5274903912000002E-2</v>
      </c>
      <c r="F63" s="82">
        <f t="shared" si="2"/>
        <v>1468.3860939533859</v>
      </c>
      <c r="G63" s="82">
        <f t="shared" si="3"/>
        <v>4679</v>
      </c>
      <c r="H63" s="124">
        <f t="shared" si="4"/>
        <v>1.1236000000000002</v>
      </c>
      <c r="I63" s="82">
        <f t="shared" si="8"/>
        <v>5257.3244000000004</v>
      </c>
      <c r="J63" s="82">
        <f t="shared" si="5"/>
        <v>4752.6895277886797</v>
      </c>
      <c r="K63" s="81">
        <f t="shared" si="9"/>
        <v>6978783.211482781</v>
      </c>
      <c r="L63" s="81"/>
      <c r="M63" s="6"/>
      <c r="N63" s="6"/>
    </row>
    <row r="64" spans="1:14" x14ac:dyDescent="0.25">
      <c r="B64" s="74">
        <f>B65-1</f>
        <v>2021</v>
      </c>
      <c r="C64" s="123">
        <f t="shared" si="1"/>
        <v>8.6499999999999994E-2</v>
      </c>
      <c r="D64" s="124">
        <f t="shared" si="6"/>
        <v>0.9889</v>
      </c>
      <c r="E64" s="123">
        <f t="shared" si="7"/>
        <v>8.5539850000000001E-2</v>
      </c>
      <c r="F64" s="82">
        <f t="shared" si="2"/>
        <v>1486.5099707716618</v>
      </c>
      <c r="G64" s="82">
        <f t="shared" si="3"/>
        <v>5048</v>
      </c>
      <c r="H64" s="124">
        <f t="shared" si="4"/>
        <v>1.06</v>
      </c>
      <c r="I64" s="82">
        <f t="shared" si="8"/>
        <v>5350.88</v>
      </c>
      <c r="J64" s="82">
        <f t="shared" si="5"/>
        <v>5037.8508994560007</v>
      </c>
      <c r="K64" s="81">
        <f t="shared" si="9"/>
        <v>7488815.5933023291</v>
      </c>
      <c r="L64" s="81"/>
      <c r="M64" s="6"/>
      <c r="N64" s="6"/>
    </row>
    <row r="65" spans="2:12" x14ac:dyDescent="0.25">
      <c r="B65" s="76">
        <v>2022</v>
      </c>
      <c r="C65" s="125">
        <f t="shared" si="1"/>
        <v>8.7599999999999997E-2</v>
      </c>
      <c r="D65" s="126">
        <v>1</v>
      </c>
      <c r="E65" s="125">
        <f t="shared" si="7"/>
        <v>8.7599999999999997E-2</v>
      </c>
      <c r="F65" s="127">
        <f t="shared" si="2"/>
        <v>1462.5415605764681</v>
      </c>
      <c r="G65" s="127">
        <f t="shared" si="3"/>
        <v>5409</v>
      </c>
      <c r="H65" s="126">
        <v>1</v>
      </c>
      <c r="I65" s="127">
        <f t="shared" si="8"/>
        <v>5409</v>
      </c>
      <c r="J65" s="127">
        <f t="shared" si="5"/>
        <v>5340.1219534233614</v>
      </c>
      <c r="K65" s="114">
        <f t="shared" si="9"/>
        <v>7810150.2954284605</v>
      </c>
      <c r="L65"/>
    </row>
    <row r="66" spans="2:12" x14ac:dyDescent="0.25">
      <c r="B66" s="6" t="s">
        <v>315</v>
      </c>
      <c r="C66" s="6"/>
      <c r="D66" s="6"/>
      <c r="E66" s="6"/>
      <c r="F66" s="6"/>
      <c r="G66" s="82"/>
      <c r="H66" s="111"/>
      <c r="I66" s="82"/>
      <c r="J66" s="82"/>
      <c r="K66" s="81">
        <f>SUM(K59:K65)</f>
        <v>46552817.417152114</v>
      </c>
      <c r="L66"/>
    </row>
    <row r="67" spans="2:12" x14ac:dyDescent="0.25">
      <c r="B67" s="6" t="s">
        <v>104</v>
      </c>
      <c r="D67" s="6"/>
      <c r="E67" s="128">
        <f>AVERAGE(E59:E64)</f>
        <v>8.5574295169432837E-2</v>
      </c>
      <c r="F67" s="6"/>
      <c r="G67" s="82"/>
      <c r="H67" s="111"/>
      <c r="I67" s="82">
        <f>AVERAGE(I59:I64)</f>
        <v>5326.3223611861349</v>
      </c>
      <c r="J67" s="82"/>
      <c r="K67" s="81"/>
      <c r="L67" s="6"/>
    </row>
    <row r="68" spans="2:12" x14ac:dyDescent="0.25">
      <c r="B68" s="6" t="s">
        <v>319</v>
      </c>
      <c r="D68" s="6"/>
      <c r="E68" s="128">
        <f>AVERAGE(E62:E64)</f>
        <v>8.5627943087613678E-2</v>
      </c>
      <c r="F68" s="6"/>
      <c r="G68" s="82"/>
      <c r="H68" s="111"/>
      <c r="I68" s="82">
        <f>AVERAGE(I62:I64)</f>
        <v>5318.2250746666678</v>
      </c>
      <c r="J68" s="82"/>
      <c r="K68" s="81"/>
      <c r="L68" s="6"/>
    </row>
    <row r="69" spans="2:12" x14ac:dyDescent="0.25">
      <c r="B69" s="6" t="s">
        <v>316</v>
      </c>
      <c r="C69" s="111"/>
      <c r="D69" s="6"/>
      <c r="E69" s="129">
        <v>8.6838947902652189E-2</v>
      </c>
      <c r="F69" s="6"/>
      <c r="G69" s="82"/>
      <c r="H69" s="111"/>
      <c r="I69" s="130">
        <v>5340.1219534233614</v>
      </c>
      <c r="J69" s="82"/>
      <c r="K69" s="81"/>
      <c r="L69" s="6"/>
    </row>
  </sheetData>
  <mergeCells count="5">
    <mergeCell ref="B25:E25"/>
    <mergeCell ref="B26:D26"/>
    <mergeCell ref="B27:D27"/>
    <mergeCell ref="B28:D28"/>
    <mergeCell ref="B54:K55"/>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00BC2-8D77-4F44-9E37-3F1B3898954E}">
  <dimension ref="A1:AF79"/>
  <sheetViews>
    <sheetView zoomScaleNormal="100" workbookViewId="0"/>
  </sheetViews>
  <sheetFormatPr defaultColWidth="8.85546875" defaultRowHeight="15.75" x14ac:dyDescent="0.25"/>
  <cols>
    <col min="1" max="1" width="14.7109375" style="1" customWidth="1"/>
    <col min="2" max="2" width="17.85546875" style="1" customWidth="1"/>
    <col min="3" max="7" width="10.7109375" style="1" customWidth="1"/>
    <col min="8" max="8" width="8.85546875" style="1" customWidth="1"/>
    <col min="9" max="12" width="8.85546875" style="1"/>
    <col min="13" max="32" width="4" style="1" customWidth="1"/>
    <col min="33" max="16384" width="8.85546875" style="1"/>
  </cols>
  <sheetData>
    <row r="1" spans="1:12" ht="18.75" x14ac:dyDescent="0.3">
      <c r="A1" s="2" t="s">
        <v>113</v>
      </c>
      <c r="B1" s="4"/>
      <c r="C1" s="8" t="s">
        <v>9</v>
      </c>
      <c r="D1" s="4"/>
      <c r="E1" s="4"/>
      <c r="F1" s="4"/>
      <c r="G1" s="4"/>
      <c r="H1" s="4"/>
      <c r="I1" s="4"/>
      <c r="J1" s="4"/>
      <c r="K1" s="4"/>
      <c r="L1" s="3"/>
    </row>
    <row r="2" spans="1:12" x14ac:dyDescent="0.25">
      <c r="A2" s="4"/>
      <c r="B2" s="4"/>
      <c r="C2" s="4"/>
      <c r="D2" s="4"/>
      <c r="E2" s="4"/>
      <c r="F2" s="4"/>
      <c r="G2" s="4"/>
      <c r="H2" s="4"/>
      <c r="I2" s="4"/>
      <c r="J2" s="4"/>
      <c r="K2" s="4"/>
      <c r="L2" s="3"/>
    </row>
    <row r="3" spans="1:12" x14ac:dyDescent="0.25">
      <c r="A3" s="8" t="s">
        <v>114</v>
      </c>
      <c r="B3" s="8"/>
      <c r="C3" s="8"/>
      <c r="D3" s="8"/>
      <c r="E3" s="8"/>
      <c r="F3" s="8"/>
      <c r="G3" s="8"/>
      <c r="H3" s="8"/>
      <c r="I3" s="8"/>
      <c r="J3" s="8"/>
      <c r="K3" s="8"/>
      <c r="L3" s="3"/>
    </row>
    <row r="4" spans="1:12" x14ac:dyDescent="0.25">
      <c r="A4" s="63"/>
      <c r="B4" s="8"/>
      <c r="C4" s="8"/>
      <c r="D4" s="8"/>
      <c r="E4" s="8"/>
      <c r="F4" s="8"/>
      <c r="G4" s="8"/>
      <c r="H4" s="8"/>
      <c r="I4" s="8"/>
      <c r="J4" s="8"/>
      <c r="K4" s="8"/>
      <c r="L4" s="8"/>
    </row>
    <row r="5" spans="1:12" ht="31.5" x14ac:dyDescent="0.25">
      <c r="A5" s="63"/>
      <c r="B5" s="33" t="s">
        <v>115</v>
      </c>
      <c r="C5" s="33" t="s">
        <v>116</v>
      </c>
      <c r="D5" s="8"/>
      <c r="E5" s="8"/>
      <c r="F5" s="8"/>
      <c r="G5" s="8"/>
      <c r="H5" s="8"/>
      <c r="I5" s="8"/>
      <c r="J5" s="8"/>
      <c r="K5" s="8"/>
      <c r="L5" s="8"/>
    </row>
    <row r="6" spans="1:12" x14ac:dyDescent="0.25">
      <c r="A6" s="63"/>
      <c r="B6" s="64">
        <v>43647</v>
      </c>
      <c r="C6" s="65">
        <v>0.03</v>
      </c>
      <c r="D6" s="8"/>
      <c r="E6" s="8"/>
      <c r="F6" s="8"/>
      <c r="G6" s="8"/>
      <c r="H6" s="8"/>
      <c r="I6" s="8"/>
      <c r="J6" s="8"/>
      <c r="K6" s="8"/>
      <c r="L6" s="8"/>
    </row>
    <row r="7" spans="1:12" x14ac:dyDescent="0.25">
      <c r="A7" s="63"/>
      <c r="B7" s="64">
        <v>44013</v>
      </c>
      <c r="C7" s="65">
        <v>7.0000000000000007E-2</v>
      </c>
      <c r="D7" s="8"/>
      <c r="E7" s="8"/>
      <c r="F7" s="8"/>
      <c r="G7" s="8"/>
      <c r="H7" s="8"/>
      <c r="I7" s="8"/>
      <c r="J7" s="8"/>
      <c r="K7" s="8"/>
      <c r="L7" s="8"/>
    </row>
    <row r="8" spans="1:12" x14ac:dyDescent="0.25">
      <c r="A8" s="63"/>
      <c r="B8" s="64">
        <v>44652</v>
      </c>
      <c r="C8" s="65">
        <v>0.06</v>
      </c>
      <c r="D8" s="8"/>
      <c r="E8" s="8"/>
      <c r="F8" s="8"/>
      <c r="G8" s="8"/>
      <c r="H8" s="8"/>
      <c r="I8" s="8"/>
      <c r="J8" s="8"/>
      <c r="K8" s="8"/>
      <c r="L8" s="8"/>
    </row>
    <row r="9" spans="1:12" x14ac:dyDescent="0.25">
      <c r="A9" s="8"/>
      <c r="B9" s="8"/>
      <c r="C9" s="8"/>
      <c r="D9" s="8"/>
      <c r="E9" s="8"/>
      <c r="F9" s="8"/>
      <c r="G9" s="8"/>
      <c r="H9" s="8"/>
      <c r="I9" s="8"/>
      <c r="J9" s="8"/>
      <c r="K9" s="8"/>
      <c r="L9" s="8"/>
    </row>
    <row r="10" spans="1:12" x14ac:dyDescent="0.25">
      <c r="A10" s="8"/>
      <c r="B10" s="8" t="s">
        <v>117</v>
      </c>
      <c r="C10" s="8"/>
      <c r="D10" s="8"/>
      <c r="E10" s="8"/>
      <c r="F10" s="8"/>
      <c r="G10" s="8"/>
      <c r="H10" s="8"/>
      <c r="I10" s="8"/>
      <c r="J10" s="8"/>
      <c r="K10" s="8"/>
      <c r="L10" s="8"/>
    </row>
    <row r="11" spans="1:12" x14ac:dyDescent="0.25">
      <c r="A11" s="63"/>
      <c r="B11" s="8" t="s">
        <v>118</v>
      </c>
      <c r="C11" s="8"/>
      <c r="D11" s="8"/>
      <c r="E11" s="8"/>
      <c r="F11" s="8"/>
      <c r="G11" s="8"/>
      <c r="H11" s="8"/>
      <c r="I11" s="8"/>
      <c r="J11" s="8"/>
      <c r="K11" s="8"/>
      <c r="L11" s="8"/>
    </row>
    <row r="12" spans="1:12" x14ac:dyDescent="0.25">
      <c r="A12" s="8"/>
      <c r="B12" s="8" t="s">
        <v>119</v>
      </c>
      <c r="C12" s="8"/>
      <c r="D12" s="8"/>
      <c r="E12" s="8"/>
      <c r="F12" s="8"/>
      <c r="G12" s="8"/>
      <c r="H12" s="8"/>
      <c r="I12" s="8"/>
      <c r="J12" s="8"/>
      <c r="K12" s="8"/>
      <c r="L12" s="8"/>
    </row>
    <row r="13" spans="1:12" x14ac:dyDescent="0.25">
      <c r="A13" s="8"/>
      <c r="B13" s="8" t="s">
        <v>121</v>
      </c>
      <c r="C13" s="8"/>
      <c r="D13" s="8"/>
      <c r="E13" s="8"/>
      <c r="F13" s="8"/>
      <c r="G13" s="8"/>
      <c r="H13" s="8"/>
      <c r="I13" s="8"/>
      <c r="J13" s="8"/>
      <c r="K13" s="8"/>
      <c r="L13" s="8"/>
    </row>
    <row r="14" spans="1:12" x14ac:dyDescent="0.25">
      <c r="A14" s="8"/>
      <c r="B14" s="8"/>
      <c r="C14" s="8" t="s">
        <v>122</v>
      </c>
      <c r="D14" s="8"/>
      <c r="E14" s="8"/>
      <c r="F14" s="8"/>
      <c r="G14" s="8"/>
      <c r="H14" s="8"/>
      <c r="I14" s="8"/>
      <c r="J14" s="8"/>
      <c r="K14" s="8"/>
      <c r="L14" s="8"/>
    </row>
    <row r="15" spans="1:12" x14ac:dyDescent="0.25">
      <c r="A15" s="8"/>
      <c r="B15" s="8" t="s">
        <v>120</v>
      </c>
      <c r="C15" s="8"/>
      <c r="D15" s="8"/>
      <c r="E15" s="8"/>
      <c r="F15" s="8"/>
      <c r="G15" s="8"/>
      <c r="H15" s="8"/>
      <c r="I15" s="8"/>
      <c r="J15" s="8"/>
      <c r="K15" s="8"/>
      <c r="L15" s="8"/>
    </row>
    <row r="16" spans="1:12" x14ac:dyDescent="0.25">
      <c r="A16" s="8"/>
      <c r="B16" s="8"/>
      <c r="C16" s="8"/>
      <c r="D16" s="8"/>
      <c r="E16" s="8"/>
      <c r="F16" s="8"/>
      <c r="G16" s="8"/>
      <c r="H16" s="8"/>
      <c r="I16" s="8"/>
      <c r="J16" s="8"/>
      <c r="K16" s="8"/>
      <c r="L16" s="8"/>
    </row>
    <row r="17" spans="1:32" x14ac:dyDescent="0.25">
      <c r="A17" s="6"/>
      <c r="B17" s="6"/>
      <c r="C17" s="6"/>
      <c r="D17" s="6"/>
      <c r="E17" s="6"/>
      <c r="F17" s="6"/>
      <c r="G17" s="6"/>
      <c r="H17" s="6"/>
      <c r="I17" s="6"/>
      <c r="J17" s="6"/>
      <c r="K17" s="6"/>
      <c r="L17" s="6"/>
    </row>
    <row r="18" spans="1:32" x14ac:dyDescent="0.25">
      <c r="A18" s="5" t="s">
        <v>4</v>
      </c>
      <c r="B18" s="8" t="s">
        <v>123</v>
      </c>
      <c r="C18" s="4"/>
      <c r="D18" s="4"/>
      <c r="E18" s="4"/>
      <c r="F18" s="4"/>
      <c r="G18" s="4"/>
      <c r="H18" s="4"/>
      <c r="I18" s="4"/>
      <c r="J18" s="4"/>
      <c r="K18" s="4"/>
      <c r="L18" s="4"/>
      <c r="M18" s="7"/>
      <c r="N18" s="7"/>
      <c r="O18" s="7"/>
      <c r="P18" s="7"/>
      <c r="Q18" s="7"/>
      <c r="R18" s="7"/>
    </row>
    <row r="19" spans="1:32" x14ac:dyDescent="0.25">
      <c r="A19" s="6"/>
      <c r="B19" s="6"/>
      <c r="C19" s="6"/>
      <c r="D19" s="6"/>
      <c r="E19" s="6"/>
      <c r="F19" s="6"/>
      <c r="G19" s="6"/>
      <c r="H19" s="6"/>
      <c r="I19" s="6"/>
      <c r="J19" s="6"/>
      <c r="K19" s="6"/>
      <c r="L19" s="6"/>
      <c r="M19" s="6"/>
    </row>
    <row r="20" spans="1:32" x14ac:dyDescent="0.25">
      <c r="A20" s="6" t="s">
        <v>1</v>
      </c>
      <c r="B20" s="6"/>
      <c r="C20" s="6"/>
      <c r="D20" s="6"/>
      <c r="E20" s="6"/>
      <c r="F20" s="6"/>
      <c r="G20" s="6"/>
      <c r="H20" s="6"/>
      <c r="I20" s="6"/>
      <c r="J20" s="6"/>
      <c r="K20" s="6"/>
      <c r="L20" s="6"/>
      <c r="M20" s="6"/>
      <c r="N20" s="7"/>
    </row>
    <row r="21" spans="1:32" x14ac:dyDescent="0.25">
      <c r="A21" s="6"/>
      <c r="B21" s="6"/>
      <c r="C21" s="6"/>
      <c r="D21" s="6"/>
      <c r="E21" s="6"/>
      <c r="F21" s="6"/>
      <c r="G21" s="6"/>
      <c r="H21" s="6"/>
      <c r="I21" s="6"/>
      <c r="J21" s="6"/>
      <c r="K21" s="6"/>
      <c r="L21" s="6"/>
      <c r="M21" s="6"/>
      <c r="N21" s="7"/>
    </row>
    <row r="22" spans="1:32" x14ac:dyDescent="0.25">
      <c r="A22" s="6" t="s">
        <v>320</v>
      </c>
      <c r="B22" s="6"/>
      <c r="C22" s="6"/>
      <c r="D22" s="6"/>
      <c r="E22" s="6"/>
      <c r="F22" s="6"/>
      <c r="G22" s="6"/>
      <c r="H22" s="6"/>
      <c r="I22" s="6"/>
      <c r="J22" s="6"/>
      <c r="K22" s="6"/>
      <c r="L22" s="6"/>
      <c r="M22" s="6"/>
      <c r="N22" s="7"/>
    </row>
    <row r="24" spans="1:32" x14ac:dyDescent="0.25">
      <c r="A24" s="5" t="s">
        <v>5</v>
      </c>
      <c r="B24" s="210" t="s">
        <v>124</v>
      </c>
      <c r="C24" s="210"/>
      <c r="D24" s="210"/>
      <c r="E24" s="210"/>
      <c r="F24" s="210"/>
      <c r="G24" s="210"/>
      <c r="H24" s="210"/>
      <c r="I24" s="210"/>
      <c r="J24" s="210"/>
      <c r="K24" s="210"/>
      <c r="L24" s="4"/>
    </row>
    <row r="25" spans="1:32" x14ac:dyDescent="0.25">
      <c r="A25" s="5"/>
      <c r="B25" s="210"/>
      <c r="C25" s="210"/>
      <c r="D25" s="210"/>
      <c r="E25" s="210"/>
      <c r="F25" s="210"/>
      <c r="G25" s="210"/>
      <c r="H25" s="210"/>
      <c r="I25" s="210"/>
      <c r="J25" s="210"/>
      <c r="K25" s="210"/>
      <c r="L25" s="4"/>
    </row>
    <row r="26" spans="1:32" x14ac:dyDescent="0.25">
      <c r="A26" s="6"/>
      <c r="B26" s="6"/>
      <c r="C26" s="6"/>
      <c r="D26" s="6"/>
      <c r="E26" s="6"/>
      <c r="F26" s="6"/>
      <c r="G26" s="6"/>
      <c r="H26" s="6"/>
      <c r="I26" s="6"/>
      <c r="J26" s="6"/>
      <c r="K26" s="6"/>
      <c r="L26" s="6"/>
    </row>
    <row r="27" spans="1:32" x14ac:dyDescent="0.25">
      <c r="A27" s="6" t="s">
        <v>1</v>
      </c>
      <c r="B27" s="6"/>
      <c r="C27" s="6"/>
      <c r="D27" s="6"/>
      <c r="E27" s="6"/>
      <c r="F27" s="6"/>
      <c r="G27" s="6"/>
      <c r="H27" s="6"/>
      <c r="I27" s="6"/>
      <c r="J27" s="6"/>
      <c r="K27" s="6"/>
      <c r="L27" s="6"/>
      <c r="M27" s="11" t="s">
        <v>10</v>
      </c>
    </row>
    <row r="28" spans="1:32" x14ac:dyDescent="0.25">
      <c r="A28" s="6"/>
      <c r="B28" s="6"/>
      <c r="C28" s="6"/>
      <c r="D28" s="6"/>
      <c r="E28" s="6"/>
      <c r="F28" s="6"/>
      <c r="G28" s="6"/>
      <c r="H28" s="6"/>
      <c r="I28" s="6"/>
      <c r="J28" s="6"/>
      <c r="K28" s="6"/>
      <c r="L28" s="6"/>
      <c r="M28" s="211">
        <v>2019</v>
      </c>
      <c r="N28" s="211"/>
      <c r="O28" s="211"/>
      <c r="P28" s="211"/>
      <c r="Q28" s="211">
        <f>M28+1</f>
        <v>2020</v>
      </c>
      <c r="R28" s="211"/>
      <c r="S28" s="211"/>
      <c r="T28" s="211"/>
      <c r="U28" s="211">
        <f>Q28+1</f>
        <v>2021</v>
      </c>
      <c r="V28" s="211"/>
      <c r="W28" s="211"/>
      <c r="X28" s="211"/>
      <c r="Y28" s="211">
        <f>U28+1</f>
        <v>2022</v>
      </c>
      <c r="Z28" s="211"/>
      <c r="AA28" s="211"/>
      <c r="AB28" s="211"/>
      <c r="AC28" s="211">
        <f>Y28+1</f>
        <v>2023</v>
      </c>
      <c r="AD28" s="211"/>
      <c r="AE28" s="211"/>
      <c r="AF28" s="211"/>
    </row>
    <row r="29" spans="1:32" ht="19.899999999999999" customHeight="1" x14ac:dyDescent="0.25">
      <c r="A29" s="1" t="s">
        <v>321</v>
      </c>
      <c r="B29" s="6"/>
      <c r="C29" s="6"/>
      <c r="D29" s="6"/>
      <c r="E29" s="6"/>
      <c r="F29" s="6"/>
      <c r="G29" s="6"/>
      <c r="H29" s="6"/>
      <c r="I29" s="6"/>
      <c r="J29" s="6"/>
      <c r="K29" s="6"/>
      <c r="L29" s="6"/>
      <c r="M29" s="12"/>
      <c r="N29" s="13"/>
      <c r="O29" s="13"/>
      <c r="P29" s="14"/>
      <c r="Q29" s="12"/>
      <c r="R29" s="13"/>
      <c r="S29" s="13"/>
      <c r="T29" s="14"/>
      <c r="U29" s="12"/>
      <c r="V29" s="13"/>
      <c r="W29" s="13"/>
      <c r="X29" s="14"/>
      <c r="Y29" s="12"/>
      <c r="Z29" s="13"/>
      <c r="AA29" s="13"/>
      <c r="AB29" s="14"/>
      <c r="AC29" s="12"/>
      <c r="AD29" s="13"/>
      <c r="AE29" s="13"/>
      <c r="AF29" s="14"/>
    </row>
    <row r="30" spans="1:32" ht="19.899999999999999" customHeight="1" x14ac:dyDescent="0.25">
      <c r="A30" s="135" t="s">
        <v>322</v>
      </c>
      <c r="B30" s="135"/>
      <c r="C30" s="6"/>
      <c r="D30" s="6"/>
      <c r="E30" s="6"/>
      <c r="F30" s="6"/>
      <c r="G30" s="6"/>
      <c r="H30" s="6"/>
      <c r="M30" s="15"/>
      <c r="N30" s="7">
        <v>1</v>
      </c>
      <c r="O30" s="7"/>
      <c r="P30" s="16"/>
      <c r="Q30" s="15"/>
      <c r="R30" s="212">
        <f>1+N33</f>
        <v>1.03</v>
      </c>
      <c r="S30" s="212"/>
      <c r="T30" s="16"/>
      <c r="U30" s="15"/>
      <c r="V30" s="212">
        <f>R30*(1+R33)</f>
        <v>1.1021000000000001</v>
      </c>
      <c r="W30" s="212"/>
      <c r="X30" s="16"/>
      <c r="Y30" s="15"/>
      <c r="Z30" s="7"/>
      <c r="AA30" s="7"/>
      <c r="AB30" s="16"/>
      <c r="AC30" s="15"/>
      <c r="AD30" s="213">
        <f>V30*(1+Y33)</f>
        <v>1.1682260000000002</v>
      </c>
      <c r="AE30" s="213"/>
      <c r="AF30" s="16"/>
    </row>
    <row r="31" spans="1:32" ht="19.899999999999999" customHeight="1" x14ac:dyDescent="0.25">
      <c r="A31" s="74" t="s">
        <v>323</v>
      </c>
      <c r="B31" s="74" t="s">
        <v>324</v>
      </c>
      <c r="C31" s="74" t="s">
        <v>325</v>
      </c>
      <c r="D31" s="147" t="s">
        <v>326</v>
      </c>
      <c r="E31" s="80"/>
      <c r="F31" s="80"/>
      <c r="G31" s="80"/>
      <c r="H31" s="80"/>
      <c r="M31" s="15"/>
      <c r="N31" s="7"/>
      <c r="O31" s="7"/>
      <c r="P31" s="16"/>
      <c r="Q31" s="15"/>
      <c r="R31" s="7"/>
      <c r="S31" s="7"/>
      <c r="T31" s="16"/>
      <c r="U31" s="15"/>
      <c r="V31" s="7"/>
      <c r="W31" s="7"/>
      <c r="X31" s="16"/>
      <c r="Y31" s="15"/>
      <c r="Z31" s="7"/>
      <c r="AA31" s="7"/>
      <c r="AB31" s="16"/>
      <c r="AC31" s="15"/>
      <c r="AD31" s="7"/>
      <c r="AE31" s="7"/>
      <c r="AF31" s="16"/>
    </row>
    <row r="32" spans="1:32" ht="19.899999999999999" customHeight="1" x14ac:dyDescent="0.25">
      <c r="A32" s="76" t="s">
        <v>327</v>
      </c>
      <c r="B32" s="76" t="s">
        <v>328</v>
      </c>
      <c r="C32" s="76" t="s">
        <v>329</v>
      </c>
      <c r="D32" s="76">
        <f t="shared" ref="D32:E32" si="0">E32-1</f>
        <v>2019</v>
      </c>
      <c r="E32" s="76">
        <f t="shared" si="0"/>
        <v>2020</v>
      </c>
      <c r="F32" s="76">
        <f>G32-1</f>
        <v>2021</v>
      </c>
      <c r="G32" s="76">
        <v>2022</v>
      </c>
      <c r="M32" s="17"/>
      <c r="N32" s="18"/>
      <c r="O32" s="18"/>
      <c r="P32" s="19"/>
      <c r="Q32" s="17"/>
      <c r="R32" s="18"/>
      <c r="S32" s="18"/>
      <c r="T32" s="19"/>
      <c r="U32" s="17"/>
      <c r="V32" s="18"/>
      <c r="W32" s="18"/>
      <c r="X32" s="19"/>
      <c r="Y32" s="17"/>
      <c r="Z32" s="18"/>
      <c r="AA32" s="18"/>
      <c r="AB32" s="19"/>
      <c r="AC32" s="17"/>
      <c r="AD32" s="18"/>
      <c r="AE32" s="18"/>
      <c r="AF32" s="19"/>
    </row>
    <row r="33" spans="1:32" x14ac:dyDescent="0.25">
      <c r="A33" s="132"/>
      <c r="B33" s="133">
        <v>0</v>
      </c>
      <c r="C33" s="136">
        <v>1</v>
      </c>
      <c r="D33" s="137">
        <f>1-D34</f>
        <v>0.875</v>
      </c>
      <c r="E33" s="137">
        <f>D34</f>
        <v>0.125</v>
      </c>
      <c r="F33" s="137">
        <v>0</v>
      </c>
      <c r="G33" s="137">
        <v>0</v>
      </c>
      <c r="N33" s="145">
        <f>$C$6</f>
        <v>0.03</v>
      </c>
      <c r="R33" s="145">
        <f>$C$7</f>
        <v>7.0000000000000007E-2</v>
      </c>
      <c r="Y33" s="145">
        <f>$C$8</f>
        <v>0.06</v>
      </c>
    </row>
    <row r="34" spans="1:32" x14ac:dyDescent="0.25">
      <c r="A34" s="138">
        <f t="shared" ref="A34:B36" si="1">B6</f>
        <v>43647</v>
      </c>
      <c r="B34" s="139">
        <f t="shared" si="1"/>
        <v>0.03</v>
      </c>
      <c r="C34" s="136">
        <f>C33*(1+B34)</f>
        <v>1.03</v>
      </c>
      <c r="D34" s="137">
        <f>0.5*0.5*0.5</f>
        <v>0.125</v>
      </c>
      <c r="E34" s="137">
        <f>1-E33-E35</f>
        <v>0.75</v>
      </c>
      <c r="F34" s="137">
        <f>E33</f>
        <v>0.125</v>
      </c>
      <c r="G34" s="137">
        <v>0</v>
      </c>
    </row>
    <row r="35" spans="1:32" x14ac:dyDescent="0.25">
      <c r="A35" s="138">
        <f t="shared" si="1"/>
        <v>44013</v>
      </c>
      <c r="B35" s="139">
        <f t="shared" si="1"/>
        <v>7.0000000000000007E-2</v>
      </c>
      <c r="C35" s="136">
        <f t="shared" ref="C35:C36" si="2">C34*(1+B35)</f>
        <v>1.1021000000000001</v>
      </c>
      <c r="D35" s="137">
        <v>0</v>
      </c>
      <c r="E35" s="137">
        <f>E33</f>
        <v>0.125</v>
      </c>
      <c r="F35" s="137">
        <f>1-F34</f>
        <v>0.875</v>
      </c>
      <c r="G35" s="137">
        <f>1-G36</f>
        <v>0.71875</v>
      </c>
    </row>
    <row r="36" spans="1:32" x14ac:dyDescent="0.25">
      <c r="A36" s="140">
        <f t="shared" si="1"/>
        <v>44652</v>
      </c>
      <c r="B36" s="141">
        <f t="shared" si="1"/>
        <v>0.06</v>
      </c>
      <c r="C36" s="142">
        <f t="shared" si="2"/>
        <v>1.1682260000000002</v>
      </c>
      <c r="D36" s="143">
        <v>0</v>
      </c>
      <c r="E36" s="143">
        <v>0</v>
      </c>
      <c r="F36" s="143">
        <v>0</v>
      </c>
      <c r="G36" s="143">
        <f>0.5*0.75*0.75</f>
        <v>0.28125</v>
      </c>
    </row>
    <row r="37" spans="1:32" x14ac:dyDescent="0.25">
      <c r="A37" s="132"/>
      <c r="B37" s="133"/>
      <c r="C37" s="6"/>
      <c r="D37" s="137">
        <f>SUM(D33:D36)</f>
        <v>1</v>
      </c>
      <c r="E37" s="137">
        <f>SUM(E33:E36)</f>
        <v>1</v>
      </c>
      <c r="F37" s="137">
        <f>SUM(F33:F36)</f>
        <v>1</v>
      </c>
      <c r="G37" s="137">
        <f>SUM(G33:G36)</f>
        <v>1</v>
      </c>
    </row>
    <row r="38" spans="1:32" x14ac:dyDescent="0.25">
      <c r="A38" s="132"/>
      <c r="B38" s="144"/>
      <c r="C38" s="6"/>
      <c r="D38" s="6"/>
      <c r="E38" s="6"/>
      <c r="F38" s="6"/>
      <c r="G38" s="6"/>
    </row>
    <row r="39" spans="1:32" x14ac:dyDescent="0.25">
      <c r="A39" s="134" t="s">
        <v>330</v>
      </c>
      <c r="B39" s="6"/>
      <c r="C39" s="6"/>
      <c r="D39" s="136">
        <f>SUMPRODUCT($C$33:$C$36,D33:D36)</f>
        <v>1.0037499999999999</v>
      </c>
      <c r="E39" s="136">
        <f>SUMPRODUCT($C$33:$C$36,E33:E36)</f>
        <v>1.0352625</v>
      </c>
      <c r="F39" s="136">
        <f>SUMPRODUCT($C$33:$C$36,F33:F36)</f>
        <v>1.0930875</v>
      </c>
      <c r="G39" s="136">
        <f>SUMPRODUCT($C$33:$C$36,G33:G36)</f>
        <v>1.1206979375000001</v>
      </c>
    </row>
    <row r="40" spans="1:32" x14ac:dyDescent="0.25">
      <c r="A40" s="144"/>
      <c r="B40" s="6"/>
      <c r="C40" s="6"/>
      <c r="D40" s="6"/>
      <c r="E40" s="6"/>
      <c r="F40" s="6"/>
      <c r="G40" s="6"/>
    </row>
    <row r="41" spans="1:32" x14ac:dyDescent="0.25">
      <c r="A41" s="134" t="s">
        <v>331</v>
      </c>
      <c r="B41" s="6"/>
      <c r="C41" s="6"/>
      <c r="D41" s="113">
        <f>$C$36/D39</f>
        <v>1.1638615193026154</v>
      </c>
      <c r="E41" s="113">
        <f>$C$36/E39</f>
        <v>1.1284345757718455</v>
      </c>
      <c r="F41" s="113">
        <f>$C$36/F39</f>
        <v>1.0687396937573619</v>
      </c>
      <c r="G41" s="113">
        <f>$C$36/G39</f>
        <v>1.0424093423478795</v>
      </c>
    </row>
    <row r="42" spans="1:32" x14ac:dyDescent="0.25">
      <c r="M42" s="211">
        <v>2019</v>
      </c>
      <c r="N42" s="211"/>
      <c r="O42" s="211"/>
      <c r="P42" s="211"/>
      <c r="Q42" s="211">
        <f>M42+1</f>
        <v>2020</v>
      </c>
      <c r="R42" s="211"/>
      <c r="S42" s="211"/>
      <c r="T42" s="211"/>
      <c r="U42" s="211">
        <f>Q42+1</f>
        <v>2021</v>
      </c>
      <c r="V42" s="211"/>
      <c r="W42" s="211"/>
      <c r="X42" s="211"/>
      <c r="Y42" s="211">
        <f>U42+1</f>
        <v>2022</v>
      </c>
      <c r="Z42" s="211"/>
      <c r="AA42" s="211"/>
      <c r="AB42" s="211"/>
      <c r="AC42" s="211">
        <f>Y42+1</f>
        <v>2023</v>
      </c>
      <c r="AD42" s="211"/>
      <c r="AE42" s="211"/>
      <c r="AF42" s="211"/>
    </row>
    <row r="43" spans="1:32" ht="19.899999999999999" customHeight="1" x14ac:dyDescent="0.25">
      <c r="A43" s="1" t="s">
        <v>332</v>
      </c>
      <c r="M43" s="12"/>
      <c r="N43" s="13"/>
      <c r="O43" s="13"/>
      <c r="P43" s="14"/>
      <c r="Q43" s="12"/>
      <c r="R43" s="13"/>
      <c r="S43" s="13"/>
      <c r="T43" s="14"/>
      <c r="U43" s="12"/>
      <c r="V43" s="13"/>
      <c r="W43" s="13"/>
      <c r="X43" s="14"/>
      <c r="Y43" s="12"/>
      <c r="Z43" s="13"/>
      <c r="AA43" s="13"/>
      <c r="AB43" s="14"/>
      <c r="AC43" s="12"/>
      <c r="AD43" s="13"/>
      <c r="AE43" s="13"/>
      <c r="AF43" s="14"/>
    </row>
    <row r="44" spans="1:32" ht="19.899999999999999" customHeight="1" x14ac:dyDescent="0.25">
      <c r="A44" s="135" t="s">
        <v>322</v>
      </c>
      <c r="B44" s="135"/>
      <c r="C44" s="6"/>
      <c r="D44" s="6"/>
      <c r="E44" s="6"/>
      <c r="F44" s="6"/>
      <c r="G44" s="6"/>
      <c r="H44" s="6"/>
      <c r="M44" s="15"/>
      <c r="N44" s="7">
        <v>1</v>
      </c>
      <c r="O44" s="7"/>
      <c r="P44" s="16"/>
      <c r="Q44" s="15"/>
      <c r="R44" s="212">
        <f>1+N47</f>
        <v>1.03</v>
      </c>
      <c r="S44" s="212"/>
      <c r="T44" s="16"/>
      <c r="U44" s="15"/>
      <c r="V44" s="212">
        <f>R44*(1+R47)</f>
        <v>1.1021000000000001</v>
      </c>
      <c r="W44" s="212"/>
      <c r="X44" s="16"/>
      <c r="Y44" s="15"/>
      <c r="Z44" s="7"/>
      <c r="AA44" s="7"/>
      <c r="AB44" s="16"/>
      <c r="AC44" s="15"/>
      <c r="AD44" s="213">
        <f>V44*(1+Y47)</f>
        <v>1.1682260000000002</v>
      </c>
      <c r="AE44" s="213"/>
      <c r="AF44" s="16"/>
    </row>
    <row r="45" spans="1:32" ht="19.899999999999999" customHeight="1" x14ac:dyDescent="0.25">
      <c r="A45" s="74" t="s">
        <v>323</v>
      </c>
      <c r="B45" s="74" t="s">
        <v>324</v>
      </c>
      <c r="C45" s="74" t="s">
        <v>325</v>
      </c>
      <c r="D45" s="147" t="s">
        <v>326</v>
      </c>
      <c r="E45" s="80"/>
      <c r="F45" s="80"/>
      <c r="G45" s="80"/>
      <c r="H45" s="80"/>
      <c r="M45" s="15"/>
      <c r="N45" s="7"/>
      <c r="O45" s="7"/>
      <c r="P45" s="16"/>
      <c r="Q45" s="15"/>
      <c r="R45" s="7"/>
      <c r="S45" s="7"/>
      <c r="T45" s="16"/>
      <c r="U45" s="15"/>
      <c r="V45" s="7"/>
      <c r="W45" s="7"/>
      <c r="X45" s="16"/>
      <c r="Y45" s="15"/>
      <c r="Z45" s="7"/>
      <c r="AA45" s="7"/>
      <c r="AB45" s="16"/>
      <c r="AC45" s="15"/>
      <c r="AD45" s="7"/>
      <c r="AE45" s="7"/>
      <c r="AF45" s="16"/>
    </row>
    <row r="46" spans="1:32" ht="19.899999999999999" customHeight="1" x14ac:dyDescent="0.25">
      <c r="A46" s="76" t="s">
        <v>327</v>
      </c>
      <c r="B46" s="76" t="s">
        <v>328</v>
      </c>
      <c r="C46" s="76" t="s">
        <v>329</v>
      </c>
      <c r="D46" s="76">
        <f t="shared" ref="D46:E46" si="3">E46-1</f>
        <v>2019</v>
      </c>
      <c r="E46" s="76">
        <f t="shared" si="3"/>
        <v>2020</v>
      </c>
      <c r="F46" s="76">
        <f>G46-1</f>
        <v>2021</v>
      </c>
      <c r="G46" s="76">
        <v>2022</v>
      </c>
      <c r="M46" s="17"/>
      <c r="N46" s="18"/>
      <c r="O46" s="18"/>
      <c r="P46" s="19"/>
      <c r="Q46" s="17"/>
      <c r="R46" s="18"/>
      <c r="S46" s="18"/>
      <c r="T46" s="19"/>
      <c r="U46" s="17"/>
      <c r="V46" s="18"/>
      <c r="W46" s="18"/>
      <c r="X46" s="19"/>
      <c r="Y46" s="17"/>
      <c r="Z46" s="18"/>
      <c r="AA46" s="18"/>
      <c r="AB46" s="19"/>
      <c r="AC46" s="17"/>
      <c r="AD46" s="18"/>
      <c r="AE46" s="18"/>
      <c r="AF46" s="19"/>
    </row>
    <row r="47" spans="1:32" x14ac:dyDescent="0.25">
      <c r="A47" s="132"/>
      <c r="B47" s="133">
        <v>0</v>
      </c>
      <c r="C47" s="136">
        <v>1</v>
      </c>
      <c r="D47" s="137">
        <f>D33</f>
        <v>0.875</v>
      </c>
      <c r="E47" s="137">
        <f>D48</f>
        <v>0.125</v>
      </c>
      <c r="F47" s="137">
        <v>0</v>
      </c>
      <c r="G47" s="137">
        <v>0</v>
      </c>
      <c r="N47" s="145">
        <f>$C$6</f>
        <v>0.03</v>
      </c>
      <c r="R47" s="145">
        <f>$C$7</f>
        <v>7.0000000000000007E-2</v>
      </c>
      <c r="Y47" s="145">
        <f>$C$8</f>
        <v>0.06</v>
      </c>
    </row>
    <row r="48" spans="1:32" x14ac:dyDescent="0.25">
      <c r="A48" s="138">
        <f t="shared" ref="A48:B50" si="4">A34</f>
        <v>43647</v>
      </c>
      <c r="B48" s="139">
        <f t="shared" si="4"/>
        <v>0.03</v>
      </c>
      <c r="C48" s="136">
        <f>C47*(1+B48)</f>
        <v>1.03</v>
      </c>
      <c r="D48" s="137">
        <f>D34</f>
        <v>0.125</v>
      </c>
      <c r="E48" s="137">
        <f>1-E47-E49</f>
        <v>0.625</v>
      </c>
      <c r="F48" s="137">
        <v>0</v>
      </c>
      <c r="G48" s="137">
        <v>0</v>
      </c>
    </row>
    <row r="49" spans="1:12" x14ac:dyDescent="0.25">
      <c r="A49" s="138">
        <f t="shared" si="4"/>
        <v>44013</v>
      </c>
      <c r="B49" s="139">
        <f t="shared" si="4"/>
        <v>7.0000000000000007E-2</v>
      </c>
      <c r="C49" s="136">
        <f t="shared" ref="C49:C50" si="5">C48*(1+B49)</f>
        <v>1.1021000000000001</v>
      </c>
      <c r="D49" s="137">
        <v>0</v>
      </c>
      <c r="E49" s="137">
        <f>0.5*0.5</f>
        <v>0.25</v>
      </c>
      <c r="F49" s="137">
        <v>1</v>
      </c>
      <c r="G49" s="137">
        <v>0.5</v>
      </c>
    </row>
    <row r="50" spans="1:12" x14ac:dyDescent="0.25">
      <c r="A50" s="140">
        <f t="shared" si="4"/>
        <v>44652</v>
      </c>
      <c r="B50" s="141">
        <f t="shared" si="4"/>
        <v>0.06</v>
      </c>
      <c r="C50" s="142">
        <f t="shared" si="5"/>
        <v>1.1682260000000002</v>
      </c>
      <c r="D50" s="143">
        <v>0</v>
      </c>
      <c r="E50" s="143">
        <v>0</v>
      </c>
      <c r="F50" s="143"/>
      <c r="G50" s="143">
        <v>0.5</v>
      </c>
    </row>
    <row r="51" spans="1:12" x14ac:dyDescent="0.25">
      <c r="A51" s="132"/>
      <c r="B51" s="133"/>
      <c r="C51" s="6"/>
      <c r="D51" s="137">
        <f>SUM(D47:D50)</f>
        <v>1</v>
      </c>
      <c r="E51" s="137">
        <f>SUM(E47:E50)</f>
        <v>1</v>
      </c>
      <c r="F51" s="137">
        <f>SUM(F47:F50)</f>
        <v>1</v>
      </c>
      <c r="G51" s="137">
        <f>SUM(G47:G50)</f>
        <v>1</v>
      </c>
    </row>
    <row r="52" spans="1:12" x14ac:dyDescent="0.25">
      <c r="A52" s="132"/>
      <c r="B52" s="144"/>
      <c r="C52" s="6"/>
      <c r="D52" s="6"/>
      <c r="E52" s="6"/>
      <c r="F52" s="6"/>
      <c r="G52" s="6"/>
    </row>
    <row r="53" spans="1:12" x14ac:dyDescent="0.25">
      <c r="A53" s="134" t="s">
        <v>330</v>
      </c>
      <c r="B53" s="6"/>
      <c r="C53" s="6"/>
      <c r="D53" s="136">
        <f>SUMPRODUCT($C$47:$C$50,D47:D50)</f>
        <v>1.0037499999999999</v>
      </c>
      <c r="E53" s="136">
        <f>SUMPRODUCT($C$47:$C$50,E47:E50)</f>
        <v>1.0442750000000001</v>
      </c>
      <c r="F53" s="136">
        <f>SUMPRODUCT($C$47:$C$50,F47:F50)</f>
        <v>1.1021000000000001</v>
      </c>
      <c r="G53" s="136">
        <f>SUMPRODUCT($C$47:$C$50,G47:G50)</f>
        <v>1.1351630000000001</v>
      </c>
    </row>
    <row r="54" spans="1:12" x14ac:dyDescent="0.25">
      <c r="A54" s="144"/>
      <c r="B54" s="6"/>
      <c r="C54" s="6"/>
      <c r="D54" s="6"/>
      <c r="E54" s="6"/>
      <c r="F54" s="6"/>
      <c r="G54" s="6"/>
    </row>
    <row r="55" spans="1:12" x14ac:dyDescent="0.25">
      <c r="A55" s="134" t="s">
        <v>331</v>
      </c>
      <c r="B55" s="6"/>
      <c r="C55" s="6"/>
      <c r="D55" s="113">
        <f>$C$50/D53</f>
        <v>1.1638615193026154</v>
      </c>
      <c r="E55" s="113">
        <f>$C$50/E53</f>
        <v>1.1186957458523858</v>
      </c>
      <c r="F55" s="113">
        <f>$C$50/F53</f>
        <v>1.06</v>
      </c>
      <c r="G55" s="113">
        <f>$C$50/G53</f>
        <v>1.029126213592233</v>
      </c>
    </row>
    <row r="56" spans="1:12" x14ac:dyDescent="0.25">
      <c r="A56" s="6"/>
      <c r="B56" s="6"/>
      <c r="C56" s="6"/>
      <c r="D56" s="6"/>
      <c r="E56" s="6"/>
      <c r="F56" s="6"/>
      <c r="G56" s="6"/>
    </row>
    <row r="57" spans="1:12" x14ac:dyDescent="0.25">
      <c r="A57" s="6" t="s">
        <v>333</v>
      </c>
      <c r="B57" s="6"/>
      <c r="C57" s="6"/>
      <c r="D57" s="113">
        <f>$C$58*D55+(1-$C$58)*D41</f>
        <v>1.1638615193026154</v>
      </c>
      <c r="E57" s="113">
        <f>$C$58*E55+(1-$C$58)*E41</f>
        <v>1.1235651608121158</v>
      </c>
      <c r="F57" s="113">
        <f>$C$58*F55+(1-$C$58)*F41</f>
        <v>1.0643698468786811</v>
      </c>
      <c r="G57" s="113">
        <f>$C$58*G55+(1-$C$58)*G41</f>
        <v>1.0357677779700563</v>
      </c>
    </row>
    <row r="58" spans="1:12" x14ac:dyDescent="0.25">
      <c r="A58" s="100" t="s">
        <v>334</v>
      </c>
      <c r="B58" s="6"/>
      <c r="C58" s="146">
        <v>0.5</v>
      </c>
      <c r="D58" s="6"/>
      <c r="E58" s="6"/>
      <c r="F58" s="6"/>
      <c r="G58" s="6"/>
      <c r="H58" s="6"/>
    </row>
    <row r="60" spans="1:12" x14ac:dyDescent="0.25">
      <c r="A60" s="8" t="s">
        <v>125</v>
      </c>
      <c r="B60" s="8"/>
      <c r="C60" s="8"/>
      <c r="D60" s="8"/>
      <c r="E60" s="8"/>
      <c r="F60" s="8"/>
      <c r="G60" s="8"/>
      <c r="H60" s="8"/>
      <c r="I60" s="8"/>
      <c r="J60" s="8"/>
      <c r="K60" s="8"/>
      <c r="L60" s="8"/>
    </row>
    <row r="62" spans="1:12" x14ac:dyDescent="0.25">
      <c r="A62" s="5" t="s">
        <v>0</v>
      </c>
      <c r="B62" s="8" t="s">
        <v>126</v>
      </c>
      <c r="C62" s="4"/>
      <c r="D62" s="4"/>
      <c r="E62" s="4"/>
      <c r="F62" s="4"/>
      <c r="G62" s="4"/>
      <c r="H62" s="4"/>
      <c r="I62" s="4"/>
      <c r="J62" s="4"/>
      <c r="K62" s="4"/>
      <c r="L62" s="4"/>
    </row>
    <row r="63" spans="1:12" x14ac:dyDescent="0.25">
      <c r="A63" s="6"/>
      <c r="B63" s="6"/>
      <c r="C63" s="6"/>
      <c r="D63" s="6"/>
      <c r="E63" s="6"/>
      <c r="F63" s="6"/>
      <c r="G63" s="6"/>
      <c r="H63" s="6"/>
      <c r="I63" s="6"/>
      <c r="J63" s="6"/>
      <c r="K63" s="6"/>
      <c r="L63" s="6"/>
    </row>
    <row r="64" spans="1:12" x14ac:dyDescent="0.25">
      <c r="A64" s="6" t="s">
        <v>1</v>
      </c>
      <c r="B64" s="6"/>
      <c r="C64" s="6"/>
      <c r="D64" s="6"/>
      <c r="E64" s="6"/>
      <c r="F64" s="6"/>
      <c r="G64" s="6"/>
      <c r="H64" s="6"/>
      <c r="I64" s="6"/>
      <c r="J64" s="6"/>
      <c r="K64" s="6"/>
      <c r="L64" s="6"/>
    </row>
    <row r="65" spans="1:13" x14ac:dyDescent="0.25">
      <c r="A65" s="6"/>
      <c r="B65" s="6"/>
      <c r="C65" s="6"/>
      <c r="D65" s="6"/>
      <c r="E65" s="6"/>
      <c r="F65" s="6"/>
      <c r="G65" s="6"/>
      <c r="H65" s="6"/>
      <c r="I65" s="6"/>
      <c r="J65" s="6"/>
      <c r="K65" s="6"/>
      <c r="L65" s="6"/>
    </row>
    <row r="66" spans="1:13" x14ac:dyDescent="0.25">
      <c r="A66" s="6" t="s">
        <v>335</v>
      </c>
      <c r="B66" s="6"/>
      <c r="C66" s="6"/>
      <c r="D66" s="6"/>
      <c r="E66" s="6"/>
      <c r="F66" s="6"/>
      <c r="G66" s="6"/>
      <c r="H66" s="6"/>
      <c r="I66" s="6"/>
      <c r="J66" s="6"/>
      <c r="K66" s="6"/>
      <c r="L66" s="6"/>
    </row>
    <row r="67" spans="1:13" x14ac:dyDescent="0.25">
      <c r="A67" s="1" t="s">
        <v>336</v>
      </c>
    </row>
    <row r="69" spans="1:13" x14ac:dyDescent="0.25">
      <c r="A69" s="59" t="s">
        <v>127</v>
      </c>
      <c r="B69" s="8"/>
      <c r="C69" s="8"/>
      <c r="D69" s="8"/>
      <c r="E69" s="8"/>
      <c r="F69" s="8"/>
      <c r="G69" s="8"/>
      <c r="H69" s="8"/>
      <c r="I69" s="8"/>
      <c r="J69" s="8"/>
      <c r="K69" s="8"/>
      <c r="L69" s="8"/>
    </row>
    <row r="71" spans="1:13" x14ac:dyDescent="0.25">
      <c r="A71" s="5" t="s">
        <v>2</v>
      </c>
      <c r="B71" s="8" t="s">
        <v>128</v>
      </c>
      <c r="C71" s="4"/>
      <c r="D71" s="4"/>
      <c r="E71" s="4"/>
      <c r="F71" s="4"/>
      <c r="G71" s="4"/>
      <c r="H71" s="4"/>
      <c r="I71" s="4"/>
      <c r="J71" s="4"/>
      <c r="K71" s="4"/>
      <c r="L71" s="4"/>
    </row>
    <row r="72" spans="1:13" x14ac:dyDescent="0.25">
      <c r="A72" s="6"/>
      <c r="B72" s="6"/>
      <c r="C72" s="6"/>
      <c r="D72" s="6"/>
      <c r="E72" s="6"/>
      <c r="F72" s="6"/>
      <c r="G72" s="6"/>
      <c r="H72" s="6"/>
      <c r="I72" s="6"/>
      <c r="J72" s="6"/>
      <c r="K72" s="6"/>
      <c r="L72" s="6"/>
    </row>
    <row r="73" spans="1:13" x14ac:dyDescent="0.25">
      <c r="A73" s="6" t="s">
        <v>1</v>
      </c>
      <c r="B73" s="6"/>
      <c r="C73" s="6"/>
      <c r="D73" s="6"/>
      <c r="E73" s="6"/>
      <c r="F73" s="6"/>
      <c r="G73" s="6"/>
      <c r="H73" s="6"/>
      <c r="I73" s="6"/>
      <c r="J73" s="6"/>
      <c r="K73" s="6"/>
      <c r="L73" s="6"/>
    </row>
    <row r="74" spans="1:13" x14ac:dyDescent="0.25">
      <c r="A74" s="6" t="s">
        <v>337</v>
      </c>
      <c r="B74" s="6"/>
      <c r="C74" s="6"/>
      <c r="D74" s="6"/>
      <c r="E74" s="6"/>
      <c r="F74" s="6"/>
      <c r="G74" s="6"/>
      <c r="H74" s="6"/>
      <c r="I74" s="6"/>
      <c r="J74" s="6"/>
      <c r="K74" s="6"/>
      <c r="L74" s="6"/>
    </row>
    <row r="75" spans="1:13" x14ac:dyDescent="0.25">
      <c r="A75" s="6" t="s">
        <v>338</v>
      </c>
      <c r="B75" s="6"/>
      <c r="C75" s="6"/>
      <c r="D75" s="6"/>
      <c r="E75" s="6"/>
      <c r="F75" s="6"/>
      <c r="G75" s="6"/>
      <c r="H75" s="6"/>
      <c r="I75" s="6"/>
      <c r="J75" s="6"/>
      <c r="K75" s="6"/>
      <c r="L75" s="6"/>
    </row>
    <row r="76" spans="1:13" x14ac:dyDescent="0.25">
      <c r="A76" s="1" t="s">
        <v>339</v>
      </c>
    </row>
    <row r="77" spans="1:13" x14ac:dyDescent="0.25">
      <c r="A77" s="1" t="s">
        <v>340</v>
      </c>
    </row>
    <row r="78" spans="1:13" x14ac:dyDescent="0.25">
      <c r="M78" s="6"/>
    </row>
    <row r="79" spans="1:13" x14ac:dyDescent="0.25">
      <c r="M79" s="6"/>
    </row>
  </sheetData>
  <mergeCells count="17">
    <mergeCell ref="AC28:AF28"/>
    <mergeCell ref="B24:K25"/>
    <mergeCell ref="M28:P28"/>
    <mergeCell ref="Q28:T28"/>
    <mergeCell ref="U28:X28"/>
    <mergeCell ref="Y28:AB28"/>
    <mergeCell ref="R44:S44"/>
    <mergeCell ref="V44:W44"/>
    <mergeCell ref="AD44:AE44"/>
    <mergeCell ref="R30:S30"/>
    <mergeCell ref="V30:W30"/>
    <mergeCell ref="AD30:AE30"/>
    <mergeCell ref="M42:P42"/>
    <mergeCell ref="Q42:T42"/>
    <mergeCell ref="U42:X42"/>
    <mergeCell ref="Y42:AB42"/>
    <mergeCell ref="AC42:AF4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Aleshia Zionce</cp:lastModifiedBy>
  <cp:lastPrinted>2018-12-31T14:01:19Z</cp:lastPrinted>
  <dcterms:created xsi:type="dcterms:W3CDTF">2016-11-07T18:30:57Z</dcterms:created>
  <dcterms:modified xsi:type="dcterms:W3CDTF">2024-02-14T15:33:25Z</dcterms:modified>
</cp:coreProperties>
</file>