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Q:\Aleshia\Fall 2023 Solutions\"/>
    </mc:Choice>
  </mc:AlternateContent>
  <xr:revisionPtr revIDLastSave="0" documentId="8_{EE602A0D-6335-40EF-9B4B-589C96D1B640}" xr6:coauthVersionLast="47" xr6:coauthVersionMax="47" xr10:uidLastSave="{00000000-0000-0000-0000-000000000000}"/>
  <bookViews>
    <workbookView xWindow="30690" yWindow="930" windowWidth="15375" windowHeight="7815" firstSheet="1" activeTab="4" xr2:uid="{00000000-000D-0000-FFFF-FFFF00000000}"/>
  </bookViews>
  <sheets>
    <sheet name="Valuing synergy_Example" sheetId="2" state="hidden" r:id="rId1"/>
    <sheet name="From Case study" sheetId="7" r:id="rId2"/>
    <sheet name="Valuing synergy_wcorrectnumbers" sheetId="6" r:id="rId3"/>
    <sheet name="Valuing synergy_question" sheetId="4" state="hidden" r:id="rId4"/>
    <sheet name="Exhibit"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6" l="1"/>
  <c r="J8" i="6"/>
  <c r="Q12" i="6"/>
  <c r="J12" i="6"/>
  <c r="Q5" i="6"/>
  <c r="F18" i="5" l="1"/>
  <c r="E18" i="5"/>
  <c r="D18" i="5"/>
  <c r="E16" i="5"/>
  <c r="D16" i="5"/>
  <c r="F13" i="5"/>
  <c r="E13" i="5"/>
  <c r="D13" i="5"/>
  <c r="F12" i="5"/>
  <c r="E12" i="5"/>
  <c r="D12" i="5"/>
  <c r="F11" i="5"/>
  <c r="E11" i="5"/>
  <c r="D11" i="5"/>
  <c r="E10" i="5"/>
  <c r="D10" i="5"/>
  <c r="F9" i="5"/>
  <c r="E9" i="5"/>
  <c r="D9" i="5"/>
  <c r="D8" i="5"/>
  <c r="F7" i="5"/>
  <c r="E7" i="5"/>
  <c r="D7" i="5"/>
  <c r="E6" i="5"/>
  <c r="D6" i="5"/>
  <c r="F5" i="5"/>
  <c r="E5" i="5"/>
  <c r="D5" i="5"/>
  <c r="X5" i="6"/>
  <c r="J6" i="6"/>
  <c r="X42" i="6" s="1"/>
  <c r="E8" i="5"/>
  <c r="C5" i="6"/>
  <c r="C23" i="7"/>
  <c r="D23" i="7"/>
  <c r="E23" i="7"/>
  <c r="F23" i="7"/>
  <c r="K30" i="6"/>
  <c r="D30" i="6"/>
  <c r="K29" i="6"/>
  <c r="D29" i="6"/>
  <c r="K28" i="6"/>
  <c r="D28" i="6"/>
  <c r="W27" i="6"/>
  <c r="W28" i="6" s="1"/>
  <c r="W29" i="6" s="1"/>
  <c r="W30" i="6" s="1"/>
  <c r="P27" i="6"/>
  <c r="P28" i="6" s="1"/>
  <c r="P29" i="6" s="1"/>
  <c r="P30" i="6" s="1"/>
  <c r="K27" i="6"/>
  <c r="I27" i="6"/>
  <c r="I28" i="6" s="1"/>
  <c r="I29" i="6" s="1"/>
  <c r="I30" i="6" s="1"/>
  <c r="D27" i="6"/>
  <c r="B27" i="6"/>
  <c r="B28" i="6" s="1"/>
  <c r="B29" i="6" s="1"/>
  <c r="B30" i="6" s="1"/>
  <c r="K26" i="6"/>
  <c r="D26" i="6"/>
  <c r="F16" i="5"/>
  <c r="J15" i="6"/>
  <c r="C15" i="6"/>
  <c r="D14" i="5" s="1"/>
  <c r="C8" i="6"/>
  <c r="Q7" i="6"/>
  <c r="X7" i="6" s="1"/>
  <c r="F26" i="4"/>
  <c r="C42" i="4"/>
  <c r="Z8" i="4"/>
  <c r="X8" i="4" s="1"/>
  <c r="X44" i="4"/>
  <c r="X46" i="4" s="1"/>
  <c r="X10" i="4" s="1"/>
  <c r="X15" i="4" s="1"/>
  <c r="X16" i="4" s="1"/>
  <c r="X20" i="4" s="1"/>
  <c r="X21" i="4" s="1"/>
  <c r="Y31" i="4" s="1"/>
  <c r="X43" i="4"/>
  <c r="X42" i="4"/>
  <c r="Y30" i="4"/>
  <c r="W30" i="4"/>
  <c r="Y29" i="4"/>
  <c r="W29" i="4"/>
  <c r="Y28" i="4"/>
  <c r="W28" i="4"/>
  <c r="Y27" i="4"/>
  <c r="W27" i="4"/>
  <c r="Y26" i="4"/>
  <c r="X17" i="4"/>
  <c r="X7" i="4"/>
  <c r="X5" i="4"/>
  <c r="Q43" i="4"/>
  <c r="Q42" i="4"/>
  <c r="K30" i="4"/>
  <c r="D30" i="4"/>
  <c r="K29" i="4"/>
  <c r="D29" i="4"/>
  <c r="P28" i="4"/>
  <c r="P29" i="4" s="1"/>
  <c r="P30" i="4" s="1"/>
  <c r="K28" i="4"/>
  <c r="D28" i="4"/>
  <c r="P27" i="4"/>
  <c r="K27" i="4"/>
  <c r="I27" i="4"/>
  <c r="I28" i="4" s="1"/>
  <c r="I29" i="4" s="1"/>
  <c r="I30" i="4" s="1"/>
  <c r="D27" i="4"/>
  <c r="B27" i="4"/>
  <c r="B28" i="4" s="1"/>
  <c r="B29" i="4" s="1"/>
  <c r="B30" i="4" s="1"/>
  <c r="K26" i="4"/>
  <c r="J26" i="4"/>
  <c r="L26" i="4" s="1"/>
  <c r="D26" i="4"/>
  <c r="J18" i="4"/>
  <c r="Q17" i="4"/>
  <c r="R30" i="4" s="1"/>
  <c r="J15" i="4"/>
  <c r="J16" i="4" s="1"/>
  <c r="C15" i="4"/>
  <c r="C16" i="4" s="1"/>
  <c r="C20" i="4" s="1"/>
  <c r="C21" i="4" s="1"/>
  <c r="D31" i="4" s="1"/>
  <c r="K8" i="4"/>
  <c r="C8" i="4"/>
  <c r="C18" i="4" s="1"/>
  <c r="C26" i="4" s="1"/>
  <c r="Q7" i="4"/>
  <c r="Q5" i="4"/>
  <c r="Q27" i="2"/>
  <c r="Q28" i="2"/>
  <c r="Q19" i="2"/>
  <c r="R32" i="2"/>
  <c r="R27" i="2"/>
  <c r="R28" i="2"/>
  <c r="R29" i="2"/>
  <c r="R30" i="2"/>
  <c r="R31" i="2"/>
  <c r="Q11" i="2"/>
  <c r="Q47" i="2"/>
  <c r="Q45" i="2"/>
  <c r="Q44" i="2"/>
  <c r="Q43" i="2"/>
  <c r="Q18" i="2"/>
  <c r="Q9" i="2"/>
  <c r="S9" i="2"/>
  <c r="D9" i="2"/>
  <c r="K9" i="2"/>
  <c r="Q8" i="2"/>
  <c r="J8" i="2"/>
  <c r="Q5" i="2"/>
  <c r="Q6" i="2"/>
  <c r="P28" i="2"/>
  <c r="P29" i="2" s="1"/>
  <c r="P30" i="2" s="1"/>
  <c r="P31" i="2" s="1"/>
  <c r="Q16" i="2"/>
  <c r="Q17" i="2" s="1"/>
  <c r="Q21" i="2" s="1"/>
  <c r="Q22" i="2" s="1"/>
  <c r="K27" i="2"/>
  <c r="K28" i="2"/>
  <c r="K29" i="2"/>
  <c r="K30" i="2"/>
  <c r="K31" i="2"/>
  <c r="I28" i="2"/>
  <c r="I29" i="2" s="1"/>
  <c r="I30" i="2" s="1"/>
  <c r="I31" i="2" s="1"/>
  <c r="J16" i="2"/>
  <c r="J17" i="2" s="1"/>
  <c r="J21" i="2" s="1"/>
  <c r="J22" i="2" s="1"/>
  <c r="K32" i="2" s="1"/>
  <c r="J19" i="2"/>
  <c r="J27" i="2" s="1"/>
  <c r="J28" i="2" s="1"/>
  <c r="J29" i="2" s="1"/>
  <c r="J30" i="2" s="1"/>
  <c r="J31" i="2" s="1"/>
  <c r="J32" i="2" s="1"/>
  <c r="D27" i="2"/>
  <c r="D28" i="2"/>
  <c r="D29" i="2"/>
  <c r="D30" i="2"/>
  <c r="D31" i="2"/>
  <c r="B28" i="2"/>
  <c r="B29" i="2" s="1"/>
  <c r="B30" i="2" s="1"/>
  <c r="B31" i="2" s="1"/>
  <c r="C16" i="2"/>
  <c r="C17" i="2" s="1"/>
  <c r="C21" i="2" s="1"/>
  <c r="C22" i="2" s="1"/>
  <c r="D32" i="2" s="1"/>
  <c r="C9" i="2"/>
  <c r="C19" i="2" s="1"/>
  <c r="C27" i="2" s="1"/>
  <c r="E14" i="5" l="1"/>
  <c r="J20" i="6"/>
  <c r="Q6" i="6"/>
  <c r="F6" i="5" s="1"/>
  <c r="Q43" i="6"/>
  <c r="J18" i="6"/>
  <c r="C18" i="6"/>
  <c r="Q42" i="6"/>
  <c r="D8" i="6"/>
  <c r="Z8" i="6" s="1"/>
  <c r="X8" i="6" s="1"/>
  <c r="R27" i="6"/>
  <c r="R28" i="6"/>
  <c r="R29" i="6"/>
  <c r="R30" i="6"/>
  <c r="X17" i="6"/>
  <c r="R26" i="6"/>
  <c r="Y26" i="6"/>
  <c r="Y27" i="6"/>
  <c r="Y28" i="6"/>
  <c r="Y29" i="6"/>
  <c r="Y30" i="6"/>
  <c r="X18" i="4"/>
  <c r="X26" i="4" s="1"/>
  <c r="Z26" i="4" s="1"/>
  <c r="AA26" i="4" s="1"/>
  <c r="AB26" i="4" s="1"/>
  <c r="J20" i="4"/>
  <c r="R28" i="4"/>
  <c r="R27" i="4"/>
  <c r="E26" i="4"/>
  <c r="G26" i="4" s="1"/>
  <c r="C27" i="4"/>
  <c r="M26" i="4"/>
  <c r="N26" i="4" s="1"/>
  <c r="R29" i="4"/>
  <c r="D8" i="4"/>
  <c r="S8" i="4" s="1"/>
  <c r="R26" i="4"/>
  <c r="J27" i="4"/>
  <c r="L27" i="4" s="1"/>
  <c r="Q29" i="2"/>
  <c r="Q30" i="2" s="1"/>
  <c r="Q31" i="2" s="1"/>
  <c r="Q32" i="2" s="1"/>
  <c r="C28" i="2"/>
  <c r="E27" i="2"/>
  <c r="F27" i="2" s="1"/>
  <c r="G27" i="2" s="1"/>
  <c r="L27" i="2"/>
  <c r="M27" i="2" s="1"/>
  <c r="N27" i="2" s="1"/>
  <c r="E15" i="5" l="1"/>
  <c r="C20" i="6"/>
  <c r="D15" i="5"/>
  <c r="C26" i="6"/>
  <c r="C27" i="6" s="1"/>
  <c r="E27" i="6" s="1"/>
  <c r="D17" i="5"/>
  <c r="J26" i="6"/>
  <c r="J27" i="6" s="1"/>
  <c r="L27" i="6" s="1"/>
  <c r="E17" i="5"/>
  <c r="X18" i="6"/>
  <c r="X26" i="6" s="1"/>
  <c r="Z26" i="6" s="1"/>
  <c r="AA26" i="6" s="1"/>
  <c r="AB26" i="6" s="1"/>
  <c r="E26" i="6"/>
  <c r="F26" i="6" s="1"/>
  <c r="G26" i="6" s="1"/>
  <c r="S8" i="6"/>
  <c r="F8" i="5" s="1"/>
  <c r="F27" i="6"/>
  <c r="G27" i="6" s="1"/>
  <c r="C28" i="6"/>
  <c r="X27" i="4"/>
  <c r="Z27" i="4" s="1"/>
  <c r="J21" i="4"/>
  <c r="Q18" i="4"/>
  <c r="Q26" i="4" s="1"/>
  <c r="Q8" i="4"/>
  <c r="C28" i="4"/>
  <c r="E27" i="4"/>
  <c r="F27" i="4" s="1"/>
  <c r="G27" i="4" s="1"/>
  <c r="M27" i="4"/>
  <c r="N27" i="4" s="1"/>
  <c r="J28" i="4"/>
  <c r="S27" i="2"/>
  <c r="T27" i="2" s="1"/>
  <c r="U27" i="2" s="1"/>
  <c r="S28" i="2"/>
  <c r="T28" i="2" s="1"/>
  <c r="U28" i="2" s="1"/>
  <c r="C29" i="2"/>
  <c r="E28" i="2"/>
  <c r="F28" i="2" s="1"/>
  <c r="G28" i="2" s="1"/>
  <c r="L28" i="2"/>
  <c r="M28" i="2" s="1"/>
  <c r="N28" i="2" s="1"/>
  <c r="D19" i="5" l="1"/>
  <c r="J28" i="6"/>
  <c r="J29" i="6" s="1"/>
  <c r="M27" i="6"/>
  <c r="N27" i="6" s="1"/>
  <c r="L26" i="6"/>
  <c r="M26" i="6" s="1"/>
  <c r="N26" i="6" s="1"/>
  <c r="E19" i="5"/>
  <c r="Q18" i="6"/>
  <c r="Q26" i="6" s="1"/>
  <c r="C29" i="6"/>
  <c r="E28" i="6"/>
  <c r="F28" i="6" s="1"/>
  <c r="G28" i="6" s="1"/>
  <c r="X28" i="4"/>
  <c r="AA27" i="4"/>
  <c r="AB27" i="4" s="1"/>
  <c r="X29" i="4"/>
  <c r="Z28" i="4"/>
  <c r="AA28" i="4" s="1"/>
  <c r="AB28" i="4" s="1"/>
  <c r="K31" i="4"/>
  <c r="Q27" i="4"/>
  <c r="E28" i="4"/>
  <c r="F28" i="4" s="1"/>
  <c r="G28" i="4" s="1"/>
  <c r="C29" i="4"/>
  <c r="S26" i="4"/>
  <c r="T26" i="4" s="1"/>
  <c r="U26" i="4" s="1"/>
  <c r="J29" i="4"/>
  <c r="L28" i="4"/>
  <c r="M28" i="4" s="1"/>
  <c r="N28" i="4" s="1"/>
  <c r="S29" i="2"/>
  <c r="T29" i="2" s="1"/>
  <c r="U29" i="2" s="1"/>
  <c r="C30" i="2"/>
  <c r="E29" i="2"/>
  <c r="F29" i="2" s="1"/>
  <c r="G29" i="2" s="1"/>
  <c r="L29" i="2"/>
  <c r="M29" i="2" s="1"/>
  <c r="N29" i="2" s="1"/>
  <c r="S26" i="6" l="1"/>
  <c r="T26" i="6" s="1"/>
  <c r="U26" i="6" s="1"/>
  <c r="F17" i="5"/>
  <c r="K31" i="6"/>
  <c r="E20" i="5"/>
  <c r="L28" i="6"/>
  <c r="M28" i="6" s="1"/>
  <c r="N28" i="6" s="1"/>
  <c r="D31" i="6"/>
  <c r="D20" i="5"/>
  <c r="X27" i="6"/>
  <c r="Z27" i="6" s="1"/>
  <c r="C30" i="6"/>
  <c r="E29" i="6"/>
  <c r="F29" i="6" s="1"/>
  <c r="G29" i="6" s="1"/>
  <c r="J30" i="6"/>
  <c r="L29" i="6"/>
  <c r="M29" i="6" s="1"/>
  <c r="N29" i="6" s="1"/>
  <c r="X30" i="4"/>
  <c r="Z29" i="4"/>
  <c r="AA29" i="4" s="1"/>
  <c r="AB29" i="4" s="1"/>
  <c r="Q28" i="4"/>
  <c r="S27" i="4"/>
  <c r="T27" i="4" s="1"/>
  <c r="U27" i="4" s="1"/>
  <c r="C30" i="4"/>
  <c r="E29" i="4"/>
  <c r="F29" i="4" s="1"/>
  <c r="G29" i="4" s="1"/>
  <c r="L29" i="4"/>
  <c r="M29" i="4" s="1"/>
  <c r="N29" i="4" s="1"/>
  <c r="J30" i="4"/>
  <c r="S30" i="2"/>
  <c r="T30" i="2" s="1"/>
  <c r="U30" i="2" s="1"/>
  <c r="C31" i="2"/>
  <c r="E30" i="2"/>
  <c r="F30" i="2" s="1"/>
  <c r="G30" i="2" s="1"/>
  <c r="L30" i="2"/>
  <c r="M30" i="2" s="1"/>
  <c r="N30" i="2" s="1"/>
  <c r="Q27" i="6" l="1"/>
  <c r="S27" i="6" s="1"/>
  <c r="T27" i="6" s="1"/>
  <c r="U27" i="6" s="1"/>
  <c r="AA27" i="6"/>
  <c r="AB27" i="6" s="1"/>
  <c r="X28" i="6"/>
  <c r="X29" i="6" s="1"/>
  <c r="X30" i="6" s="1"/>
  <c r="C31" i="6"/>
  <c r="E30" i="6"/>
  <c r="F30" i="6" s="1"/>
  <c r="G30" i="6" s="1"/>
  <c r="J31" i="6"/>
  <c r="L30" i="6"/>
  <c r="M30" i="6" s="1"/>
  <c r="N30" i="6" s="1"/>
  <c r="X31" i="4"/>
  <c r="Z30" i="4"/>
  <c r="AA30" i="4" s="1"/>
  <c r="AB30" i="4" s="1"/>
  <c r="C31" i="4"/>
  <c r="E30" i="4"/>
  <c r="F30" i="4" s="1"/>
  <c r="G30" i="4" s="1"/>
  <c r="Q29" i="4"/>
  <c r="S28" i="4"/>
  <c r="T28" i="4" s="1"/>
  <c r="U28" i="4" s="1"/>
  <c r="J31" i="4"/>
  <c r="L30" i="4"/>
  <c r="M30" i="4" s="1"/>
  <c r="N30" i="4" s="1"/>
  <c r="S31" i="2"/>
  <c r="T31" i="2" s="1"/>
  <c r="U31" i="2" s="1"/>
  <c r="C32" i="2"/>
  <c r="E31" i="2"/>
  <c r="F31" i="2" s="1"/>
  <c r="G31" i="2" s="1"/>
  <c r="L31" i="2"/>
  <c r="M31" i="2" s="1"/>
  <c r="Q28" i="6" l="1"/>
  <c r="Q29" i="6" s="1"/>
  <c r="Z29" i="6"/>
  <c r="AA29" i="6" s="1"/>
  <c r="AB29" i="6" s="1"/>
  <c r="Z28" i="6"/>
  <c r="AA28" i="6" s="1"/>
  <c r="AB28" i="6" s="1"/>
  <c r="L31" i="6"/>
  <c r="M31" i="6" s="1"/>
  <c r="M32" i="6" s="1"/>
  <c r="N32" i="6" s="1"/>
  <c r="N33" i="6" s="1"/>
  <c r="J34" i="6" s="1"/>
  <c r="E31" i="6"/>
  <c r="F31" i="6" s="1"/>
  <c r="F32" i="6" s="1"/>
  <c r="G32" i="6" s="1"/>
  <c r="X31" i="6"/>
  <c r="Z30" i="6"/>
  <c r="AA30" i="6" s="1"/>
  <c r="AB30" i="6" s="1"/>
  <c r="Z31" i="4"/>
  <c r="AA31" i="4" s="1"/>
  <c r="AA32" i="4" s="1"/>
  <c r="AB32" i="4" s="1"/>
  <c r="AB33" i="4" s="1"/>
  <c r="X34" i="4" s="1"/>
  <c r="E31" i="4"/>
  <c r="F31" i="4" s="1"/>
  <c r="F32" i="4" s="1"/>
  <c r="G32" i="4" s="1"/>
  <c r="G33" i="4" s="1"/>
  <c r="C34" i="4" s="1"/>
  <c r="Q30" i="4"/>
  <c r="S29" i="4"/>
  <c r="T29" i="4" s="1"/>
  <c r="U29" i="4" s="1"/>
  <c r="L31" i="4"/>
  <c r="M31" i="4" s="1"/>
  <c r="M32" i="4" s="1"/>
  <c r="N32" i="4" s="1"/>
  <c r="N33" i="4" s="1"/>
  <c r="J34" i="4" s="1"/>
  <c r="S32" i="2"/>
  <c r="T32" i="2" s="1"/>
  <c r="T33" i="2" s="1"/>
  <c r="U33" i="2" s="1"/>
  <c r="U34" i="2" s="1"/>
  <c r="Q35" i="2" s="1"/>
  <c r="C40" i="2" s="1"/>
  <c r="C41" i="2" s="1"/>
  <c r="E32" i="2"/>
  <c r="F32" i="2" s="1"/>
  <c r="F33" i="2" s="1"/>
  <c r="G33" i="2" s="1"/>
  <c r="G34" i="2" s="1"/>
  <c r="C35" i="2" s="1"/>
  <c r="C37" i="2" s="1"/>
  <c r="N31" i="2"/>
  <c r="L32" i="2"/>
  <c r="M32" i="2" s="1"/>
  <c r="M33" i="2" s="1"/>
  <c r="N33" i="2" s="1"/>
  <c r="N34" i="2" s="1"/>
  <c r="J35" i="2" s="1"/>
  <c r="G33" i="6" l="1"/>
  <c r="C34" i="6" s="1"/>
  <c r="S28" i="6"/>
  <c r="T28" i="6" s="1"/>
  <c r="U28" i="6" s="1"/>
  <c r="Q30" i="6"/>
  <c r="S29" i="6"/>
  <c r="T29" i="6" s="1"/>
  <c r="U29" i="6" s="1"/>
  <c r="C37" i="6"/>
  <c r="C38" i="4"/>
  <c r="C37" i="4"/>
  <c r="C36" i="4"/>
  <c r="Q44" i="4"/>
  <c r="Q46" i="4" s="1"/>
  <c r="Q10" i="4" s="1"/>
  <c r="Q15" i="4" s="1"/>
  <c r="Q16" i="4" s="1"/>
  <c r="Q20" i="4" s="1"/>
  <c r="Q21" i="4" s="1"/>
  <c r="R31" i="4" s="1"/>
  <c r="Q31" i="4"/>
  <c r="S30" i="4"/>
  <c r="T30" i="4" s="1"/>
  <c r="U30" i="4" s="1"/>
  <c r="C38" i="2"/>
  <c r="C39" i="2"/>
  <c r="Q44" i="6" l="1"/>
  <c r="Q46" i="6" s="1"/>
  <c r="Q10" i="6" s="1"/>
  <c r="F10" i="5" s="1"/>
  <c r="C38" i="6"/>
  <c r="C36" i="6"/>
  <c r="Q31" i="6"/>
  <c r="S30" i="6"/>
  <c r="T30" i="6" s="1"/>
  <c r="U30" i="6" s="1"/>
  <c r="S31" i="4"/>
  <c r="T31" i="4" s="1"/>
  <c r="T32" i="4" s="1"/>
  <c r="U32" i="4" s="1"/>
  <c r="U33" i="4" s="1"/>
  <c r="Q34" i="4" s="1"/>
  <c r="C39" i="4" s="1"/>
  <c r="C40" i="4" s="1"/>
  <c r="Q15" i="6" l="1"/>
  <c r="Q16" i="6" s="1"/>
  <c r="X43" i="6"/>
  <c r="F14" i="5" l="1"/>
  <c r="Q20" i="6"/>
  <c r="F15" i="5"/>
  <c r="F19" i="5" l="1"/>
  <c r="R31" i="6" l="1"/>
  <c r="S31" i="6" s="1"/>
  <c r="T31" i="6" s="1"/>
  <c r="T32" i="6" s="1"/>
  <c r="U32" i="6" s="1"/>
  <c r="U33" i="6" s="1"/>
  <c r="Q34" i="6" s="1"/>
  <c r="F20" i="5"/>
  <c r="C39" i="6" l="1"/>
  <c r="C40" i="6" s="1"/>
  <c r="C42" i="6" s="1"/>
  <c r="X44" i="6"/>
  <c r="X46" i="6" s="1"/>
  <c r="X10" i="6" s="1"/>
  <c r="X15" i="6" s="1"/>
  <c r="X16" i="6" s="1"/>
  <c r="X20" i="6" s="1"/>
  <c r="X21" i="6" s="1"/>
  <c r="Y31" i="6" s="1"/>
  <c r="Z31" i="6" s="1"/>
  <c r="AA31" i="6" s="1"/>
  <c r="AA32" i="6" s="1"/>
  <c r="AB32" i="6" s="1"/>
  <c r="AB33" i="6" s="1"/>
  <c r="X34" i="6" s="1"/>
</calcChain>
</file>

<file path=xl/sharedStrings.xml><?xml version="1.0" encoding="utf-8"?>
<sst xmlns="http://schemas.openxmlformats.org/spreadsheetml/2006/main" count="416" uniqueCount="84">
  <si>
    <t>P&amp;G</t>
  </si>
  <si>
    <t>EBIT</t>
  </si>
  <si>
    <t>Tax rate</t>
  </si>
  <si>
    <t>total capital invested</t>
  </si>
  <si>
    <t>pretax RoC</t>
  </si>
  <si>
    <t>Revs</t>
  </si>
  <si>
    <t>debt to cap ratio</t>
  </si>
  <si>
    <t>beta</t>
  </si>
  <si>
    <t>pre tax cost of debt</t>
  </si>
  <si>
    <t>rf</t>
  </si>
  <si>
    <t>risk premium</t>
  </si>
  <si>
    <t>cost of capital</t>
  </si>
  <si>
    <t>cost of equity</t>
  </si>
  <si>
    <t>reinvestment rate</t>
  </si>
  <si>
    <t>growth rate</t>
  </si>
  <si>
    <t>terminal growth rate</t>
  </si>
  <si>
    <t>at terminal, after tax RoC</t>
  </si>
  <si>
    <t>&lt;-- same as cost of capital</t>
  </si>
  <si>
    <t>terminal reinvestment rate</t>
  </si>
  <si>
    <t>P&amp;G CFs:</t>
  </si>
  <si>
    <t>year</t>
  </si>
  <si>
    <t>EBIT(1-T)</t>
  </si>
  <si>
    <t>RR</t>
  </si>
  <si>
    <t>RR (%)</t>
  </si>
  <si>
    <t>FCFF</t>
  </si>
  <si>
    <t>Terminal value</t>
  </si>
  <si>
    <t>Terminal year</t>
  </si>
  <si>
    <t>5 year value</t>
  </si>
  <si>
    <t>Total company value</t>
  </si>
  <si>
    <t>Gillete</t>
  </si>
  <si>
    <t>Gillete CFs:</t>
  </si>
  <si>
    <t>Gillete value</t>
  </si>
  <si>
    <t>P&amp;G's value</t>
  </si>
  <si>
    <t>Combined with synergy</t>
  </si>
  <si>
    <t>AT</t>
  </si>
  <si>
    <t>beta of the combined firm</t>
  </si>
  <si>
    <t>P&amp;G's unlevered beta</t>
  </si>
  <si>
    <t>Gillet's unlevered beta</t>
  </si>
  <si>
    <t>unlevered combined beta</t>
  </si>
  <si>
    <t>levered beta</t>
  </si>
  <si>
    <t>Combined firm value wo synergy</t>
  </si>
  <si>
    <t>Combined firm value w synergy</t>
  </si>
  <si>
    <t>Value of Synergy</t>
  </si>
  <si>
    <t>Acquirer</t>
  </si>
  <si>
    <t>Target</t>
  </si>
  <si>
    <t>Target's value</t>
  </si>
  <si>
    <t>Acquirer's value</t>
  </si>
  <si>
    <t>Combined</t>
  </si>
  <si>
    <t>Cost synergy</t>
  </si>
  <si>
    <t>Synergy realized after 3 years</t>
  </si>
  <si>
    <t>Growth synergy</t>
  </si>
  <si>
    <t>the synergy to value can also be that of high growth. it can be set in the context of WeWork type startups where high growth is focused and not what price its coming at</t>
  </si>
  <si>
    <t>^ this question can also be developed to ask about excutive hubris</t>
  </si>
  <si>
    <t>Snappy Life</t>
  </si>
  <si>
    <t>Summary of Operations (in 000s)</t>
  </si>
  <si>
    <t>Premiums</t>
  </si>
  <si>
    <t>Net investment income</t>
  </si>
  <si>
    <t>Total Revenues</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</si>
  <si>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</si>
  <si>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</si>
  <si>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</si>
  <si>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</si>
  <si>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</si>
  <si>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</si>
  <si>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</si>
  <si>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</si>
  <si>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</si>
  <si>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</si>
  <si>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Net Income</t>
  </si>
  <si>
    <t>Balance Sheet (in 000s)</t>
  </si>
  <si>
    <t>Assets</t>
  </si>
  <si>
    <t>Bonds</t>
  </si>
  <si>
    <t>Cash</t>
  </si>
  <si>
    <t>Furniture and Equipment</t>
  </si>
  <si>
    <t>Total Assets</t>
  </si>
  <si>
    <t>Liabilities</t>
  </si>
  <si>
    <t>Statutory Reserves</t>
  </si>
  <si>
    <t>Surplus</t>
  </si>
  <si>
    <t>Snarky Solutions</t>
  </si>
  <si>
    <t>Snappy's CFs:</t>
  </si>
  <si>
    <t>Snarky CFs:</t>
  </si>
  <si>
    <t>Combined CFs:</t>
  </si>
  <si>
    <t>Snappy's unlevered beta</t>
  </si>
  <si>
    <t>Snarky's unlevered beta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</si>
</sst>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_-* #,##0_-;\-* #,##0_-;_-* &quot;-&quot;??_-;_-@_-"/>
    <numFmt numFmtId="167" formatCode="0.000%"/>
  </numFmts>
  <fonts count="9"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sz val="10"/>
      <color theme="1"/>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0" xfId="0" applyFont="1"/>
    <xf numFmtId="0" fontId="3" fillId="0" borderId="0" xfId="0" applyFont="1"/>
    <xf numFmtId="166" fontId="2" fillId="0" borderId="0" xfId="1" applyNumberFormat="1" applyFont="1"/>
    <xf numFmtId="9" fontId="2" fillId="0" borderId="0" xfId="0" applyNumberFormat="1" applyFont="1"/>
    <xf numFmtId="0" fontId="2" fillId="2" borderId="0" xfId="0" applyFont="1" applyFill="1"/>
    <xf numFmtId="165" fontId="2" fillId="2" borderId="0" xfId="2" applyNumberFormat="1" applyFont="1" applyFill="1"/>
    <xf numFmtId="10" fontId="2" fillId="0" borderId="0" xfId="0" applyNumberFormat="1" applyFont="1"/>
    <xf numFmtId="10" fontId="2" fillId="2" borderId="0" xfId="0" applyNumberFormat="1" applyFont="1" applyFill="1"/>
    <xf numFmtId="10" fontId="2" fillId="2" borderId="0" xfId="2" applyNumberFormat="1" applyFont="1" applyFill="1"/>
    <xf numFmtId="166" fontId="2" fillId="0" borderId="0" xfId="0" applyNumberFormat="1" applyFont="1"/>
    <xf numFmtId="164" fontId="2" fillId="0" borderId="0" xfId="0" applyNumberFormat="1" applyFont="1"/>
    <xf numFmtId="164" fontId="3" fillId="0" borderId="0" xfId="0" applyNumberFormat="1" applyFont="1"/>
    <xf numFmtId="166" fontId="2" fillId="0" borderId="0" xfId="1" applyNumberFormat="1" applyFont="1" applyFill="1"/>
    <xf numFmtId="165" fontId="2" fillId="0" borderId="0" xfId="0" applyNumberFormat="1" applyFont="1"/>
    <xf numFmtId="165" fontId="2" fillId="0" borderId="0" xfId="2" applyNumberFormat="1" applyFont="1"/>
    <xf numFmtId="10" fontId="2" fillId="0" borderId="0" xfId="2" applyNumberFormat="1" applyFont="1"/>
    <xf numFmtId="165" fontId="2" fillId="2" borderId="0" xfId="0" applyNumberFormat="1" applyFont="1" applyFill="1"/>
    <xf numFmtId="2" fontId="2" fillId="2" borderId="0" xfId="0" applyNumberFormat="1" applyFont="1" applyFill="1"/>
    <xf numFmtId="167" fontId="2" fillId="2" borderId="0" xfId="2" applyNumberFormat="1" applyFont="1" applyFill="1"/>
    <xf numFmtId="165" fontId="2" fillId="0" borderId="0" xfId="2" applyNumberFormat="1" applyFont="1" applyFill="1"/>
    <xf numFmtId="10" fontId="2" fillId="0" borderId="0" xfId="2" applyNumberFormat="1" applyFont="1" applyFill="1"/>
    <xf numFmtId="2" fontId="2" fillId="0" borderId="0" xfId="0" applyNumberFormat="1" applyFont="1"/>
    <xf numFmtId="0" fontId="4" fillId="0" borderId="0" xfId="0" applyFont="1"/>
    <xf numFmtId="166" fontId="3" fillId="0" borderId="0" xfId="0" applyNumberFormat="1" applyFont="1"/>
    <xf numFmtId="0" fontId="6" fillId="0" borderId="0" xfId="0" applyFont="1" applyAlignment="1">
      <alignment vertical="center"/>
    </xf>
    <xf numFmtId="0" fontId="5" fillId="0" borderId="0" xfId="0" applyFont="1"/>
    <xf numFmtId="0" fontId="7" fillId="0" borderId="1" xfId="0" applyFont="1" applyBorder="1" applyAlignment="1">
      <alignment vertical="center"/>
    </xf>
    <xf numFmtId="0" fontId="6" fillId="0" borderId="2" xfId="0" applyFont="1" applyBorder="1" applyAlignment="1">
      <alignment horizontal="right" vertical="center"/>
    </xf>
    <xf numFmtId="0" fontId="7" fillId="0" borderId="3" xfId="0" applyFont="1" applyBorder="1" applyAlignment="1">
      <alignment vertical="center"/>
    </xf>
    <xf numFmtId="0" fontId="7" fillId="0" borderId="4" xfId="0" applyFont="1" applyBorder="1" applyAlignment="1">
      <alignment vertical="center"/>
    </xf>
    <xf numFmtId="3" fontId="7" fillId="0" borderId="4" xfId="0" applyNumberFormat="1" applyFont="1" applyBorder="1" applyAlignment="1">
      <alignment horizontal="right" vertical="center"/>
    </xf>
    <xf numFmtId="0" fontId="7" fillId="0" borderId="4" xfId="0" applyFont="1" applyBorder="1" applyAlignment="1">
      <alignment horizontal="right" vertical="center"/>
    </xf>
    <xf numFmtId="0" fontId="6" fillId="0" borderId="3" xfId="0" applyFont="1" applyBorder="1" applyAlignment="1">
      <alignment vertical="center"/>
    </xf>
    <xf numFmtId="3" fontId="6" fillId="0" borderId="4" xfId="0" applyNumberFormat="1" applyFont="1" applyBorder="1" applyAlignment="1">
      <alignment horizontal="right" vertical="center"/>
    </xf>
    <xf numFmtId="0" fontId="6" fillId="0" borderId="4" xfId="0" applyFont="1" applyBorder="1" applyAlignment="1">
      <alignment horizontal="right" vertical="center"/>
    </xf>
    <xf numFmtId="9" fontId="2" fillId="0" borderId="0" xfId="2" applyFont="1"/>
    <xf numFmtId="9" fontId="8" fillId="0" borderId="0" xfId="2" applyFont="1"/>
    <xf numFmtId="10" fontId="2" fillId="3" borderId="0" xfId="0" applyNumberFormat="1" applyFont="1" applyFill="1"/>
    <xf numFmtId="10" fontId="4" fillId="4" borderId="0" xfId="2" applyNumberFormat="1" applyFont="1" applyFill="1"/>
    <xf numFmtId="165" fontId="2" fillId="4" borderId="0" xfId="2" applyNumberFormat="1" applyFont="1" applyFill="1"/>
    <xf numFmtId="165" fontId="4" fillId="4" borderId="0" xfId="0" applyNumberFormat="1" applyFont="1" applyFill="1"/>
    <xf numFmtId="10" fontId="4" fillId="4" borderId="0" xfId="0" applyNumberFormat="1" applyFont="1" applyFill="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C8E8-F6A2-4564-A921-211DC90798A3}">
  <dimension ref="B4:U47"/>
  <sheetViews>
    <sheetView workbookViewId="0">
      <selection activeCell="E45" sqref="E45"/>
    </sheetView>
  </sheetViews>
  <sheetFormatPr defaultColWidth="9.140625" defaultRowHeight="12" x14ac:dyDescent="0.2"/>
  <cols>
    <col min="1" max="1" width="2.42578125" style="1" customWidth="1"/>
    <col min="2" max="2" width="25.5703125" style="1" bestFit="1" customWidth="1"/>
    <col min="3" max="3" width="21" style="1" bestFit="1" customWidth="1"/>
    <col min="4" max="4" width="6.28515625" style="1" customWidth="1"/>
    <col min="5" max="5" width="6" style="1" bestFit="1" customWidth="1"/>
    <col min="6" max="6" width="8.140625" style="1" bestFit="1" customWidth="1"/>
    <col min="7" max="7" width="9.85546875" style="1" bestFit="1" customWidth="1"/>
    <col min="8" max="8" width="9.140625" style="1"/>
    <col min="9" max="9" width="25.5703125" style="1" bestFit="1" customWidth="1"/>
    <col min="10" max="10" width="10.5703125" style="1" bestFit="1" customWidth="1"/>
    <col min="11" max="11" width="9.28515625" style="1" customWidth="1"/>
    <col min="12" max="12" width="6" style="1" bestFit="1" customWidth="1"/>
    <col min="13" max="14" width="6.85546875" style="1" bestFit="1" customWidth="1"/>
    <col min="15" max="15" width="9.140625" style="1"/>
    <col min="16" max="16" width="25.5703125" style="1" bestFit="1" customWidth="1"/>
    <col min="17" max="17" width="11.5703125" style="1" bestFit="1" customWidth="1"/>
    <col min="18" max="18" width="6.5703125" style="1" customWidth="1"/>
    <col min="19" max="19" width="17.5703125" style="1" bestFit="1" customWidth="1"/>
    <col min="20" max="21" width="7.7109375" style="1" bestFit="1" customWidth="1"/>
    <col min="22" max="16384" width="9.140625" style="1"/>
  </cols>
  <sheetData>
    <row r="4" spans="2:19" x14ac:dyDescent="0.2">
      <c r="B4" s="2" t="s">
        <v>0</v>
      </c>
      <c r="I4" s="2" t="s">
        <v>29</v>
      </c>
      <c r="P4" s="2" t="s">
        <v>33</v>
      </c>
    </row>
    <row r="5" spans="2:19" x14ac:dyDescent="0.2">
      <c r="B5" s="1" t="s">
        <v>1</v>
      </c>
      <c r="C5" s="3">
        <v>10927</v>
      </c>
      <c r="I5" s="1" t="s">
        <v>1</v>
      </c>
      <c r="J5" s="3">
        <v>2645</v>
      </c>
      <c r="P5" s="1" t="s">
        <v>1</v>
      </c>
      <c r="Q5" s="3">
        <f>J5+C5+200</f>
        <v>13772</v>
      </c>
    </row>
    <row r="6" spans="2:19" x14ac:dyDescent="0.2">
      <c r="B6" s="1" t="s">
        <v>5</v>
      </c>
      <c r="C6" s="3">
        <v>56741</v>
      </c>
      <c r="I6" s="1" t="s">
        <v>5</v>
      </c>
      <c r="J6" s="3">
        <v>10477</v>
      </c>
      <c r="P6" s="1" t="s">
        <v>5</v>
      </c>
      <c r="Q6" s="3">
        <f t="shared" ref="Q6" si="0">J6+C6</f>
        <v>67218</v>
      </c>
    </row>
    <row r="7" spans="2:19" x14ac:dyDescent="0.2">
      <c r="B7" s="1" t="s">
        <v>2</v>
      </c>
      <c r="C7" s="4">
        <v>0.35</v>
      </c>
      <c r="I7" s="1" t="s">
        <v>2</v>
      </c>
      <c r="J7" s="4">
        <v>0.35</v>
      </c>
      <c r="P7" s="1" t="s">
        <v>2</v>
      </c>
      <c r="Q7" s="4">
        <v>0.35</v>
      </c>
    </row>
    <row r="8" spans="2:19" x14ac:dyDescent="0.2">
      <c r="B8" s="1" t="s">
        <v>3</v>
      </c>
      <c r="C8" s="3">
        <v>38119</v>
      </c>
      <c r="I8" s="1" t="s">
        <v>3</v>
      </c>
      <c r="J8" s="3">
        <f>J5/J9</f>
        <v>10580</v>
      </c>
      <c r="P8" s="1" t="s">
        <v>3</v>
      </c>
      <c r="Q8" s="3">
        <f>J8+C8</f>
        <v>48699</v>
      </c>
    </row>
    <row r="9" spans="2:19" x14ac:dyDescent="0.2">
      <c r="B9" s="5" t="s">
        <v>4</v>
      </c>
      <c r="C9" s="6">
        <f>C5/C8</f>
        <v>0.28665494897557647</v>
      </c>
      <c r="D9" s="15">
        <f>C9*(1-C7)</f>
        <v>0.18632571683412472</v>
      </c>
      <c r="I9" s="5" t="s">
        <v>4</v>
      </c>
      <c r="J9" s="6">
        <v>0.25</v>
      </c>
      <c r="K9" s="14">
        <f>J9*(1-J7)</f>
        <v>0.16250000000000001</v>
      </c>
      <c r="P9" s="5" t="s">
        <v>4</v>
      </c>
      <c r="Q9" s="6">
        <f>S9/(1-Q7)</f>
        <v>0.29407616962597555</v>
      </c>
      <c r="R9" s="1" t="s">
        <v>34</v>
      </c>
      <c r="S9" s="16">
        <f>1%+(D9*C8+K9*J8)/Q8</f>
        <v>0.19114951025688412</v>
      </c>
    </row>
    <row r="10" spans="2:19" x14ac:dyDescent="0.2">
      <c r="B10" s="1" t="s">
        <v>6</v>
      </c>
      <c r="C10" s="4">
        <v>0.1</v>
      </c>
      <c r="I10" s="1" t="s">
        <v>6</v>
      </c>
      <c r="J10" s="4">
        <v>0.1</v>
      </c>
      <c r="P10" s="1" t="s">
        <v>6</v>
      </c>
      <c r="Q10" s="4">
        <v>0.1</v>
      </c>
    </row>
    <row r="11" spans="2:19" x14ac:dyDescent="0.2">
      <c r="B11" s="1" t="s">
        <v>7</v>
      </c>
      <c r="C11" s="1">
        <v>0.8</v>
      </c>
      <c r="I11" s="1" t="s">
        <v>7</v>
      </c>
      <c r="J11" s="1">
        <v>0.9</v>
      </c>
      <c r="P11" s="1" t="s">
        <v>7</v>
      </c>
      <c r="Q11" s="18">
        <f>Q47</f>
        <v>0.81860439002911134</v>
      </c>
    </row>
    <row r="12" spans="2:19" x14ac:dyDescent="0.2">
      <c r="B12" s="1" t="s">
        <v>8</v>
      </c>
      <c r="C12" s="4">
        <v>0.05</v>
      </c>
      <c r="I12" s="1" t="s">
        <v>8</v>
      </c>
      <c r="J12" s="4">
        <v>0.05</v>
      </c>
      <c r="P12" s="1" t="s">
        <v>8</v>
      </c>
      <c r="Q12" s="4">
        <v>0.05</v>
      </c>
    </row>
    <row r="13" spans="2:19" x14ac:dyDescent="0.2">
      <c r="B13" s="1" t="s">
        <v>9</v>
      </c>
      <c r="C13" s="7">
        <v>4.2500000000000003E-2</v>
      </c>
      <c r="I13" s="1" t="s">
        <v>9</v>
      </c>
      <c r="J13" s="7">
        <v>4.2500000000000003E-2</v>
      </c>
      <c r="P13" s="1" t="s">
        <v>9</v>
      </c>
      <c r="Q13" s="7">
        <v>4.2500000000000003E-2</v>
      </c>
    </row>
    <row r="14" spans="2:19" x14ac:dyDescent="0.2">
      <c r="B14" s="1" t="s">
        <v>10</v>
      </c>
      <c r="C14" s="4">
        <v>0.04</v>
      </c>
      <c r="I14" s="1" t="s">
        <v>10</v>
      </c>
      <c r="J14" s="4">
        <v>0.04</v>
      </c>
      <c r="P14" s="1" t="s">
        <v>10</v>
      </c>
      <c r="Q14" s="4">
        <v>0.04</v>
      </c>
    </row>
    <row r="15" spans="2:19" x14ac:dyDescent="0.2">
      <c r="B15" s="5" t="s">
        <v>11</v>
      </c>
      <c r="C15" s="5"/>
      <c r="I15" s="5" t="s">
        <v>11</v>
      </c>
      <c r="J15" s="5"/>
      <c r="P15" s="5" t="s">
        <v>11</v>
      </c>
      <c r="Q15" s="5"/>
    </row>
    <row r="16" spans="2:19" x14ac:dyDescent="0.2">
      <c r="B16" s="5" t="s">
        <v>12</v>
      </c>
      <c r="C16" s="8">
        <f>C13+C14*C11</f>
        <v>7.4500000000000011E-2</v>
      </c>
      <c r="I16" s="5" t="s">
        <v>12</v>
      </c>
      <c r="J16" s="8">
        <f>J13+J14*J11</f>
        <v>7.8500000000000014E-2</v>
      </c>
      <c r="P16" s="5" t="s">
        <v>12</v>
      </c>
      <c r="Q16" s="8">
        <f>Q13+Q14*Q11</f>
        <v>7.5244175601164448E-2</v>
      </c>
    </row>
    <row r="17" spans="2:21" x14ac:dyDescent="0.2">
      <c r="B17" s="5" t="s">
        <v>11</v>
      </c>
      <c r="C17" s="8">
        <f>C16*(1-C10)+C12*(1-C7)*C10</f>
        <v>7.0300000000000015E-2</v>
      </c>
      <c r="I17" s="5" t="s">
        <v>11</v>
      </c>
      <c r="J17" s="8">
        <f>J16*(1-J10)+J12*(1-J7)*J10</f>
        <v>7.3900000000000021E-2</v>
      </c>
      <c r="P17" s="5" t="s">
        <v>11</v>
      </c>
      <c r="Q17" s="8">
        <f>Q16*(1-Q10)+Q12*(1-Q7)*Q10</f>
        <v>7.0969758041048006E-2</v>
      </c>
    </row>
    <row r="18" spans="2:21" x14ac:dyDescent="0.2">
      <c r="B18" s="1" t="s">
        <v>13</v>
      </c>
      <c r="C18" s="4">
        <v>0.4</v>
      </c>
      <c r="I18" s="1" t="s">
        <v>13</v>
      </c>
      <c r="J18" s="4">
        <v>0.5</v>
      </c>
      <c r="P18" s="1" t="s">
        <v>13</v>
      </c>
      <c r="Q18" s="17">
        <f>(C18*C5+J18*J5)/(C5+J5)</f>
        <v>0.4194886531093428</v>
      </c>
    </row>
    <row r="19" spans="2:21" x14ac:dyDescent="0.2">
      <c r="B19" s="5" t="s">
        <v>14</v>
      </c>
      <c r="C19" s="9">
        <f>C18*C9*(1-C7)</f>
        <v>7.4530286733649892E-2</v>
      </c>
      <c r="I19" s="5" t="s">
        <v>14</v>
      </c>
      <c r="J19" s="9">
        <f>J18*J9*(1-J7)</f>
        <v>8.1250000000000003E-2</v>
      </c>
      <c r="P19" s="5" t="s">
        <v>14</v>
      </c>
      <c r="Q19" s="19">
        <f>Q18*S9</f>
        <v>8.0185050600170824E-2</v>
      </c>
    </row>
    <row r="20" spans="2:21" x14ac:dyDescent="0.2">
      <c r="B20" s="1" t="s">
        <v>15</v>
      </c>
      <c r="C20" s="7">
        <v>4.2500000000000003E-2</v>
      </c>
      <c r="I20" s="1" t="s">
        <v>15</v>
      </c>
      <c r="J20" s="7">
        <v>4.2500000000000003E-2</v>
      </c>
      <c r="P20" s="1" t="s">
        <v>15</v>
      </c>
      <c r="Q20" s="7">
        <v>4.2500000000000003E-2</v>
      </c>
    </row>
    <row r="21" spans="2:21" x14ac:dyDescent="0.2">
      <c r="B21" s="1" t="s">
        <v>16</v>
      </c>
      <c r="C21" s="7">
        <f>C17</f>
        <v>7.0300000000000015E-2</v>
      </c>
      <c r="D21" s="1" t="s">
        <v>17</v>
      </c>
      <c r="I21" s="1" t="s">
        <v>16</v>
      </c>
      <c r="J21" s="7">
        <f>J17</f>
        <v>7.3900000000000021E-2</v>
      </c>
      <c r="K21" s="1" t="s">
        <v>17</v>
      </c>
      <c r="P21" s="1" t="s">
        <v>16</v>
      </c>
      <c r="Q21" s="7">
        <f>Q17</f>
        <v>7.0969758041048006E-2</v>
      </c>
      <c r="R21" s="1" t="s">
        <v>17</v>
      </c>
    </row>
    <row r="22" spans="2:21" x14ac:dyDescent="0.2">
      <c r="B22" s="5" t="s">
        <v>18</v>
      </c>
      <c r="C22" s="9">
        <f>C20/C21</f>
        <v>0.60455192034139393</v>
      </c>
      <c r="I22" s="5" t="s">
        <v>18</v>
      </c>
      <c r="J22" s="9">
        <f>J20/J21</f>
        <v>0.57510148849797016</v>
      </c>
      <c r="P22" s="5" t="s">
        <v>18</v>
      </c>
      <c r="Q22" s="9">
        <f>Q20/Q21</f>
        <v>0.59884662387348908</v>
      </c>
      <c r="T22" s="16"/>
    </row>
    <row r="24" spans="2:21" x14ac:dyDescent="0.2">
      <c r="B24" s="1" t="s">
        <v>19</v>
      </c>
      <c r="I24" s="1" t="s">
        <v>30</v>
      </c>
      <c r="P24" s="1" t="s">
        <v>30</v>
      </c>
    </row>
    <row r="26" spans="2:21" x14ac:dyDescent="0.2">
      <c r="B26" s="1" t="s">
        <v>20</v>
      </c>
      <c r="C26" s="1" t="s">
        <v>21</v>
      </c>
      <c r="D26" s="1" t="s">
        <v>23</v>
      </c>
      <c r="E26" s="1" t="s">
        <v>22</v>
      </c>
      <c r="F26" s="1" t="s">
        <v>24</v>
      </c>
      <c r="I26" s="1" t="s">
        <v>20</v>
      </c>
      <c r="J26" s="1" t="s">
        <v>21</v>
      </c>
      <c r="K26" s="1" t="s">
        <v>23</v>
      </c>
      <c r="L26" s="1" t="s">
        <v>22</v>
      </c>
      <c r="M26" s="1" t="s">
        <v>24</v>
      </c>
      <c r="P26" s="1" t="s">
        <v>20</v>
      </c>
      <c r="Q26" s="1" t="s">
        <v>21</v>
      </c>
      <c r="R26" s="1" t="s">
        <v>23</v>
      </c>
      <c r="S26" s="1" t="s">
        <v>22</v>
      </c>
      <c r="T26" s="1" t="s">
        <v>24</v>
      </c>
    </row>
    <row r="27" spans="2:21" x14ac:dyDescent="0.2">
      <c r="B27" s="1">
        <v>1</v>
      </c>
      <c r="C27" s="13">
        <f>C5*(1-C7)*(1+C19)</f>
        <v>7631.9050880400855</v>
      </c>
      <c r="D27" s="4">
        <f t="shared" ref="D27:D31" si="1">$C$18</f>
        <v>0.4</v>
      </c>
      <c r="E27" s="3">
        <f t="shared" ref="E27:E32" si="2">D27*C27</f>
        <v>3052.7620352160343</v>
      </c>
      <c r="F27" s="3">
        <f t="shared" ref="F27:F32" si="3">C27-E27</f>
        <v>4579.1430528240508</v>
      </c>
      <c r="G27" s="3">
        <f>F27/((1+$C$17)^B27)</f>
        <v>4278.3734026198736</v>
      </c>
      <c r="I27" s="1">
        <v>1</v>
      </c>
      <c r="J27" s="10">
        <f>J5*(1-J7)*(1+J19)</f>
        <v>1858.9390625000001</v>
      </c>
      <c r="K27" s="4">
        <f>$J$18</f>
        <v>0.5</v>
      </c>
      <c r="L27" s="10">
        <f t="shared" ref="L27:L32" si="4">K27*J27</f>
        <v>929.46953125000005</v>
      </c>
      <c r="M27" s="11">
        <f t="shared" ref="M27:M32" si="5">J27-L27</f>
        <v>929.46953125000005</v>
      </c>
      <c r="N27" s="11">
        <f>M27/((1+$J$17)^I27)</f>
        <v>865.50845632740482</v>
      </c>
      <c r="P27" s="1">
        <v>1</v>
      </c>
      <c r="Q27" s="10">
        <f>Q5*(1-Q7)*(1+Q19)</f>
        <v>9669.6005359626106</v>
      </c>
      <c r="R27" s="7">
        <f t="shared" ref="R27:R31" si="6">$Q$18</f>
        <v>0.4194886531093428</v>
      </c>
      <c r="S27" s="3">
        <f t="shared" ref="S27:S32" si="7">R27*Q27</f>
        <v>4056.2877049363346</v>
      </c>
      <c r="T27" s="3">
        <f t="shared" ref="T27:T32" si="8">Q27-S27</f>
        <v>5613.3128310262764</v>
      </c>
      <c r="U27" s="3">
        <f>T27/((1+$J$17)^P27)</f>
        <v>5227.0349483436785</v>
      </c>
    </row>
    <row r="28" spans="2:21" x14ac:dyDescent="0.2">
      <c r="B28" s="1">
        <f t="shared" ref="B28:B31" si="9">B27+1</f>
        <v>2</v>
      </c>
      <c r="C28" s="13">
        <f t="shared" ref="C28:C31" si="10">C27*(1+$C$19)</f>
        <v>8200.7131625757156</v>
      </c>
      <c r="D28" s="4">
        <f t="shared" si="1"/>
        <v>0.4</v>
      </c>
      <c r="E28" s="3">
        <f t="shared" si="2"/>
        <v>3280.2852650302866</v>
      </c>
      <c r="F28" s="3">
        <f t="shared" si="3"/>
        <v>4920.427897545429</v>
      </c>
      <c r="G28" s="3">
        <f>F28/((1+$C$17)^B28)</f>
        <v>4295.2833776238022</v>
      </c>
      <c r="I28" s="1">
        <f t="shared" ref="I28:I31" si="11">I27+1</f>
        <v>2</v>
      </c>
      <c r="J28" s="10">
        <f>J27*(1+$J$19)</f>
        <v>2009.9778613281251</v>
      </c>
      <c r="K28" s="4">
        <f>$J$18</f>
        <v>0.5</v>
      </c>
      <c r="L28" s="3">
        <f t="shared" si="4"/>
        <v>1004.9889306640625</v>
      </c>
      <c r="M28" s="3">
        <f t="shared" si="5"/>
        <v>1004.9889306640625</v>
      </c>
      <c r="N28" s="3">
        <f>M28/((1+$J$17)^I28)</f>
        <v>871.43218028122385</v>
      </c>
      <c r="P28" s="1">
        <f t="shared" ref="P28:P31" si="12">P27+1</f>
        <v>2</v>
      </c>
      <c r="Q28" s="10">
        <f>Q27*(1+$Q$19)</f>
        <v>10444.957944222213</v>
      </c>
      <c r="R28" s="7">
        <f t="shared" si="6"/>
        <v>0.4194886531093428</v>
      </c>
      <c r="S28" s="3">
        <f t="shared" si="7"/>
        <v>4381.5413398055061</v>
      </c>
      <c r="T28" s="3">
        <f t="shared" si="8"/>
        <v>6063.4166044167068</v>
      </c>
      <c r="U28" s="3">
        <f>T28/((1+$J$17)^P28)</f>
        <v>5257.6264178838601</v>
      </c>
    </row>
    <row r="29" spans="2:21" x14ac:dyDescent="0.2">
      <c r="B29" s="1">
        <f t="shared" si="9"/>
        <v>3</v>
      </c>
      <c r="C29" s="3">
        <f t="shared" si="10"/>
        <v>8811.9146660029</v>
      </c>
      <c r="D29" s="4">
        <f t="shared" si="1"/>
        <v>0.4</v>
      </c>
      <c r="E29" s="3">
        <f t="shared" si="2"/>
        <v>3524.7658664011601</v>
      </c>
      <c r="F29" s="3">
        <f t="shared" si="3"/>
        <v>5287.1487996017404</v>
      </c>
      <c r="G29" s="3">
        <f>F29/((1+$C$17)^B29)</f>
        <v>4312.2601881345272</v>
      </c>
      <c r="I29" s="1">
        <f t="shared" si="11"/>
        <v>3</v>
      </c>
      <c r="J29" s="10">
        <f>J28*(1+$J$19)</f>
        <v>2173.2885625610352</v>
      </c>
      <c r="K29" s="4">
        <f>$J$18</f>
        <v>0.5</v>
      </c>
      <c r="L29" s="3">
        <f t="shared" si="4"/>
        <v>1086.6442812805176</v>
      </c>
      <c r="M29" s="3">
        <f t="shared" si="5"/>
        <v>1086.6442812805176</v>
      </c>
      <c r="N29" s="3">
        <f>M29/((1+$J$17)^I29)</f>
        <v>877.39644746165686</v>
      </c>
      <c r="P29" s="1">
        <f t="shared" si="12"/>
        <v>3</v>
      </c>
      <c r="Q29" s="10">
        <f t="shared" ref="Q29:Q31" si="13">Q28*(1+$Q$19)</f>
        <v>11282.487425496329</v>
      </c>
      <c r="R29" s="7">
        <f t="shared" si="6"/>
        <v>0.4194886531093428</v>
      </c>
      <c r="S29" s="3">
        <f t="shared" si="7"/>
        <v>4732.8754538445519</v>
      </c>
      <c r="T29" s="3">
        <f t="shared" si="8"/>
        <v>6549.6119716517769</v>
      </c>
      <c r="U29" s="3">
        <f>T29/((1+$J$17)^P29)</f>
        <v>5288.3969254480608</v>
      </c>
    </row>
    <row r="30" spans="2:21" x14ac:dyDescent="0.2">
      <c r="B30" s="1">
        <f t="shared" si="9"/>
        <v>4</v>
      </c>
      <c r="C30" s="3">
        <f t="shared" si="10"/>
        <v>9468.6691927325519</v>
      </c>
      <c r="D30" s="4">
        <f t="shared" si="1"/>
        <v>0.4</v>
      </c>
      <c r="E30" s="3">
        <f t="shared" si="2"/>
        <v>3787.4676770930209</v>
      </c>
      <c r="F30" s="3">
        <f t="shared" si="3"/>
        <v>5681.201515639531</v>
      </c>
      <c r="G30" s="3">
        <f>F30/((1+$C$17)^B30)</f>
        <v>4329.3040983147685</v>
      </c>
      <c r="I30" s="1">
        <f t="shared" si="11"/>
        <v>4</v>
      </c>
      <c r="J30" s="10">
        <f>J29*(1+$J$19)</f>
        <v>2349.8682582691195</v>
      </c>
      <c r="K30" s="4">
        <f>$J$18</f>
        <v>0.5</v>
      </c>
      <c r="L30" s="3">
        <f t="shared" si="4"/>
        <v>1174.9341291345597</v>
      </c>
      <c r="M30" s="3">
        <f t="shared" si="5"/>
        <v>1174.9341291345597</v>
      </c>
      <c r="N30" s="3">
        <f>M30/((1+$J$17)^I30)</f>
        <v>883.40153535516947</v>
      </c>
      <c r="P30" s="1">
        <f t="shared" si="12"/>
        <v>4</v>
      </c>
      <c r="Q30" s="10">
        <f t="shared" si="13"/>
        <v>12187.174250605543</v>
      </c>
      <c r="R30" s="7">
        <f t="shared" si="6"/>
        <v>0.4194886531093428</v>
      </c>
      <c r="S30" s="3">
        <f t="shared" si="7"/>
        <v>5112.3813115953835</v>
      </c>
      <c r="T30" s="3">
        <f t="shared" si="8"/>
        <v>7074.7929390101599</v>
      </c>
      <c r="U30" s="3">
        <f>T30/((1+$J$17)^P30)</f>
        <v>5319.3475188647935</v>
      </c>
    </row>
    <row r="31" spans="2:21" x14ac:dyDescent="0.2">
      <c r="B31" s="1">
        <f t="shared" si="9"/>
        <v>5</v>
      </c>
      <c r="C31" s="3">
        <f t="shared" si="10"/>
        <v>10174.371822652987</v>
      </c>
      <c r="D31" s="4">
        <f t="shared" si="1"/>
        <v>0.4</v>
      </c>
      <c r="E31" s="3">
        <f t="shared" si="2"/>
        <v>4069.7487290611953</v>
      </c>
      <c r="F31" s="3">
        <f t="shared" si="3"/>
        <v>6104.623093591792</v>
      </c>
      <c r="G31" s="3">
        <f>F31/((1+$C$17)^B31)</f>
        <v>4346.4153733713292</v>
      </c>
      <c r="I31" s="1">
        <f t="shared" si="11"/>
        <v>5</v>
      </c>
      <c r="J31" s="10">
        <f>J30*(1+$J$19)</f>
        <v>2540.7950542534854</v>
      </c>
      <c r="K31" s="4">
        <f>$J$18</f>
        <v>0.5</v>
      </c>
      <c r="L31" s="3">
        <f t="shared" si="4"/>
        <v>1270.3975271267427</v>
      </c>
      <c r="M31" s="3">
        <f t="shared" si="5"/>
        <v>1270.3975271267427</v>
      </c>
      <c r="N31" s="3">
        <f>M31/((1+$J$17)^I31)</f>
        <v>889.44772334740367</v>
      </c>
      <c r="P31" s="1">
        <f t="shared" si="12"/>
        <v>5</v>
      </c>
      <c r="Q31" s="10">
        <f t="shared" si="13"/>
        <v>13164.403434563448</v>
      </c>
      <c r="R31" s="7">
        <f t="shared" si="6"/>
        <v>0.4194886531093428</v>
      </c>
      <c r="S31" s="3">
        <f t="shared" si="7"/>
        <v>5522.317865753027</v>
      </c>
      <c r="T31" s="3">
        <f t="shared" si="8"/>
        <v>7642.0855688104211</v>
      </c>
      <c r="U31" s="3">
        <f>T31/((1+$J$17)^P31)</f>
        <v>5350.4792520950359</v>
      </c>
    </row>
    <row r="32" spans="2:21" x14ac:dyDescent="0.2">
      <c r="B32" s="1" t="s">
        <v>26</v>
      </c>
      <c r="C32" s="3">
        <f>C31*(1+$C$20)</f>
        <v>10606.782625115738</v>
      </c>
      <c r="D32" s="7">
        <f>$C$22</f>
        <v>0.60455192034139393</v>
      </c>
      <c r="E32" s="3">
        <f t="shared" si="2"/>
        <v>6412.3508046574516</v>
      </c>
      <c r="F32" s="3">
        <f t="shared" si="3"/>
        <v>4194.4318204582869</v>
      </c>
      <c r="G32" s="3"/>
      <c r="I32" s="1" t="s">
        <v>26</v>
      </c>
      <c r="J32" s="10">
        <f>J31*(1+$J$20)</f>
        <v>2648.7788440592585</v>
      </c>
      <c r="K32" s="7">
        <f>J22</f>
        <v>0.57510148849797016</v>
      </c>
      <c r="L32" s="3">
        <f t="shared" si="4"/>
        <v>1523.3166559204124</v>
      </c>
      <c r="M32" s="3">
        <f t="shared" si="5"/>
        <v>1125.4621881388462</v>
      </c>
      <c r="N32" s="3"/>
      <c r="P32" s="1" t="s">
        <v>26</v>
      </c>
      <c r="Q32" s="10">
        <f>Q31*(1+$Q$20)</f>
        <v>13723.890580532394</v>
      </c>
      <c r="R32" s="7">
        <f>Q22</f>
        <v>0.59884662387348908</v>
      </c>
      <c r="S32" s="3">
        <f t="shared" si="7"/>
        <v>8218.5055405610019</v>
      </c>
      <c r="T32" s="3">
        <f t="shared" si="8"/>
        <v>5505.385039971392</v>
      </c>
      <c r="U32" s="3"/>
    </row>
    <row r="33" spans="2:21" x14ac:dyDescent="0.2">
      <c r="B33" s="1" t="s">
        <v>25</v>
      </c>
      <c r="E33" s="3"/>
      <c r="F33" s="3">
        <f>F32/(C21-C20)</f>
        <v>150878.84246252824</v>
      </c>
      <c r="G33" s="3">
        <f>F33/((1+$C$17)^5)</f>
        <v>107423.85079989591</v>
      </c>
      <c r="I33" s="1" t="s">
        <v>25</v>
      </c>
      <c r="L33" s="3"/>
      <c r="M33" s="3">
        <f>M32/(J21-J20)</f>
        <v>35842.744845186164</v>
      </c>
      <c r="N33" s="3">
        <f>M33/((1+$J$17)^5)</f>
        <v>25094.702343428093</v>
      </c>
      <c r="P33" s="1" t="s">
        <v>25</v>
      </c>
      <c r="S33" s="3"/>
      <c r="T33" s="3">
        <f>T32/(Q21-Q20)</f>
        <v>193376.60095437651</v>
      </c>
      <c r="U33" s="3">
        <f>T33/((1+$J$17)^5)</f>
        <v>135389.4145689485</v>
      </c>
    </row>
    <row r="34" spans="2:21" x14ac:dyDescent="0.2">
      <c r="B34" s="1" t="s">
        <v>27</v>
      </c>
      <c r="E34" s="3"/>
      <c r="F34" s="3"/>
      <c r="G34" s="3">
        <f>SUM(G27:G33)</f>
        <v>128985.4872399602</v>
      </c>
      <c r="I34" s="1" t="s">
        <v>27</v>
      </c>
      <c r="L34" s="3"/>
      <c r="M34" s="3"/>
      <c r="N34" s="3">
        <f>SUM(N27:N33)</f>
        <v>29481.888686200953</v>
      </c>
      <c r="P34" s="1" t="s">
        <v>27</v>
      </c>
      <c r="S34" s="3"/>
      <c r="T34" s="3"/>
      <c r="U34" s="3">
        <f>SUM(U27:U33)</f>
        <v>161832.29963158394</v>
      </c>
    </row>
    <row r="35" spans="2:21" x14ac:dyDescent="0.2">
      <c r="B35" s="2" t="s">
        <v>28</v>
      </c>
      <c r="C35" s="12">
        <f>G34</f>
        <v>128985.4872399602</v>
      </c>
      <c r="I35" s="2" t="s">
        <v>28</v>
      </c>
      <c r="J35" s="12">
        <f>N34</f>
        <v>29481.888686200953</v>
      </c>
      <c r="P35" s="2" t="s">
        <v>28</v>
      </c>
      <c r="Q35" s="12">
        <f>U34</f>
        <v>161832.29963158394</v>
      </c>
    </row>
    <row r="37" spans="2:21" x14ac:dyDescent="0.2">
      <c r="B37" s="1" t="s">
        <v>32</v>
      </c>
      <c r="C37" s="11">
        <f>C35</f>
        <v>128985.4872399602</v>
      </c>
    </row>
    <row r="38" spans="2:21" x14ac:dyDescent="0.2">
      <c r="B38" s="1" t="s">
        <v>31</v>
      </c>
      <c r="C38" s="11">
        <f>J35</f>
        <v>29481.888686200953</v>
      </c>
    </row>
    <row r="39" spans="2:21" x14ac:dyDescent="0.2">
      <c r="B39" s="2" t="s">
        <v>40</v>
      </c>
      <c r="C39" s="12">
        <f>J35+C35</f>
        <v>158467.37592616116</v>
      </c>
    </row>
    <row r="40" spans="2:21" x14ac:dyDescent="0.2">
      <c r="B40" s="2" t="s">
        <v>41</v>
      </c>
      <c r="C40" s="11">
        <f>Q35</f>
        <v>161832.29963158394</v>
      </c>
      <c r="P40" s="2" t="s">
        <v>35</v>
      </c>
    </row>
    <row r="41" spans="2:21" x14ac:dyDescent="0.2">
      <c r="B41" s="1" t="s">
        <v>42</v>
      </c>
      <c r="C41" s="11">
        <f>C40-C39</f>
        <v>3364.9237054227851</v>
      </c>
    </row>
    <row r="43" spans="2:21" x14ac:dyDescent="0.2">
      <c r="P43" s="1" t="s">
        <v>36</v>
      </c>
      <c r="Q43" s="1">
        <f>C11/(1+(1-C7)*(C10/(1-C10)))</f>
        <v>0.7461139896373058</v>
      </c>
    </row>
    <row r="44" spans="2:21" x14ac:dyDescent="0.2">
      <c r="P44" s="1" t="s">
        <v>37</v>
      </c>
      <c r="Q44" s="1">
        <f>J11/(1+(1-J7)*(J10/(1-J10)))</f>
        <v>0.83937823834196901</v>
      </c>
    </row>
    <row r="45" spans="2:21" x14ac:dyDescent="0.2">
      <c r="P45" s="1" t="s">
        <v>38</v>
      </c>
      <c r="Q45" s="1">
        <f>(Q43*C35+Q44*J35)/(C35+J35)</f>
        <v>0.76346523422404167</v>
      </c>
    </row>
    <row r="47" spans="2:21" x14ac:dyDescent="0.2">
      <c r="P47" s="1" t="s">
        <v>39</v>
      </c>
      <c r="Q47" s="1">
        <f>Q45*(1+(1-Q7)*(Q10/(1-Q10)))</f>
        <v>0.81860439002911134</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A5AC-12C2-4EDA-9ADD-39A335B36485}">
  <dimension ref="B2:N23"/>
  <sheetViews>
    <sheetView workbookViewId="0">
      <selection activeCell="C5" sqref="C5"/>
    </sheetView>
  </sheetViews>
  <sheetFormatPr defaultRowHeight="15" x14ac:dyDescent="0.25"/>
  <cols>
    <col min="2" max="2" width="31.85546875" bestFit="1" customWidth="1"/>
    <col min="3" max="3" width="6.42578125" bestFit="1" customWidth="1"/>
    <col min="4" max="6" width="5.42578125" bestFit="1" customWidth="1"/>
    <col min="10" max="10" width="22" bestFit="1" customWidth="1"/>
  </cols>
  <sheetData>
    <row r="2" spans="2:14" ht="15.75" thickBot="1" x14ac:dyDescent="0.3">
      <c r="B2" s="25" t="s">
        <v>54</v>
      </c>
      <c r="C2" s="26"/>
      <c r="D2" s="26"/>
      <c r="E2" s="26"/>
      <c r="F2" s="26"/>
      <c r="J2" s="25" t="s">
        <v>69</v>
      </c>
      <c r="K2" s="26"/>
      <c r="L2" s="26"/>
      <c r="M2" s="26"/>
      <c r="N2" s="26"/>
    </row>
    <row r="3" spans="2:14" ht="15.75" thickBot="1" x14ac:dyDescent="0.3">
      <c r="B3" s="26"/>
      <c r="C3" s="26"/>
      <c r="D3" s="26"/>
      <c r="E3" s="26"/>
      <c r="F3" s="26"/>
      <c r="J3" s="27"/>
      <c r="K3" s="28">
        <v>2022</v>
      </c>
      <c r="L3" s="28">
        <v>2021</v>
      </c>
      <c r="M3" s="28">
        <v>2020</v>
      </c>
      <c r="N3" s="28">
        <v>2019</v>
      </c>
    </row>
    <row r="4" spans="2:14" ht="15.75" thickBot="1" x14ac:dyDescent="0.3">
      <c r="B4" s="27"/>
      <c r="C4" s="28">
        <v>2022</v>
      </c>
      <c r="D4" s="28">
        <v>2021</v>
      </c>
      <c r="E4" s="28">
        <v>2020</v>
      </c>
      <c r="F4" s="28">
        <v>2019</v>
      </c>
      <c r="J4" s="33" t="s">
        <v>70</v>
      </c>
      <c r="K4" s="30"/>
      <c r="L4" s="30"/>
      <c r="M4" s="30"/>
      <c r="N4" s="30"/>
    </row>
    <row r="5" spans="2:14" ht="15.75" thickBot="1" x14ac:dyDescent="0.3">
      <c r="B5" s="29"/>
      <c r="C5" s="30"/>
      <c r="D5" s="30"/>
      <c r="E5" s="30"/>
      <c r="F5" s="30"/>
      <c r="J5" s="29"/>
      <c r="K5" s="30"/>
      <c r="L5" s="30"/>
      <c r="M5" s="30"/>
      <c r="N5" s="30"/>
    </row>
    <row r="6" spans="2:14" ht="15.75" thickBot="1" x14ac:dyDescent="0.3">
      <c r="B6" s="29" t="s">
        <v>55</v>
      </c>
      <c r="C6" s="31">
        <v>11141</v>
      </c>
      <c r="D6" s="31">
        <v>6267</v>
      </c>
      <c r="E6" s="31">
        <v>8356</v>
      </c>
      <c r="F6" s="31">
        <v>4700</v>
      </c>
      <c r="J6" s="29" t="s">
        <v>71</v>
      </c>
      <c r="K6" s="31">
        <v>29187</v>
      </c>
      <c r="L6" s="31">
        <v>24213</v>
      </c>
      <c r="M6" s="31">
        <v>20894</v>
      </c>
      <c r="N6" s="31">
        <v>18489</v>
      </c>
    </row>
    <row r="7" spans="2:14" ht="15.75" thickBot="1" x14ac:dyDescent="0.3">
      <c r="B7" s="29" t="s">
        <v>56</v>
      </c>
      <c r="C7" s="31">
        <v>1765</v>
      </c>
      <c r="D7" s="31">
        <v>1165</v>
      </c>
      <c r="E7" s="32">
        <v>769</v>
      </c>
      <c r="F7" s="32">
        <v>507</v>
      </c>
      <c r="J7" s="29" t="s">
        <v>72</v>
      </c>
      <c r="K7" s="31">
        <v>1410</v>
      </c>
      <c r="L7" s="31">
        <v>1692</v>
      </c>
      <c r="M7" s="31">
        <v>1949</v>
      </c>
      <c r="N7" s="31">
        <v>2180</v>
      </c>
    </row>
    <row r="8" spans="2:14" ht="15.75" thickBot="1" x14ac:dyDescent="0.3">
      <c r="B8" s="33" t="s">
        <v>57</v>
      </c>
      <c r="C8" s="34">
        <v>12906</v>
      </c>
      <c r="D8" s="34">
        <v>7432</v>
      </c>
      <c r="E8" s="34">
        <v>9125</v>
      </c>
      <c r="F8" s="34">
        <v>5207</v>
      </c>
      <c r="J8" s="29"/>
      <c r="K8" s="32"/>
      <c r="L8" s="32"/>
      <c r="M8" s="32"/>
      <c r="N8" s="32"/>
    </row>
    <row r="9" spans="2:14" ht="15.75" thickBot="1" x14ac:dyDescent="0.3">
      <c r="B9" s="29"/>
      <c r="C9" s="30"/>
      <c r="D9" s="30"/>
      <c r="E9" s="30"/>
      <c r="F9" s="30"/>
      <c r="J9" s="29" t="s">
        <v>73</v>
      </c>
      <c r="K9" s="32">
        <v>126</v>
      </c>
      <c r="L9" s="32">
        <v>130</v>
      </c>
      <c r="M9" s="32">
        <v>117</v>
      </c>
      <c r="N9" s="32">
        <v>105</v>
      </c>
    </row>
    <row r="10" spans="2:14" ht="15.75" thickBot="1" x14ac:dyDescent="0.3">
      <c r="B10" s="29" t="s">
        <v>58</v>
      </c>
      <c r="C10" s="31">
        <v>1847</v>
      </c>
      <c r="D10" s="31">
        <v>1478</v>
      </c>
      <c r="E10" s="31">
        <v>1182</v>
      </c>
      <c r="F10" s="32">
        <v>946</v>
      </c>
      <c r="J10" s="29"/>
      <c r="K10" s="32"/>
      <c r="L10" s="32"/>
      <c r="M10" s="32"/>
      <c r="N10" s="32"/>
    </row>
    <row r="11" spans="2:14" ht="15.75" thickBot="1" x14ac:dyDescent="0.3">
      <c r="B11" s="29" t="s">
        <v>59</v>
      </c>
      <c r="C11" s="32">
        <v>567</v>
      </c>
      <c r="D11" s="32">
        <v>510</v>
      </c>
      <c r="E11" s="32">
        <v>459</v>
      </c>
      <c r="F11" s="32">
        <v>413</v>
      </c>
      <c r="J11" s="33" t="s">
        <v>74</v>
      </c>
      <c r="K11" s="34">
        <v>30723</v>
      </c>
      <c r="L11" s="34">
        <v>26036</v>
      </c>
      <c r="M11" s="34">
        <v>22960</v>
      </c>
      <c r="N11" s="34">
        <v>20774</v>
      </c>
    </row>
    <row r="12" spans="2:14" ht="15.75" thickBot="1" x14ac:dyDescent="0.3">
      <c r="B12" s="29" t="s">
        <v>60</v>
      </c>
      <c r="C12" s="31">
        <v>4561</v>
      </c>
      <c r="D12" s="31">
        <v>3013</v>
      </c>
      <c r="E12" s="31">
        <v>2158</v>
      </c>
      <c r="F12" s="31">
        <v>1539</v>
      </c>
      <c r="J12" s="29"/>
      <c r="K12" s="32"/>
      <c r="L12" s="32"/>
      <c r="M12" s="32"/>
      <c r="N12" s="32"/>
    </row>
    <row r="13" spans="2:14" ht="15.75" thickBot="1" x14ac:dyDescent="0.3">
      <c r="B13" s="33" t="s">
        <v>61</v>
      </c>
      <c r="C13" s="34">
        <v>6975</v>
      </c>
      <c r="D13" s="34">
        <v>5001</v>
      </c>
      <c r="E13" s="34">
        <v>3799</v>
      </c>
      <c r="F13" s="34">
        <v>2898</v>
      </c>
      <c r="J13" s="33" t="s">
        <v>75</v>
      </c>
      <c r="K13" s="32"/>
      <c r="L13" s="32"/>
      <c r="M13" s="32"/>
      <c r="N13" s="32"/>
    </row>
    <row r="14" spans="2:14" ht="15.75" thickBot="1" x14ac:dyDescent="0.3">
      <c r="B14" s="29"/>
      <c r="C14" s="30"/>
      <c r="D14" s="30"/>
      <c r="E14" s="30"/>
      <c r="F14" s="30"/>
      <c r="J14" s="29"/>
      <c r="K14" s="32"/>
      <c r="L14" s="32"/>
      <c r="M14" s="32"/>
      <c r="N14" s="32"/>
    </row>
    <row r="15" spans="2:14" ht="15.75" thickBot="1" x14ac:dyDescent="0.3">
      <c r="B15" s="29" t="s">
        <v>62</v>
      </c>
      <c r="C15" s="32">
        <v>623</v>
      </c>
      <c r="D15" s="32">
        <v>555</v>
      </c>
      <c r="E15" s="32">
        <v>263</v>
      </c>
      <c r="F15" s="32">
        <v>263</v>
      </c>
      <c r="J15" s="33" t="s">
        <v>76</v>
      </c>
      <c r="K15" s="34">
        <v>28447</v>
      </c>
      <c r="L15" s="34">
        <v>23886</v>
      </c>
      <c r="M15" s="34">
        <v>20873</v>
      </c>
      <c r="N15" s="34">
        <v>18715</v>
      </c>
    </row>
    <row r="16" spans="2:14" ht="15.75" thickBot="1" x14ac:dyDescent="0.3">
      <c r="B16" s="29" t="s">
        <v>63</v>
      </c>
      <c r="C16" s="31">
        <v>1110</v>
      </c>
      <c r="D16" s="31">
        <v>1063</v>
      </c>
      <c r="E16" s="32">
        <v>681</v>
      </c>
      <c r="F16" s="32">
        <v>681</v>
      </c>
      <c r="J16" s="29"/>
      <c r="K16" s="32"/>
      <c r="L16" s="32"/>
      <c r="M16" s="32"/>
      <c r="N16" s="32"/>
    </row>
    <row r="17" spans="2:14" ht="15.75" thickBot="1" x14ac:dyDescent="0.3">
      <c r="B17" s="29" t="s">
        <v>64</v>
      </c>
      <c r="C17" s="32">
        <v>417</v>
      </c>
      <c r="D17" s="32">
        <v>334</v>
      </c>
      <c r="E17" s="32">
        <v>267</v>
      </c>
      <c r="F17" s="32">
        <v>214</v>
      </c>
      <c r="J17" s="33" t="s">
        <v>77</v>
      </c>
      <c r="K17" s="34">
        <v>2276</v>
      </c>
      <c r="L17" s="34">
        <v>2150</v>
      </c>
      <c r="M17" s="34">
        <v>2087</v>
      </c>
      <c r="N17" s="34">
        <v>2059</v>
      </c>
    </row>
    <row r="18" spans="2:14" ht="15.75" thickBot="1" x14ac:dyDescent="0.3">
      <c r="B18" s="33" t="s">
        <v>65</v>
      </c>
      <c r="C18" s="34">
        <v>2150</v>
      </c>
      <c r="D18" s="34">
        <v>1952</v>
      </c>
      <c r="E18" s="34">
        <v>1211</v>
      </c>
      <c r="F18" s="34">
        <v>1158</v>
      </c>
    </row>
    <row r="19" spans="2:14" ht="15.75" thickBot="1" x14ac:dyDescent="0.3">
      <c r="B19" s="29"/>
      <c r="C19" s="30"/>
      <c r="D19" s="30"/>
      <c r="E19" s="30"/>
      <c r="F19" s="30"/>
    </row>
    <row r="20" spans="2:14" ht="15.75" thickBot="1" x14ac:dyDescent="0.3">
      <c r="B20" s="33" t="s">
        <v>66</v>
      </c>
      <c r="C20" s="34">
        <v>3781</v>
      </c>
      <c r="D20" s="35">
        <v>479</v>
      </c>
      <c r="E20" s="34">
        <v>4115</v>
      </c>
      <c r="F20" s="34">
        <v>1151</v>
      </c>
    </row>
    <row r="21" spans="2:14" ht="15.75" thickBot="1" x14ac:dyDescent="0.3">
      <c r="B21" s="33" t="s">
        <v>67</v>
      </c>
      <c r="C21" s="35">
        <v>945</v>
      </c>
      <c r="D21" s="35">
        <v>120</v>
      </c>
      <c r="E21" s="34">
        <v>1029</v>
      </c>
      <c r="F21" s="35">
        <v>288</v>
      </c>
    </row>
    <row r="22" spans="2:14" ht="15.75" thickBot="1" x14ac:dyDescent="0.3">
      <c r="B22" s="33" t="s">
        <v>68</v>
      </c>
      <c r="C22" s="34">
        <v>2836</v>
      </c>
      <c r="D22" s="35">
        <v>359</v>
      </c>
      <c r="E22" s="34">
        <v>3086</v>
      </c>
      <c r="F22" s="35">
        <v>863</v>
      </c>
    </row>
    <row r="23" spans="2:14" x14ac:dyDescent="0.25">
      <c r="C23" s="37">
        <f t="shared" ref="C23:F23" si="0">C21/C22</f>
        <v>0.33321579689703806</v>
      </c>
      <c r="D23" s="37">
        <f t="shared" si="0"/>
        <v>0.33426183844011143</v>
      </c>
      <c r="E23" s="37">
        <f t="shared" si="0"/>
        <v>0.3334413480233312</v>
      </c>
      <c r="F23" s="37">
        <f t="shared" si="0"/>
        <v>0.33371958285052145</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59BB-A530-452F-B95B-ECB98CC04D46}">
  <dimension ref="B1:AC46"/>
  <sheetViews>
    <sheetView showGridLines="0" zoomScale="98" zoomScaleNormal="98" workbookViewId="0">
      <selection activeCell="C38" sqref="C38"/>
    </sheetView>
  </sheetViews>
  <sheetFormatPr defaultColWidth="9.140625" defaultRowHeight="12" outlineLevelCol="1" x14ac:dyDescent="0.2"/>
  <cols>
    <col min="1" max="1" width="2.42578125" style="1" customWidth="1"/>
    <col min="2" max="2" width="25.5703125" style="1" bestFit="1" customWidth="1"/>
    <col min="3" max="3" width="21" style="1" bestFit="1" customWidth="1"/>
    <col min="4" max="4" width="6.28515625" style="1" customWidth="1"/>
    <col min="5" max="5" width="6" style="1" bestFit="1" customWidth="1"/>
    <col min="6" max="6" width="8.140625" style="1" bestFit="1" customWidth="1"/>
    <col min="7" max="7" width="9.85546875" style="1" bestFit="1" customWidth="1"/>
    <col min="8" max="8" width="9.140625" style="1"/>
    <col min="9" max="9" width="25.5703125" style="1" bestFit="1" customWidth="1"/>
    <col min="10" max="10" width="10.5703125" style="1" bestFit="1" customWidth="1"/>
    <col min="11" max="11" width="9.28515625" style="1" customWidth="1"/>
    <col min="12" max="12" width="6" style="1" bestFit="1" customWidth="1"/>
    <col min="13" max="14" width="6.85546875" style="1" bestFit="1" customWidth="1"/>
    <col min="15" max="15" width="9.140625" style="1"/>
    <col min="16" max="16" width="25.5703125" style="1" bestFit="1" customWidth="1"/>
    <col min="17" max="17" width="11.5703125" style="1" bestFit="1" customWidth="1"/>
    <col min="18" max="18" width="6.5703125" style="1" customWidth="1"/>
    <col min="19" max="19" width="17.5703125" style="1" bestFit="1" customWidth="1"/>
    <col min="20" max="21" width="7.7109375" style="1" bestFit="1" customWidth="1"/>
    <col min="22" max="22" width="9.140625" style="1"/>
    <col min="23" max="23" width="25.5703125" style="1" hidden="1" customWidth="1" outlineLevel="1"/>
    <col min="24" max="24" width="11.5703125" style="1" hidden="1" customWidth="1" outlineLevel="1"/>
    <col min="25" max="25" width="6.5703125" style="1" hidden="1" customWidth="1" outlineLevel="1"/>
    <col min="26" max="26" width="17.5703125" style="1" hidden="1" customWidth="1" outlineLevel="1"/>
    <col min="27" max="28" width="7.7109375" style="1" hidden="1" customWidth="1" outlineLevel="1"/>
    <col min="29" max="29" width="9.140625" style="1" collapsed="1"/>
    <col min="30" max="16384" width="9.140625" style="1"/>
  </cols>
  <sheetData>
    <row r="1" spans="2:26" x14ac:dyDescent="0.2">
      <c r="W1" s="23" t="s">
        <v>51</v>
      </c>
    </row>
    <row r="2" spans="2:26" x14ac:dyDescent="0.2">
      <c r="W2" s="23" t="s">
        <v>52</v>
      </c>
    </row>
    <row r="4" spans="2:26" x14ac:dyDescent="0.2">
      <c r="B4" s="2" t="s">
        <v>53</v>
      </c>
      <c r="I4" s="2" t="s">
        <v>78</v>
      </c>
      <c r="P4" s="2" t="s">
        <v>48</v>
      </c>
      <c r="W4" s="2" t="s">
        <v>50</v>
      </c>
    </row>
    <row r="5" spans="2:26" x14ac:dyDescent="0.2">
      <c r="B5" s="1" t="s">
        <v>1</v>
      </c>
      <c r="C5" s="3">
        <f>'From Case study'!C20</f>
        <v>3781</v>
      </c>
      <c r="I5" s="1" t="s">
        <v>1</v>
      </c>
      <c r="J5" s="3">
        <v>500</v>
      </c>
      <c r="P5" s="1" t="s">
        <v>1</v>
      </c>
      <c r="Q5" s="3">
        <f>J5+C5+300</f>
        <v>4581</v>
      </c>
      <c r="W5" s="1" t="s">
        <v>1</v>
      </c>
      <c r="X5" s="3">
        <f>Q5+J5+200</f>
        <v>5281</v>
      </c>
    </row>
    <row r="6" spans="2:26" x14ac:dyDescent="0.2">
      <c r="B6" s="1" t="s">
        <v>2</v>
      </c>
      <c r="C6" s="4">
        <v>0.25</v>
      </c>
      <c r="I6" s="1" t="s">
        <v>2</v>
      </c>
      <c r="J6" s="4">
        <f>C6</f>
        <v>0.25</v>
      </c>
      <c r="P6" s="1" t="s">
        <v>2</v>
      </c>
      <c r="Q6" s="4">
        <f>J6</f>
        <v>0.25</v>
      </c>
      <c r="W6" s="1" t="s">
        <v>2</v>
      </c>
      <c r="X6" s="4">
        <v>0.35</v>
      </c>
    </row>
    <row r="7" spans="2:26" x14ac:dyDescent="0.2">
      <c r="B7" s="1" t="s">
        <v>3</v>
      </c>
      <c r="C7" s="3">
        <v>15000</v>
      </c>
      <c r="F7" s="11"/>
      <c r="I7" s="1" t="s">
        <v>3</v>
      </c>
      <c r="J7" s="3">
        <v>1500</v>
      </c>
      <c r="K7" s="36"/>
      <c r="P7" s="1" t="s">
        <v>3</v>
      </c>
      <c r="Q7" s="3">
        <f>J7+C7</f>
        <v>16500</v>
      </c>
      <c r="W7" s="1" t="s">
        <v>3</v>
      </c>
      <c r="X7" s="3">
        <f>Q7+J7</f>
        <v>18000</v>
      </c>
    </row>
    <row r="8" spans="2:26" x14ac:dyDescent="0.2">
      <c r="B8" s="5" t="s">
        <v>4</v>
      </c>
      <c r="C8" s="6">
        <f>C5/C7</f>
        <v>0.25206666666666666</v>
      </c>
      <c r="D8" s="15">
        <f>C8*(1-C6)</f>
        <v>0.18905</v>
      </c>
      <c r="F8" s="4"/>
      <c r="I8" s="5" t="s">
        <v>4</v>
      </c>
      <c r="J8" s="6">
        <f>J5/J7</f>
        <v>0.33333333333333331</v>
      </c>
      <c r="K8" s="15">
        <f>J8*(1-J6)</f>
        <v>0.25</v>
      </c>
      <c r="P8" s="5" t="s">
        <v>4</v>
      </c>
      <c r="Q8" s="40">
        <v>0.24199999999999999</v>
      </c>
      <c r="R8" s="1" t="s">
        <v>34</v>
      </c>
      <c r="S8" s="16">
        <f>1%+(D8*C7+K8*J7)/Q7</f>
        <v>0.2045909090909091</v>
      </c>
      <c r="W8" s="5" t="s">
        <v>4</v>
      </c>
      <c r="X8" s="6">
        <f>Z8/(1-X6)</f>
        <v>0.31475524475524475</v>
      </c>
      <c r="Y8" s="1" t="s">
        <v>34</v>
      </c>
      <c r="Z8" s="16">
        <f>1%+(D8*C7+K8*J7)/Q7</f>
        <v>0.2045909090909091</v>
      </c>
    </row>
    <row r="9" spans="2:26" x14ac:dyDescent="0.2">
      <c r="B9" s="1" t="s">
        <v>6</v>
      </c>
      <c r="C9" s="4">
        <v>0.1</v>
      </c>
      <c r="I9" s="1" t="s">
        <v>6</v>
      </c>
      <c r="J9" s="4">
        <v>0.1</v>
      </c>
      <c r="P9" s="1" t="s">
        <v>6</v>
      </c>
      <c r="Q9" s="4">
        <v>0.1</v>
      </c>
      <c r="W9" s="1" t="s">
        <v>6</v>
      </c>
      <c r="X9" s="4">
        <v>0.1</v>
      </c>
    </row>
    <row r="10" spans="2:26" x14ac:dyDescent="0.2">
      <c r="B10" s="1" t="s">
        <v>7</v>
      </c>
      <c r="C10" s="1">
        <v>0.8</v>
      </c>
      <c r="I10" s="1" t="s">
        <v>7</v>
      </c>
      <c r="J10" s="1">
        <v>0.9</v>
      </c>
      <c r="P10" s="1" t="s">
        <v>7</v>
      </c>
      <c r="Q10" s="18">
        <f>Q46</f>
        <v>0.81304832924782544</v>
      </c>
      <c r="W10" s="1" t="s">
        <v>7</v>
      </c>
      <c r="X10" s="18">
        <f>X46</f>
        <v>0.81281324186376136</v>
      </c>
    </row>
    <row r="11" spans="2:26" x14ac:dyDescent="0.2">
      <c r="B11" s="1" t="s">
        <v>8</v>
      </c>
      <c r="C11" s="4">
        <v>0.05</v>
      </c>
      <c r="I11" s="1" t="s">
        <v>8</v>
      </c>
      <c r="J11" s="4">
        <v>0.05</v>
      </c>
      <c r="P11" s="1" t="s">
        <v>8</v>
      </c>
      <c r="Q11" s="4">
        <v>0.05</v>
      </c>
      <c r="W11" s="1" t="s">
        <v>8</v>
      </c>
      <c r="X11" s="4">
        <v>0.05</v>
      </c>
    </row>
    <row r="12" spans="2:26" x14ac:dyDescent="0.2">
      <c r="B12" s="1" t="s">
        <v>9</v>
      </c>
      <c r="C12" s="38">
        <v>4.4999999999999998E-2</v>
      </c>
      <c r="I12" s="1" t="s">
        <v>9</v>
      </c>
      <c r="J12" s="38">
        <f>C12</f>
        <v>4.4999999999999998E-2</v>
      </c>
      <c r="P12" s="1" t="s">
        <v>9</v>
      </c>
      <c r="Q12" s="38">
        <f>C12</f>
        <v>4.4999999999999998E-2</v>
      </c>
      <c r="W12" s="1" t="s">
        <v>9</v>
      </c>
      <c r="X12" s="7">
        <v>5.2499999999999998E-2</v>
      </c>
    </row>
    <row r="13" spans="2:26" x14ac:dyDescent="0.2">
      <c r="B13" s="1" t="s">
        <v>10</v>
      </c>
      <c r="C13" s="4">
        <v>0.04</v>
      </c>
      <c r="I13" s="1" t="s">
        <v>10</v>
      </c>
      <c r="J13" s="4">
        <v>0.04</v>
      </c>
      <c r="P13" s="1" t="s">
        <v>10</v>
      </c>
      <c r="Q13" s="4">
        <v>0.04</v>
      </c>
      <c r="W13" s="1" t="s">
        <v>10</v>
      </c>
      <c r="X13" s="4">
        <v>0.04</v>
      </c>
    </row>
    <row r="14" spans="2:26" x14ac:dyDescent="0.2">
      <c r="B14" s="5" t="s">
        <v>11</v>
      </c>
      <c r="C14" s="5"/>
      <c r="I14" s="5" t="s">
        <v>11</v>
      </c>
      <c r="J14" s="5"/>
      <c r="P14" s="5" t="s">
        <v>11</v>
      </c>
      <c r="Q14" s="5"/>
      <c r="W14" s="5" t="s">
        <v>11</v>
      </c>
      <c r="X14" s="5"/>
    </row>
    <row r="15" spans="2:26" x14ac:dyDescent="0.2">
      <c r="B15" s="5" t="s">
        <v>12</v>
      </c>
      <c r="C15" s="8">
        <f>C12+C13*C10</f>
        <v>7.6999999999999999E-2</v>
      </c>
      <c r="I15" s="5" t="s">
        <v>12</v>
      </c>
      <c r="J15" s="8">
        <f>J12+J13*J10</f>
        <v>8.1000000000000003E-2</v>
      </c>
      <c r="P15" s="5" t="s">
        <v>12</v>
      </c>
      <c r="Q15" s="8">
        <f>Q12+Q13*Q10</f>
        <v>7.7521933169913015E-2</v>
      </c>
      <c r="W15" s="5" t="s">
        <v>12</v>
      </c>
      <c r="X15" s="8">
        <f>X12+X13*X10</f>
        <v>8.5012529674550447E-2</v>
      </c>
    </row>
    <row r="16" spans="2:26" x14ac:dyDescent="0.2">
      <c r="B16" s="5" t="s">
        <v>11</v>
      </c>
      <c r="C16" s="42">
        <v>7.9799999999999996E-2</v>
      </c>
      <c r="I16" s="5" t="s">
        <v>11</v>
      </c>
      <c r="J16" s="42">
        <v>8.3400000000000002E-2</v>
      </c>
      <c r="P16" s="5" t="s">
        <v>11</v>
      </c>
      <c r="Q16" s="8">
        <f>Q15*(1-Q9)+Q11*(1-Q6)*Q9</f>
        <v>7.351973985292172E-2</v>
      </c>
      <c r="W16" s="5" t="s">
        <v>11</v>
      </c>
      <c r="X16" s="8">
        <f>X15*(1-X9)+X11*(1-X6)*X9</f>
        <v>7.9761276707095402E-2</v>
      </c>
    </row>
    <row r="17" spans="2:28" x14ac:dyDescent="0.2">
      <c r="B17" s="1" t="s">
        <v>13</v>
      </c>
      <c r="C17" s="4">
        <v>0.4</v>
      </c>
      <c r="I17" s="1" t="s">
        <v>13</v>
      </c>
      <c r="J17" s="4">
        <v>0.5</v>
      </c>
      <c r="P17" s="1" t="s">
        <v>13</v>
      </c>
      <c r="Q17" s="41">
        <v>0.41</v>
      </c>
      <c r="W17" s="1" t="s">
        <v>13</v>
      </c>
      <c r="X17" s="17">
        <f>(J17*J5+Q17*Q5)/(J5+Q5)</f>
        <v>0.41885652430623893</v>
      </c>
    </row>
    <row r="18" spans="2:28" x14ac:dyDescent="0.2">
      <c r="B18" s="5" t="s">
        <v>14</v>
      </c>
      <c r="C18" s="9">
        <f>C17*C8*(1-C6)</f>
        <v>7.5620000000000007E-2</v>
      </c>
      <c r="I18" s="5" t="s">
        <v>14</v>
      </c>
      <c r="J18" s="9">
        <f>J17*J8*(1-J6)</f>
        <v>0.125</v>
      </c>
      <c r="P18" s="5" t="s">
        <v>14</v>
      </c>
      <c r="Q18" s="19">
        <f>Q17*S8</f>
        <v>8.3882272727272722E-2</v>
      </c>
      <c r="W18" s="5" t="s">
        <v>14</v>
      </c>
      <c r="X18" s="19">
        <f>X17*Z8</f>
        <v>8.5694237086471892E-2</v>
      </c>
    </row>
    <row r="19" spans="2:28" x14ac:dyDescent="0.2">
      <c r="B19" s="1" t="s">
        <v>15</v>
      </c>
      <c r="C19" s="7">
        <v>4.2500000000000003E-2</v>
      </c>
      <c r="I19" s="1" t="s">
        <v>15</v>
      </c>
      <c r="J19" s="7">
        <v>4.2500000000000003E-2</v>
      </c>
      <c r="P19" s="1" t="s">
        <v>15</v>
      </c>
      <c r="Q19" s="7">
        <v>4.2500000000000003E-2</v>
      </c>
      <c r="W19" s="1" t="s">
        <v>15</v>
      </c>
      <c r="X19" s="7">
        <v>4.2500000000000003E-2</v>
      </c>
    </row>
    <row r="20" spans="2:28" x14ac:dyDescent="0.2">
      <c r="B20" s="5" t="s">
        <v>16</v>
      </c>
      <c r="C20" s="8">
        <f>C16</f>
        <v>7.9799999999999996E-2</v>
      </c>
      <c r="D20" s="1" t="s">
        <v>17</v>
      </c>
      <c r="I20" s="5" t="s">
        <v>16</v>
      </c>
      <c r="J20" s="8">
        <f>J16</f>
        <v>8.3400000000000002E-2</v>
      </c>
      <c r="K20" s="1" t="s">
        <v>17</v>
      </c>
      <c r="P20" s="5" t="s">
        <v>16</v>
      </c>
      <c r="Q20" s="8">
        <f>Q16</f>
        <v>7.351973985292172E-2</v>
      </c>
      <c r="R20" s="1" t="s">
        <v>17</v>
      </c>
      <c r="W20" s="5" t="s">
        <v>16</v>
      </c>
      <c r="X20" s="8">
        <f>X16</f>
        <v>7.9761276707095402E-2</v>
      </c>
      <c r="Y20" s="1" t="s">
        <v>17</v>
      </c>
    </row>
    <row r="21" spans="2:28" x14ac:dyDescent="0.2">
      <c r="B21" s="5" t="s">
        <v>18</v>
      </c>
      <c r="C21" s="39">
        <v>0.53539999999999999</v>
      </c>
      <c r="I21" s="5" t="s">
        <v>18</v>
      </c>
      <c r="J21" s="39">
        <v>0.5121</v>
      </c>
      <c r="P21" s="5" t="s">
        <v>18</v>
      </c>
      <c r="Q21" s="39">
        <v>0.5323</v>
      </c>
      <c r="T21" s="16"/>
      <c r="W21" s="5" t="s">
        <v>18</v>
      </c>
      <c r="X21" s="9">
        <f>X19/X20</f>
        <v>0.53284001654175239</v>
      </c>
      <c r="AA21" s="16"/>
    </row>
    <row r="23" spans="2:28" x14ac:dyDescent="0.2">
      <c r="B23" s="1" t="s">
        <v>79</v>
      </c>
      <c r="I23" s="1" t="s">
        <v>80</v>
      </c>
      <c r="P23" s="1" t="s">
        <v>81</v>
      </c>
      <c r="W23" s="1" t="s">
        <v>30</v>
      </c>
    </row>
    <row r="25" spans="2:28" x14ac:dyDescent="0.2">
      <c r="B25" s="1" t="s">
        <v>20</v>
      </c>
      <c r="C25" s="1" t="s">
        <v>21</v>
      </c>
      <c r="D25" s="1" t="s">
        <v>23</v>
      </c>
      <c r="E25" s="1" t="s">
        <v>22</v>
      </c>
      <c r="F25" s="1" t="s">
        <v>24</v>
      </c>
      <c r="I25" s="1" t="s">
        <v>20</v>
      </c>
      <c r="J25" s="1" t="s">
        <v>21</v>
      </c>
      <c r="K25" s="1" t="s">
        <v>23</v>
      </c>
      <c r="L25" s="1" t="s">
        <v>22</v>
      </c>
      <c r="M25" s="1" t="s">
        <v>24</v>
      </c>
      <c r="P25" s="1" t="s">
        <v>20</v>
      </c>
      <c r="Q25" s="1" t="s">
        <v>21</v>
      </c>
      <c r="R25" s="1" t="s">
        <v>23</v>
      </c>
      <c r="S25" s="1" t="s">
        <v>22</v>
      </c>
      <c r="T25" s="1" t="s">
        <v>24</v>
      </c>
      <c r="W25" s="1" t="s">
        <v>20</v>
      </c>
      <c r="X25" s="1" t="s">
        <v>21</v>
      </c>
      <c r="Y25" s="1" t="s">
        <v>23</v>
      </c>
      <c r="Z25" s="1" t="s">
        <v>22</v>
      </c>
      <c r="AA25" s="1" t="s">
        <v>24</v>
      </c>
    </row>
    <row r="26" spans="2:28" x14ac:dyDescent="0.2">
      <c r="B26" s="1">
        <v>1</v>
      </c>
      <c r="C26" s="13">
        <f>C5*(1-C6)*(1+C18)</f>
        <v>3050.1894150000003</v>
      </c>
      <c r="D26" s="4">
        <f t="shared" ref="D26:D30" si="0">$C$17</f>
        <v>0.4</v>
      </c>
      <c r="E26" s="3">
        <f t="shared" ref="E26:E31" si="1">D26*C26</f>
        <v>1220.0757660000002</v>
      </c>
      <c r="F26" s="3">
        <f>C26-E26</f>
        <v>1830.1136490000001</v>
      </c>
      <c r="G26" s="3">
        <f>F26/((1+$C$16)^B26)</f>
        <v>1694.8635386182625</v>
      </c>
      <c r="I26" s="1">
        <v>1</v>
      </c>
      <c r="J26" s="10">
        <f>J5*(1-J6)*(1+J18)</f>
        <v>421.875</v>
      </c>
      <c r="K26" s="4">
        <f>$J$17</f>
        <v>0.5</v>
      </c>
      <c r="L26" s="10">
        <f t="shared" ref="L26:L31" si="2">K26*J26</f>
        <v>210.9375</v>
      </c>
      <c r="M26" s="11">
        <f t="shared" ref="M26:M31" si="3">J26-L26</f>
        <v>210.9375</v>
      </c>
      <c r="N26" s="11">
        <f>M26/((1+$J$16)^I26)</f>
        <v>194.69955695034153</v>
      </c>
      <c r="P26" s="1">
        <v>1</v>
      </c>
      <c r="Q26" s="10">
        <f>Q5*(1-Q6)*(1+Q18)</f>
        <v>3723.9485185227272</v>
      </c>
      <c r="R26" s="7">
        <f t="shared" ref="R26:R30" si="4">$Q$17</f>
        <v>0.41</v>
      </c>
      <c r="S26" s="3">
        <f t="shared" ref="S26:S31" si="5">R26*Q26</f>
        <v>1526.8188925943182</v>
      </c>
      <c r="T26" s="3">
        <f t="shared" ref="T26:T31" si="6">Q26-S26</f>
        <v>2197.129625928409</v>
      </c>
      <c r="U26" s="3">
        <f>T26/((1+$J$16)^P26)</f>
        <v>2027.9948550197612</v>
      </c>
      <c r="W26" s="1">
        <v>1</v>
      </c>
      <c r="X26" s="10">
        <f>X5*(1-X6)*(1+X18)</f>
        <v>3726.8083229348781</v>
      </c>
      <c r="Y26" s="7">
        <f t="shared" ref="Y26:Y30" si="7">$Q$17</f>
        <v>0.41</v>
      </c>
      <c r="Z26" s="3">
        <f t="shared" ref="Z26:Z31" si="8">Y26*X26</f>
        <v>1527.9914124032998</v>
      </c>
      <c r="AA26" s="3">
        <f t="shared" ref="AA26:AA31" si="9">X26-Z26</f>
        <v>2198.8169105315783</v>
      </c>
      <c r="AB26" s="3">
        <f>AA26/((1+$J$16)^W26)</f>
        <v>2029.5522526597549</v>
      </c>
    </row>
    <row r="27" spans="2:28" x14ac:dyDescent="0.2">
      <c r="B27" s="1">
        <f t="shared" ref="B27:B30" si="10">B26+1</f>
        <v>2</v>
      </c>
      <c r="C27" s="13">
        <f t="shared" ref="C27:C30" si="11">C26*(1+$C$18)</f>
        <v>3280.8447385623003</v>
      </c>
      <c r="D27" s="4">
        <f t="shared" si="0"/>
        <v>0.4</v>
      </c>
      <c r="E27" s="3">
        <f t="shared" si="1"/>
        <v>1312.3378954249201</v>
      </c>
      <c r="F27" s="3">
        <f t="shared" ref="F27:F31" si="12">C27-E27</f>
        <v>1968.5068431373802</v>
      </c>
      <c r="G27" s="3">
        <f>F27/((1+$C$16)^B27)</f>
        <v>1688.3025740031262</v>
      </c>
      <c r="I27" s="1">
        <f t="shared" ref="I27:I30" si="13">I26+1</f>
        <v>2</v>
      </c>
      <c r="J27" s="10">
        <f>J26*(1+$J$18)</f>
        <v>474.609375</v>
      </c>
      <c r="K27" s="4">
        <f>$J$17</f>
        <v>0.5</v>
      </c>
      <c r="L27" s="3">
        <f t="shared" si="2"/>
        <v>237.3046875</v>
      </c>
      <c r="M27" s="3">
        <f t="shared" si="3"/>
        <v>237.3046875</v>
      </c>
      <c r="N27" s="3">
        <f>M27/((1+$J$16)^I27)</f>
        <v>202.1755598755162</v>
      </c>
      <c r="P27" s="1">
        <f t="shared" ref="P27:P30" si="14">P26+1</f>
        <v>2</v>
      </c>
      <c r="Q27" s="10">
        <f>Q26*(1+$Q$18)</f>
        <v>4036.3217837757738</v>
      </c>
      <c r="R27" s="7">
        <f t="shared" si="4"/>
        <v>0.41</v>
      </c>
      <c r="S27" s="3">
        <f t="shared" si="5"/>
        <v>1654.8919313480671</v>
      </c>
      <c r="T27" s="3">
        <f t="shared" si="6"/>
        <v>2381.4298524277065</v>
      </c>
      <c r="U27" s="3">
        <f>T27/((1+$J$16)^P27)</f>
        <v>2028.8976117205416</v>
      </c>
      <c r="W27" s="1">
        <f t="shared" ref="W27:W30" si="15">W26+1</f>
        <v>2</v>
      </c>
      <c r="X27" s="10">
        <f>X26*(1+$Q$18)</f>
        <v>4039.4214750815718</v>
      </c>
      <c r="Y27" s="7">
        <f t="shared" si="7"/>
        <v>0.41</v>
      </c>
      <c r="Z27" s="3">
        <f t="shared" si="8"/>
        <v>1656.1628047834442</v>
      </c>
      <c r="AA27" s="3">
        <f t="shared" si="9"/>
        <v>2383.2586702981275</v>
      </c>
      <c r="AB27" s="3">
        <f>AA27/((1+$J$16)^W27)</f>
        <v>2030.4557026320947</v>
      </c>
    </row>
    <row r="28" spans="2:28" x14ac:dyDescent="0.2">
      <c r="B28" s="1">
        <f t="shared" si="10"/>
        <v>3</v>
      </c>
      <c r="C28" s="3">
        <f t="shared" si="11"/>
        <v>3528.9422176923817</v>
      </c>
      <c r="D28" s="4">
        <f t="shared" si="0"/>
        <v>0.4</v>
      </c>
      <c r="E28" s="3">
        <f t="shared" si="1"/>
        <v>1411.5768870769527</v>
      </c>
      <c r="F28" s="3">
        <f t="shared" si="12"/>
        <v>2117.3653306154292</v>
      </c>
      <c r="G28" s="3">
        <f>F28/((1+$C$16)^B28)</f>
        <v>1681.767007454383</v>
      </c>
      <c r="I28" s="1">
        <f t="shared" si="13"/>
        <v>3</v>
      </c>
      <c r="J28" s="10">
        <f>J27*(1+$J$18)</f>
        <v>533.935546875</v>
      </c>
      <c r="K28" s="4">
        <f>$J$17</f>
        <v>0.5</v>
      </c>
      <c r="L28" s="3">
        <f t="shared" si="2"/>
        <v>266.9677734375</v>
      </c>
      <c r="M28" s="3">
        <f t="shared" si="3"/>
        <v>266.9677734375</v>
      </c>
      <c r="N28" s="3">
        <f>M28/((1+$J$16)^I28)</f>
        <v>209.93862364773469</v>
      </c>
      <c r="P28" s="1">
        <f t="shared" si="14"/>
        <v>3</v>
      </c>
      <c r="Q28" s="10">
        <f t="shared" ref="Q28:Q30" si="16">Q27*(1+$Q$18)</f>
        <v>4374.8976284574856</v>
      </c>
      <c r="R28" s="7">
        <f t="shared" si="4"/>
        <v>0.41</v>
      </c>
      <c r="S28" s="3">
        <f t="shared" si="5"/>
        <v>1793.708027667569</v>
      </c>
      <c r="T28" s="3">
        <f t="shared" si="6"/>
        <v>2581.1896007899168</v>
      </c>
      <c r="U28" s="3">
        <f>T28/((1+$J$16)^P28)</f>
        <v>2029.8007702811494</v>
      </c>
      <c r="W28" s="1">
        <f t="shared" si="15"/>
        <v>3</v>
      </c>
      <c r="X28" s="10">
        <f t="shared" ref="X28:X30" si="17">X27*(1+$Q$18)</f>
        <v>4378.2573289147667</v>
      </c>
      <c r="Y28" s="7">
        <f t="shared" si="7"/>
        <v>0.41</v>
      </c>
      <c r="Z28" s="3">
        <f t="shared" si="8"/>
        <v>1795.0855048550543</v>
      </c>
      <c r="AA28" s="3">
        <f t="shared" si="9"/>
        <v>2583.1718240597124</v>
      </c>
      <c r="AB28" s="3">
        <f>AA28/((1+$J$16)^W28)</f>
        <v>2031.3595547728694</v>
      </c>
    </row>
    <row r="29" spans="2:28" x14ac:dyDescent="0.2">
      <c r="B29" s="1">
        <f t="shared" si="10"/>
        <v>4</v>
      </c>
      <c r="C29" s="3">
        <f t="shared" si="11"/>
        <v>3795.8008281942798</v>
      </c>
      <c r="D29" s="4">
        <f t="shared" si="0"/>
        <v>0.4</v>
      </c>
      <c r="E29" s="3">
        <f t="shared" si="1"/>
        <v>1518.3203312777121</v>
      </c>
      <c r="F29" s="3">
        <f t="shared" si="12"/>
        <v>2277.480496916568</v>
      </c>
      <c r="G29" s="3">
        <f>F29/((1+$C$16)^B29)</f>
        <v>1675.2567406539022</v>
      </c>
      <c r="I29" s="1">
        <f t="shared" si="13"/>
        <v>4</v>
      </c>
      <c r="J29" s="10">
        <f>J28*(1+$J$18)</f>
        <v>600.677490234375</v>
      </c>
      <c r="K29" s="4">
        <f>$J$17</f>
        <v>0.5</v>
      </c>
      <c r="L29" s="3">
        <f t="shared" si="2"/>
        <v>300.3387451171875</v>
      </c>
      <c r="M29" s="3">
        <f t="shared" si="3"/>
        <v>300.3387451171875</v>
      </c>
      <c r="N29" s="3">
        <f>M29/((1+$J$16)^I29)</f>
        <v>217.9997707252183</v>
      </c>
      <c r="P29" s="1">
        <f t="shared" si="14"/>
        <v>4</v>
      </c>
      <c r="Q29" s="10">
        <f t="shared" si="16"/>
        <v>4741.8739844816555</v>
      </c>
      <c r="R29" s="7">
        <f t="shared" si="4"/>
        <v>0.41</v>
      </c>
      <c r="S29" s="3">
        <f t="shared" si="5"/>
        <v>1944.1683336374786</v>
      </c>
      <c r="T29" s="3">
        <f t="shared" si="6"/>
        <v>2797.7056508441769</v>
      </c>
      <c r="U29" s="3">
        <f>T29/((1+$J$16)^P29)</f>
        <v>2030.7043308804698</v>
      </c>
      <c r="W29" s="1">
        <f t="shared" si="15"/>
        <v>4</v>
      </c>
      <c r="X29" s="10">
        <f t="shared" si="17"/>
        <v>4745.515504248976</v>
      </c>
      <c r="Y29" s="7">
        <f t="shared" si="7"/>
        <v>0.41</v>
      </c>
      <c r="Z29" s="3">
        <f t="shared" si="8"/>
        <v>1945.66135674208</v>
      </c>
      <c r="AA29" s="3">
        <f t="shared" si="9"/>
        <v>2799.854147506896</v>
      </c>
      <c r="AB29" s="3">
        <f>AA29/((1+$J$16)^W29)</f>
        <v>2032.2638092611028</v>
      </c>
    </row>
    <row r="30" spans="2:28" x14ac:dyDescent="0.2">
      <c r="B30" s="1">
        <f t="shared" si="10"/>
        <v>5</v>
      </c>
      <c r="C30" s="3">
        <f t="shared" si="11"/>
        <v>4082.8392868223314</v>
      </c>
      <c r="D30" s="4">
        <f t="shared" si="0"/>
        <v>0.4</v>
      </c>
      <c r="E30" s="3">
        <f t="shared" si="1"/>
        <v>1633.1357147289327</v>
      </c>
      <c r="F30" s="3">
        <f t="shared" si="12"/>
        <v>2449.7035720933986</v>
      </c>
      <c r="G30" s="3">
        <f>F30/((1+$C$16)^B30)</f>
        <v>1668.7716756641505</v>
      </c>
      <c r="I30" s="1">
        <f t="shared" si="13"/>
        <v>5</v>
      </c>
      <c r="J30" s="10">
        <f>J29*(1+$J$18)</f>
        <v>675.76217651367188</v>
      </c>
      <c r="K30" s="4">
        <f>$J$17</f>
        <v>0.5</v>
      </c>
      <c r="L30" s="3">
        <f t="shared" si="2"/>
        <v>337.88108825683594</v>
      </c>
      <c r="M30" s="3">
        <f t="shared" si="3"/>
        <v>337.88108825683594</v>
      </c>
      <c r="N30" s="3">
        <f>M30/((1+$J$16)^I30)</f>
        <v>226.37044680253888</v>
      </c>
      <c r="P30" s="1">
        <f t="shared" si="14"/>
        <v>5</v>
      </c>
      <c r="Q30" s="10">
        <f t="shared" si="16"/>
        <v>5139.6331512863053</v>
      </c>
      <c r="R30" s="7">
        <f t="shared" si="4"/>
        <v>0.41</v>
      </c>
      <c r="S30" s="3">
        <f t="shared" si="5"/>
        <v>2107.249592027385</v>
      </c>
      <c r="T30" s="3">
        <f t="shared" si="6"/>
        <v>3032.3835592589203</v>
      </c>
      <c r="U30" s="3">
        <f>T30/((1+$J$16)^P30)</f>
        <v>2031.6082936974706</v>
      </c>
      <c r="W30" s="1">
        <f t="shared" si="15"/>
        <v>5</v>
      </c>
      <c r="X30" s="10">
        <f t="shared" si="17"/>
        <v>5143.5801300078901</v>
      </c>
      <c r="Y30" s="7">
        <f t="shared" si="7"/>
        <v>0.41</v>
      </c>
      <c r="Z30" s="3">
        <f t="shared" si="8"/>
        <v>2108.8678533032348</v>
      </c>
      <c r="AA30" s="3">
        <f t="shared" si="9"/>
        <v>3034.7122767046553</v>
      </c>
      <c r="AB30" s="3">
        <f>AA30/((1+$J$16)^W30)</f>
        <v>2033.1684662758992</v>
      </c>
    </row>
    <row r="31" spans="2:28" x14ac:dyDescent="0.2">
      <c r="B31" s="1" t="s">
        <v>26</v>
      </c>
      <c r="C31" s="3">
        <f>C30*(1+$C$19)</f>
        <v>4256.3599565122804</v>
      </c>
      <c r="D31" s="7">
        <f>$C$21</f>
        <v>0.53539999999999999</v>
      </c>
      <c r="E31" s="3">
        <f t="shared" si="1"/>
        <v>2278.8551207166747</v>
      </c>
      <c r="F31" s="3">
        <f t="shared" si="12"/>
        <v>1977.5048357956057</v>
      </c>
      <c r="G31" s="3"/>
      <c r="I31" s="1" t="s">
        <v>26</v>
      </c>
      <c r="J31" s="10">
        <f>J30*(1+$J$19)</f>
        <v>704.48206901550293</v>
      </c>
      <c r="K31" s="7">
        <f>J21</f>
        <v>0.5121</v>
      </c>
      <c r="L31" s="3">
        <f t="shared" si="2"/>
        <v>360.76526754283907</v>
      </c>
      <c r="M31" s="3">
        <f t="shared" si="3"/>
        <v>343.71680147266386</v>
      </c>
      <c r="N31" s="3"/>
      <c r="P31" s="1" t="s">
        <v>26</v>
      </c>
      <c r="Q31" s="10">
        <f>Q30*(1+$Q$19)</f>
        <v>5358.0675602159736</v>
      </c>
      <c r="R31" s="7">
        <f>Q21</f>
        <v>0.5323</v>
      </c>
      <c r="S31" s="3">
        <f t="shared" si="5"/>
        <v>2852.0993623029626</v>
      </c>
      <c r="T31" s="3">
        <f t="shared" si="6"/>
        <v>2505.968197913011</v>
      </c>
      <c r="U31" s="3"/>
      <c r="W31" s="1" t="s">
        <v>26</v>
      </c>
      <c r="X31" s="10">
        <f>X30*(1+$Q$19)</f>
        <v>5362.1822855332257</v>
      </c>
      <c r="Y31" s="7">
        <f>X21</f>
        <v>0.53284001654175239</v>
      </c>
      <c r="Z31" s="3">
        <f t="shared" si="8"/>
        <v>2857.1852977234157</v>
      </c>
      <c r="AA31" s="3">
        <f t="shared" si="9"/>
        <v>2504.99698780981</v>
      </c>
      <c r="AB31" s="3"/>
    </row>
    <row r="32" spans="2:28" x14ac:dyDescent="0.2">
      <c r="B32" s="1" t="s">
        <v>25</v>
      </c>
      <c r="E32" s="3"/>
      <c r="F32" s="3">
        <f>F31/(C20-C19)</f>
        <v>53016.215436879516</v>
      </c>
      <c r="G32" s="3">
        <f>F32/((1+$C$16)^5)</f>
        <v>36115.373174056796</v>
      </c>
      <c r="I32" s="1" t="s">
        <v>25</v>
      </c>
      <c r="L32" s="3"/>
      <c r="M32" s="3">
        <f>M31/(J20-J19)</f>
        <v>8403.8337768377478</v>
      </c>
      <c r="N32" s="3">
        <f>M32/((1+$J$16)^5)</f>
        <v>5630.3228355620768</v>
      </c>
      <c r="P32" s="1" t="s">
        <v>25</v>
      </c>
      <c r="S32" s="3"/>
      <c r="T32" s="3">
        <f>T31/(Q20-Q19)</f>
        <v>80786.241593092418</v>
      </c>
      <c r="U32" s="3">
        <f>T32/((1+$J$16)^5)</f>
        <v>54124.419035329629</v>
      </c>
      <c r="W32" s="1" t="s">
        <v>25</v>
      </c>
      <c r="Z32" s="3"/>
      <c r="AA32" s="3">
        <f>AA31/(X20-X19)</f>
        <v>67227.889358198008</v>
      </c>
      <c r="AB32" s="3">
        <f>AA32/((1+$J$16)^5)</f>
        <v>45040.719591973306</v>
      </c>
    </row>
    <row r="33" spans="2:28" x14ac:dyDescent="0.2">
      <c r="B33" s="1" t="s">
        <v>27</v>
      </c>
      <c r="E33" s="3"/>
      <c r="F33" s="3"/>
      <c r="G33" s="3">
        <f>SUM(G26:G32)</f>
        <v>44524.334710450625</v>
      </c>
      <c r="I33" s="1" t="s">
        <v>27</v>
      </c>
      <c r="L33" s="3"/>
      <c r="M33" s="3"/>
      <c r="N33" s="3">
        <f>SUM(N26:N32)</f>
        <v>6681.5067935634261</v>
      </c>
      <c r="P33" s="1" t="s">
        <v>27</v>
      </c>
      <c r="S33" s="3"/>
      <c r="T33" s="3"/>
      <c r="U33" s="3">
        <f>SUM(U26:U32)</f>
        <v>64273.42489692902</v>
      </c>
      <c r="W33" s="1" t="s">
        <v>27</v>
      </c>
      <c r="Z33" s="3"/>
      <c r="AA33" s="3"/>
      <c r="AB33" s="3">
        <f>SUM(AB26:AB32)</f>
        <v>55197.519377575023</v>
      </c>
    </row>
    <row r="34" spans="2:28" x14ac:dyDescent="0.2">
      <c r="B34" s="2" t="s">
        <v>28</v>
      </c>
      <c r="C34" s="12">
        <f>G33</f>
        <v>44524.334710450625</v>
      </c>
      <c r="I34" s="2" t="s">
        <v>28</v>
      </c>
      <c r="J34" s="12">
        <f>N33</f>
        <v>6681.5067935634261</v>
      </c>
      <c r="P34" s="2" t="s">
        <v>28</v>
      </c>
      <c r="Q34" s="12">
        <f>U33</f>
        <v>64273.42489692902</v>
      </c>
      <c r="W34" s="2" t="s">
        <v>28</v>
      </c>
      <c r="X34" s="12">
        <f>AB33</f>
        <v>55197.519377575023</v>
      </c>
    </row>
    <row r="36" spans="2:28" x14ac:dyDescent="0.2">
      <c r="B36" s="1" t="s">
        <v>46</v>
      </c>
      <c r="C36" s="10">
        <f>C34</f>
        <v>44524.334710450625</v>
      </c>
    </row>
    <row r="37" spans="2:28" x14ac:dyDescent="0.2">
      <c r="B37" s="1" t="s">
        <v>45</v>
      </c>
      <c r="C37" s="10">
        <f>J34</f>
        <v>6681.5067935634261</v>
      </c>
    </row>
    <row r="38" spans="2:28" x14ac:dyDescent="0.2">
      <c r="B38" s="2" t="s">
        <v>40</v>
      </c>
      <c r="C38" s="24">
        <f>J34+C34</f>
        <v>51205.841504014053</v>
      </c>
    </row>
    <row r="39" spans="2:28" x14ac:dyDescent="0.2">
      <c r="B39" s="2" t="s">
        <v>41</v>
      </c>
      <c r="C39" s="10">
        <f>Q34</f>
        <v>64273.42489692902</v>
      </c>
      <c r="P39" s="2" t="s">
        <v>35</v>
      </c>
      <c r="W39" s="2" t="s">
        <v>35</v>
      </c>
    </row>
    <row r="40" spans="2:28" x14ac:dyDescent="0.2">
      <c r="B40" s="1" t="s">
        <v>42</v>
      </c>
      <c r="C40" s="10">
        <f>C39-C38</f>
        <v>13067.583392914967</v>
      </c>
    </row>
    <row r="41" spans="2:28" x14ac:dyDescent="0.2">
      <c r="C41" s="10"/>
    </row>
    <row r="42" spans="2:28" x14ac:dyDescent="0.2">
      <c r="B42" s="1" t="s">
        <v>49</v>
      </c>
      <c r="C42" s="10">
        <f>C40/((1+Q16)^4)</f>
        <v>9839.0947252935548</v>
      </c>
      <c r="P42" s="1" t="s">
        <v>82</v>
      </c>
      <c r="Q42" s="1">
        <f>C10/(1+(1-C6)*(C9/(1-C9)))</f>
        <v>0.7384615384615385</v>
      </c>
      <c r="W42" s="1" t="s">
        <v>36</v>
      </c>
      <c r="X42" s="1">
        <f>J10/(1+(1-J6)*(J9/(1-J9)))</f>
        <v>0.83076923076923082</v>
      </c>
    </row>
    <row r="43" spans="2:28" x14ac:dyDescent="0.2">
      <c r="C43" s="10"/>
      <c r="P43" s="1" t="s">
        <v>83</v>
      </c>
      <c r="Q43" s="1">
        <f>J10/(1+(1-J6)*(J9/(1-J9)))</f>
        <v>0.83076923076923082</v>
      </c>
      <c r="W43" s="1" t="s">
        <v>37</v>
      </c>
      <c r="X43" s="1">
        <f>Q10/(1+(1-Q6)*(Q9/(1-Q9)))</f>
        <v>0.75050615007491583</v>
      </c>
    </row>
    <row r="44" spans="2:28" x14ac:dyDescent="0.2">
      <c r="P44" s="1" t="s">
        <v>38</v>
      </c>
      <c r="Q44" s="1">
        <f>(Q42*C34+Q43*J34)/(C34+J34)</f>
        <v>0.75050615007491583</v>
      </c>
      <c r="W44" s="1" t="s">
        <v>38</v>
      </c>
      <c r="X44" s="1">
        <f>(X42*J34+X43*Q34)/(J34+Q34)</f>
        <v>0.75806416339625415</v>
      </c>
    </row>
    <row r="46" spans="2:28" x14ac:dyDescent="0.2">
      <c r="P46" s="1" t="s">
        <v>39</v>
      </c>
      <c r="Q46" s="1">
        <f>Q44*(1+(1-Q6)*(Q9/(1-Q9)))</f>
        <v>0.81304832924782544</v>
      </c>
      <c r="W46" s="1" t="s">
        <v>39</v>
      </c>
      <c r="X46" s="1">
        <f>X44*(1+(1-X6)*(X9/(1-X9)))</f>
        <v>0.81281324186376136</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6E65-3F6D-4BD6-9CCA-2C940A6EC5BA}">
  <dimension ref="B1:AC46"/>
  <sheetViews>
    <sheetView topLeftCell="A2" zoomScale="88" zoomScaleNormal="88" workbookViewId="0">
      <selection activeCell="Q18" sqref="Q18"/>
    </sheetView>
  </sheetViews>
  <sheetFormatPr defaultColWidth="9.140625" defaultRowHeight="12" outlineLevelCol="1" x14ac:dyDescent="0.2"/>
  <cols>
    <col min="1" max="1" width="2.42578125" style="1" customWidth="1"/>
    <col min="2" max="2" width="25.5703125" style="1" bestFit="1" customWidth="1"/>
    <col min="3" max="3" width="21" style="1" bestFit="1" customWidth="1"/>
    <col min="4" max="4" width="6.28515625" style="1" customWidth="1"/>
    <col min="5" max="5" width="6" style="1" bestFit="1" customWidth="1"/>
    <col min="6" max="6" width="8.140625" style="1" bestFit="1" customWidth="1"/>
    <col min="7" max="7" width="9.85546875" style="1" bestFit="1" customWidth="1"/>
    <col min="8" max="8" width="9.140625" style="1"/>
    <col min="9" max="9" width="25.5703125" style="1" bestFit="1" customWidth="1"/>
    <col min="10" max="10" width="10.5703125" style="1" bestFit="1" customWidth="1"/>
    <col min="11" max="11" width="9.28515625" style="1" customWidth="1"/>
    <col min="12" max="12" width="6" style="1" bestFit="1" customWidth="1"/>
    <col min="13" max="14" width="6.85546875" style="1" bestFit="1" customWidth="1"/>
    <col min="15" max="15" width="9.140625" style="1"/>
    <col min="16" max="16" width="25.5703125" style="1" bestFit="1" customWidth="1"/>
    <col min="17" max="17" width="11.5703125" style="1" bestFit="1" customWidth="1"/>
    <col min="18" max="18" width="6.5703125" style="1" customWidth="1"/>
    <col min="19" max="19" width="17.5703125" style="1" bestFit="1" customWidth="1"/>
    <col min="20" max="21" width="7.7109375" style="1" bestFit="1" customWidth="1"/>
    <col min="22" max="22" width="9.140625" style="1"/>
    <col min="23" max="23" width="25.5703125" style="1" hidden="1" customWidth="1" outlineLevel="1"/>
    <col min="24" max="24" width="11.5703125" style="1" hidden="1" customWidth="1" outlineLevel="1"/>
    <col min="25" max="25" width="6.5703125" style="1" hidden="1" customWidth="1" outlineLevel="1"/>
    <col min="26" max="26" width="17.5703125" style="1" hidden="1" customWidth="1" outlineLevel="1"/>
    <col min="27" max="28" width="7.7109375" style="1" hidden="1" customWidth="1" outlineLevel="1"/>
    <col min="29" max="29" width="9.140625" style="1" collapsed="1"/>
    <col min="30" max="16384" width="9.140625" style="1"/>
  </cols>
  <sheetData>
    <row r="1" spans="2:26" x14ac:dyDescent="0.2">
      <c r="W1" s="23" t="s">
        <v>51</v>
      </c>
    </row>
    <row r="2" spans="2:26" x14ac:dyDescent="0.2">
      <c r="W2" s="23" t="s">
        <v>52</v>
      </c>
    </row>
    <row r="4" spans="2:26" x14ac:dyDescent="0.2">
      <c r="B4" s="2" t="s">
        <v>43</v>
      </c>
      <c r="I4" s="2" t="s">
        <v>44</v>
      </c>
      <c r="P4" s="2" t="s">
        <v>48</v>
      </c>
      <c r="W4" s="2" t="s">
        <v>50</v>
      </c>
    </row>
    <row r="5" spans="2:26" x14ac:dyDescent="0.2">
      <c r="B5" s="1" t="s">
        <v>1</v>
      </c>
      <c r="C5" s="3">
        <v>15000</v>
      </c>
      <c r="I5" s="1" t="s">
        <v>1</v>
      </c>
      <c r="J5" s="3">
        <v>2000</v>
      </c>
      <c r="P5" s="1" t="s">
        <v>1</v>
      </c>
      <c r="Q5" s="3">
        <f>J5+C5+200</f>
        <v>17200</v>
      </c>
      <c r="W5" s="1" t="s">
        <v>1</v>
      </c>
      <c r="X5" s="3">
        <f>Q5+J5+200</f>
        <v>19400</v>
      </c>
    </row>
    <row r="6" spans="2:26" x14ac:dyDescent="0.2">
      <c r="B6" s="1" t="s">
        <v>2</v>
      </c>
      <c r="C6" s="4">
        <v>0.35</v>
      </c>
      <c r="I6" s="1" t="s">
        <v>2</v>
      </c>
      <c r="J6" s="4">
        <v>0.35</v>
      </c>
      <c r="P6" s="1" t="s">
        <v>2</v>
      </c>
      <c r="Q6" s="4">
        <v>0.35</v>
      </c>
      <c r="W6" s="1" t="s">
        <v>2</v>
      </c>
      <c r="X6" s="4">
        <v>0.35</v>
      </c>
    </row>
    <row r="7" spans="2:26" x14ac:dyDescent="0.2">
      <c r="B7" s="1" t="s">
        <v>3</v>
      </c>
      <c r="C7" s="3">
        <v>45000</v>
      </c>
      <c r="I7" s="1" t="s">
        <v>3</v>
      </c>
      <c r="J7" s="3">
        <v>6000</v>
      </c>
      <c r="P7" s="1" t="s">
        <v>3</v>
      </c>
      <c r="Q7" s="3">
        <f>J7+C7</f>
        <v>51000</v>
      </c>
      <c r="W7" s="1" t="s">
        <v>3</v>
      </c>
      <c r="X7" s="3">
        <f>Q7+J7</f>
        <v>57000</v>
      </c>
    </row>
    <row r="8" spans="2:26" x14ac:dyDescent="0.2">
      <c r="B8" s="5" t="s">
        <v>4</v>
      </c>
      <c r="C8" s="6">
        <f>C5/C7</f>
        <v>0.33333333333333331</v>
      </c>
      <c r="D8" s="15">
        <f>C8*(1-C6)</f>
        <v>0.21666666666666667</v>
      </c>
      <c r="I8" s="5" t="s">
        <v>4</v>
      </c>
      <c r="J8" s="6">
        <v>0.25</v>
      </c>
      <c r="K8" s="14">
        <f>J8*(1-J6)</f>
        <v>0.16250000000000001</v>
      </c>
      <c r="P8" s="5" t="s">
        <v>4</v>
      </c>
      <c r="Q8" s="6">
        <f>S8/(1-Q6)</f>
        <v>0.33891402714932128</v>
      </c>
      <c r="R8" s="1" t="s">
        <v>34</v>
      </c>
      <c r="S8" s="16">
        <f>1%+(D8*C7+K8*J7)/Q7</f>
        <v>0.22029411764705883</v>
      </c>
      <c r="W8" s="5" t="s">
        <v>4</v>
      </c>
      <c r="X8" s="6">
        <f>Z8/(1-X6)</f>
        <v>0.33891402714932128</v>
      </c>
      <c r="Y8" s="1" t="s">
        <v>34</v>
      </c>
      <c r="Z8" s="16">
        <f>1%+(D8*C7+K8*J7)/Q7</f>
        <v>0.22029411764705883</v>
      </c>
    </row>
    <row r="9" spans="2:26" x14ac:dyDescent="0.2">
      <c r="B9" s="1" t="s">
        <v>6</v>
      </c>
      <c r="C9" s="4">
        <v>0.1</v>
      </c>
      <c r="I9" s="1" t="s">
        <v>6</v>
      </c>
      <c r="J9" s="4">
        <v>0.1</v>
      </c>
      <c r="P9" s="1" t="s">
        <v>6</v>
      </c>
      <c r="Q9" s="4">
        <v>0.1</v>
      </c>
      <c r="W9" s="1" t="s">
        <v>6</v>
      </c>
      <c r="X9" s="4">
        <v>0.1</v>
      </c>
    </row>
    <row r="10" spans="2:26" x14ac:dyDescent="0.2">
      <c r="B10" s="1" t="s">
        <v>7</v>
      </c>
      <c r="C10" s="1">
        <v>0.8</v>
      </c>
      <c r="I10" s="1" t="s">
        <v>7</v>
      </c>
      <c r="J10" s="1">
        <v>0.9</v>
      </c>
      <c r="P10" s="1" t="s">
        <v>7</v>
      </c>
      <c r="Q10" s="18">
        <f>Q46</f>
        <v>0.81069623078054986</v>
      </c>
      <c r="W10" s="1" t="s">
        <v>7</v>
      </c>
      <c r="X10" s="18">
        <f>X46</f>
        <v>0.8191865698777413</v>
      </c>
    </row>
    <row r="11" spans="2:26" x14ac:dyDescent="0.2">
      <c r="B11" s="1" t="s">
        <v>8</v>
      </c>
      <c r="C11" s="4">
        <v>0.05</v>
      </c>
      <c r="I11" s="1" t="s">
        <v>8</v>
      </c>
      <c r="J11" s="4">
        <v>0.05</v>
      </c>
      <c r="P11" s="1" t="s">
        <v>8</v>
      </c>
      <c r="Q11" s="4">
        <v>0.05</v>
      </c>
      <c r="W11" s="1" t="s">
        <v>8</v>
      </c>
      <c r="X11" s="4">
        <v>0.05</v>
      </c>
    </row>
    <row r="12" spans="2:26" x14ac:dyDescent="0.2">
      <c r="B12" s="1" t="s">
        <v>9</v>
      </c>
      <c r="C12" s="7">
        <v>5.2499999999999998E-2</v>
      </c>
      <c r="I12" s="1" t="s">
        <v>9</v>
      </c>
      <c r="J12" s="7">
        <v>5.2499999999999998E-2</v>
      </c>
      <c r="P12" s="1" t="s">
        <v>9</v>
      </c>
      <c r="Q12" s="7">
        <v>5.2499999999999998E-2</v>
      </c>
      <c r="W12" s="1" t="s">
        <v>9</v>
      </c>
      <c r="X12" s="7">
        <v>5.2499999999999998E-2</v>
      </c>
    </row>
    <row r="13" spans="2:26" x14ac:dyDescent="0.2">
      <c r="B13" s="1" t="s">
        <v>10</v>
      </c>
      <c r="C13" s="4">
        <v>0.04</v>
      </c>
      <c r="I13" s="1" t="s">
        <v>10</v>
      </c>
      <c r="J13" s="4">
        <v>0.04</v>
      </c>
      <c r="P13" s="1" t="s">
        <v>10</v>
      </c>
      <c r="Q13" s="4">
        <v>0.04</v>
      </c>
      <c r="W13" s="1" t="s">
        <v>10</v>
      </c>
      <c r="X13" s="4">
        <v>0.04</v>
      </c>
    </row>
    <row r="14" spans="2:26" x14ac:dyDescent="0.2">
      <c r="B14" s="5" t="s">
        <v>11</v>
      </c>
      <c r="C14" s="5"/>
      <c r="I14" s="5" t="s">
        <v>11</v>
      </c>
      <c r="J14" s="5"/>
      <c r="P14" s="5" t="s">
        <v>11</v>
      </c>
      <c r="Q14" s="5"/>
      <c r="W14" s="5" t="s">
        <v>11</v>
      </c>
      <c r="X14" s="5"/>
    </row>
    <row r="15" spans="2:26" x14ac:dyDescent="0.2">
      <c r="B15" s="5" t="s">
        <v>12</v>
      </c>
      <c r="C15" s="8">
        <f>C12+C13*C10</f>
        <v>8.4499999999999992E-2</v>
      </c>
      <c r="I15" s="5" t="s">
        <v>12</v>
      </c>
      <c r="J15" s="8">
        <f>J12+J13*J10</f>
        <v>8.8499999999999995E-2</v>
      </c>
      <c r="P15" s="5" t="s">
        <v>12</v>
      </c>
      <c r="Q15" s="8">
        <f>Q12+Q13*Q10</f>
        <v>8.4927849231221986E-2</v>
      </c>
      <c r="W15" s="5" t="s">
        <v>12</v>
      </c>
      <c r="X15" s="8">
        <f>X12+X13*X10</f>
        <v>8.5267462795109661E-2</v>
      </c>
    </row>
    <row r="16" spans="2:26" x14ac:dyDescent="0.2">
      <c r="B16" s="5" t="s">
        <v>11</v>
      </c>
      <c r="C16" s="8">
        <f>C15*(1-C9)+C11*(1-C6)*C9</f>
        <v>7.9299999999999995E-2</v>
      </c>
      <c r="I16" s="5" t="s">
        <v>11</v>
      </c>
      <c r="J16" s="8">
        <f>J15*(1-J9)+J11*(1-J6)*J9</f>
        <v>8.2900000000000001E-2</v>
      </c>
      <c r="P16" s="5" t="s">
        <v>11</v>
      </c>
      <c r="Q16" s="8">
        <f>Q15*(1-Q9)+Q11*(1-Q6)*Q9</f>
        <v>7.9685064308099796E-2</v>
      </c>
      <c r="W16" s="5" t="s">
        <v>11</v>
      </c>
      <c r="X16" s="8">
        <f>X15*(1-X9)+X11*(1-X6)*X9</f>
        <v>7.9990716515598706E-2</v>
      </c>
    </row>
    <row r="17" spans="2:28" x14ac:dyDescent="0.2">
      <c r="B17" s="1" t="s">
        <v>13</v>
      </c>
      <c r="C17" s="4">
        <v>0.4</v>
      </c>
      <c r="I17" s="1" t="s">
        <v>13</v>
      </c>
      <c r="J17" s="4">
        <v>0.5</v>
      </c>
      <c r="P17" s="1" t="s">
        <v>13</v>
      </c>
      <c r="Q17" s="17">
        <f>(C17*C5+J17*J5)/(C5+J5)</f>
        <v>0.41176470588235292</v>
      </c>
      <c r="W17" s="1" t="s">
        <v>13</v>
      </c>
      <c r="X17" s="17">
        <f>(J17*J5+Q17*Q5)/(J5+Q5)</f>
        <v>0.42095588235294118</v>
      </c>
    </row>
    <row r="18" spans="2:28" x14ac:dyDescent="0.2">
      <c r="B18" s="5" t="s">
        <v>14</v>
      </c>
      <c r="C18" s="9">
        <f>C17*C8*(1-C6)</f>
        <v>8.666666666666667E-2</v>
      </c>
      <c r="I18" s="5" t="s">
        <v>14</v>
      </c>
      <c r="J18" s="9">
        <f>J17*J8*(1-J6)</f>
        <v>8.1250000000000003E-2</v>
      </c>
      <c r="P18" s="5" t="s">
        <v>14</v>
      </c>
      <c r="Q18" s="19">
        <f>Q17*S8</f>
        <v>9.070934256055363E-2</v>
      </c>
      <c r="W18" s="5" t="s">
        <v>14</v>
      </c>
      <c r="X18" s="19">
        <f>X17*Z8</f>
        <v>9.2734104671280279E-2</v>
      </c>
    </row>
    <row r="19" spans="2:28" x14ac:dyDescent="0.2">
      <c r="B19" s="1" t="s">
        <v>15</v>
      </c>
      <c r="C19" s="7">
        <v>4.2500000000000003E-2</v>
      </c>
      <c r="I19" s="1" t="s">
        <v>15</v>
      </c>
      <c r="J19" s="7">
        <v>4.2500000000000003E-2</v>
      </c>
      <c r="P19" s="1" t="s">
        <v>15</v>
      </c>
      <c r="Q19" s="7">
        <v>4.2500000000000003E-2</v>
      </c>
      <c r="W19" s="1" t="s">
        <v>15</v>
      </c>
      <c r="X19" s="7">
        <v>4.2500000000000003E-2</v>
      </c>
    </row>
    <row r="20" spans="2:28" x14ac:dyDescent="0.2">
      <c r="B20" s="5" t="s">
        <v>16</v>
      </c>
      <c r="C20" s="8">
        <f>C16</f>
        <v>7.9299999999999995E-2</v>
      </c>
      <c r="D20" s="1" t="s">
        <v>17</v>
      </c>
      <c r="I20" s="5" t="s">
        <v>16</v>
      </c>
      <c r="J20" s="8">
        <f>J16</f>
        <v>8.2900000000000001E-2</v>
      </c>
      <c r="K20" s="1" t="s">
        <v>17</v>
      </c>
      <c r="P20" s="5" t="s">
        <v>16</v>
      </c>
      <c r="Q20" s="8">
        <f>Q16</f>
        <v>7.9685064308099796E-2</v>
      </c>
      <c r="R20" s="1" t="s">
        <v>17</v>
      </c>
      <c r="W20" s="5" t="s">
        <v>16</v>
      </c>
      <c r="X20" s="8">
        <f>X16</f>
        <v>7.9990716515598706E-2</v>
      </c>
      <c r="Y20" s="1" t="s">
        <v>17</v>
      </c>
    </row>
    <row r="21" spans="2:28" x14ac:dyDescent="0.2">
      <c r="B21" s="5" t="s">
        <v>18</v>
      </c>
      <c r="C21" s="9">
        <f>C19/C20</f>
        <v>0.53593947036569989</v>
      </c>
      <c r="I21" s="5" t="s">
        <v>18</v>
      </c>
      <c r="J21" s="9">
        <f>J19/J20</f>
        <v>0.51266586248492163</v>
      </c>
      <c r="P21" s="5" t="s">
        <v>18</v>
      </c>
      <c r="Q21" s="9">
        <f>Q19/Q20</f>
        <v>0.53334963545583758</v>
      </c>
      <c r="T21" s="16"/>
      <c r="W21" s="5" t="s">
        <v>18</v>
      </c>
      <c r="X21" s="9">
        <f>X19/X20</f>
        <v>0.53131165529330182</v>
      </c>
      <c r="AA21" s="16"/>
    </row>
    <row r="23" spans="2:28" x14ac:dyDescent="0.2">
      <c r="B23" s="1" t="s">
        <v>19</v>
      </c>
      <c r="I23" s="1" t="s">
        <v>30</v>
      </c>
      <c r="P23" s="1" t="s">
        <v>30</v>
      </c>
      <c r="W23" s="1" t="s">
        <v>30</v>
      </c>
    </row>
    <row r="25" spans="2:28" x14ac:dyDescent="0.2">
      <c r="B25" s="1" t="s">
        <v>20</v>
      </c>
      <c r="C25" s="1" t="s">
        <v>21</v>
      </c>
      <c r="D25" s="1" t="s">
        <v>23</v>
      </c>
      <c r="E25" s="1" t="s">
        <v>22</v>
      </c>
      <c r="F25" s="1" t="s">
        <v>24</v>
      </c>
      <c r="I25" s="1" t="s">
        <v>20</v>
      </c>
      <c r="J25" s="1" t="s">
        <v>21</v>
      </c>
      <c r="K25" s="1" t="s">
        <v>23</v>
      </c>
      <c r="L25" s="1" t="s">
        <v>22</v>
      </c>
      <c r="M25" s="1" t="s">
        <v>24</v>
      </c>
      <c r="P25" s="1" t="s">
        <v>20</v>
      </c>
      <c r="Q25" s="1" t="s">
        <v>21</v>
      </c>
      <c r="R25" s="1" t="s">
        <v>23</v>
      </c>
      <c r="S25" s="1" t="s">
        <v>22</v>
      </c>
      <c r="T25" s="1" t="s">
        <v>24</v>
      </c>
      <c r="W25" s="1" t="s">
        <v>20</v>
      </c>
      <c r="X25" s="1" t="s">
        <v>21</v>
      </c>
      <c r="Y25" s="1" t="s">
        <v>23</v>
      </c>
      <c r="Z25" s="1" t="s">
        <v>22</v>
      </c>
      <c r="AA25" s="1" t="s">
        <v>24</v>
      </c>
    </row>
    <row r="26" spans="2:28" x14ac:dyDescent="0.2">
      <c r="B26" s="1">
        <v>1</v>
      </c>
      <c r="C26" s="13">
        <f>C5*(1-C6)*(1+C18)</f>
        <v>10595</v>
      </c>
      <c r="D26" s="4">
        <f t="shared" ref="D26:D30" si="0">$C$17</f>
        <v>0.4</v>
      </c>
      <c r="E26" s="3">
        <f t="shared" ref="E26:E31" si="1">D26*C26</f>
        <v>4238</v>
      </c>
      <c r="F26" s="3">
        <f>C26-E26</f>
        <v>6357</v>
      </c>
      <c r="G26" s="3">
        <f>F26/((1+$C$16)^B26)</f>
        <v>5889.9286574631706</v>
      </c>
      <c r="I26" s="1">
        <v>1</v>
      </c>
      <c r="J26" s="10">
        <f>J5*(1-J6)*(1+J18)</f>
        <v>1405.625</v>
      </c>
      <c r="K26" s="4">
        <f>$J$17</f>
        <v>0.5</v>
      </c>
      <c r="L26" s="10">
        <f t="shared" ref="L26:L31" si="2">K26*J26</f>
        <v>702.8125</v>
      </c>
      <c r="M26" s="11">
        <f t="shared" ref="M26:M31" si="3">J26-L26</f>
        <v>702.8125</v>
      </c>
      <c r="N26" s="11">
        <f>M26/((1+$J$16)^I26)</f>
        <v>649.00960384153666</v>
      </c>
      <c r="P26" s="1">
        <v>1</v>
      </c>
      <c r="Q26" s="10">
        <f>Q5*(1-Q6)*(1+Q18)</f>
        <v>12194.130449826989</v>
      </c>
      <c r="R26" s="7">
        <f t="shared" ref="R26:R30" si="4">$Q$17</f>
        <v>0.41176470588235292</v>
      </c>
      <c r="S26" s="3">
        <f t="shared" ref="S26:S31" si="5">R26*Q26</f>
        <v>5021.1125381640541</v>
      </c>
      <c r="T26" s="3">
        <f t="shared" ref="T26:T31" si="6">Q26-S26</f>
        <v>7173.0179116629351</v>
      </c>
      <c r="U26" s="3">
        <f>T26/((1+$J$16)^P26)</f>
        <v>6623.8968618182062</v>
      </c>
      <c r="W26" s="1">
        <v>1</v>
      </c>
      <c r="X26" s="10">
        <f>X5*(1-X6)*(1+X18)</f>
        <v>13779.377059904844</v>
      </c>
      <c r="Y26" s="7">
        <f t="shared" ref="Y26:Y30" si="7">$Q$17</f>
        <v>0.41176470588235292</v>
      </c>
      <c r="Z26" s="3">
        <f t="shared" ref="Z26:Z31" si="8">Y26*X26</f>
        <v>5673.861142313759</v>
      </c>
      <c r="AA26" s="3">
        <f t="shared" ref="AA26:AA31" si="9">X26-Z26</f>
        <v>8105.5159175910849</v>
      </c>
      <c r="AB26" s="3">
        <f>AA26/((1+$J$16)^W26)</f>
        <v>7485.0086966396575</v>
      </c>
    </row>
    <row r="27" spans="2:28" x14ac:dyDescent="0.2">
      <c r="B27" s="1">
        <f t="shared" ref="B27:B30" si="10">B26+1</f>
        <v>2</v>
      </c>
      <c r="C27" s="13">
        <f t="shared" ref="C27:C30" si="11">C26*(1+$C$18)</f>
        <v>11513.233333333334</v>
      </c>
      <c r="D27" s="4">
        <f t="shared" si="0"/>
        <v>0.4</v>
      </c>
      <c r="E27" s="3">
        <f t="shared" si="1"/>
        <v>4605.293333333334</v>
      </c>
      <c r="F27" s="3">
        <f t="shared" ref="F27:F31" si="12">C27-E27</f>
        <v>6907.94</v>
      </c>
      <c r="G27" s="3">
        <f>F27/((1+$C$16)^B27)</f>
        <v>5930.1298444454551</v>
      </c>
      <c r="I27" s="1">
        <f t="shared" ref="I27:I30" si="13">I26+1</f>
        <v>2</v>
      </c>
      <c r="J27" s="10">
        <f>J26*(1+$J$18)</f>
        <v>1519.83203125</v>
      </c>
      <c r="K27" s="4">
        <f>$J$17</f>
        <v>0.5</v>
      </c>
      <c r="L27" s="3">
        <f t="shared" si="2"/>
        <v>759.916015625</v>
      </c>
      <c r="M27" s="3">
        <f t="shared" si="3"/>
        <v>759.916015625</v>
      </c>
      <c r="N27" s="3">
        <f>M27/((1+$J$16)^I27)</f>
        <v>648.02071673622822</v>
      </c>
      <c r="P27" s="1">
        <f t="shared" ref="P27:P30" si="14">P26+1</f>
        <v>2</v>
      </c>
      <c r="Q27" s="10">
        <f>Q26*(1+$Q$18)</f>
        <v>13300.252006028424</v>
      </c>
      <c r="R27" s="7">
        <f t="shared" si="4"/>
        <v>0.41176470588235292</v>
      </c>
      <c r="S27" s="3">
        <f t="shared" si="5"/>
        <v>5476.5743554234687</v>
      </c>
      <c r="T27" s="3">
        <f t="shared" si="6"/>
        <v>7823.6776506049555</v>
      </c>
      <c r="U27" s="3">
        <f>T27/((1+$J$16)^P27)</f>
        <v>6671.6651503764433</v>
      </c>
      <c r="W27" s="1">
        <f t="shared" ref="W27:W30" si="15">W26+1</f>
        <v>2</v>
      </c>
      <c r="X27" s="10">
        <f>X26*(1+$Q$18)</f>
        <v>15029.295293902787</v>
      </c>
      <c r="Y27" s="7">
        <f t="shared" si="7"/>
        <v>0.41176470588235292</v>
      </c>
      <c r="Z27" s="3">
        <f t="shared" si="8"/>
        <v>6188.5333563129125</v>
      </c>
      <c r="AA27" s="3">
        <f t="shared" si="9"/>
        <v>8840.7619375898757</v>
      </c>
      <c r="AB27" s="3">
        <f>AA27/((1+$J$16)^W27)</f>
        <v>7538.9869005188557</v>
      </c>
    </row>
    <row r="28" spans="2:28" x14ac:dyDescent="0.2">
      <c r="B28" s="1">
        <f t="shared" si="10"/>
        <v>3</v>
      </c>
      <c r="C28" s="3">
        <f t="shared" si="11"/>
        <v>12511.04688888889</v>
      </c>
      <c r="D28" s="4">
        <f t="shared" si="0"/>
        <v>0.4</v>
      </c>
      <c r="E28" s="3">
        <f t="shared" si="1"/>
        <v>5004.4187555555563</v>
      </c>
      <c r="F28" s="3">
        <f t="shared" si="12"/>
        <v>7506.6281333333336</v>
      </c>
      <c r="G28" s="3">
        <f>F28/((1+$C$16)^B28)</f>
        <v>5970.6054210729753</v>
      </c>
      <c r="I28" s="1">
        <f t="shared" si="13"/>
        <v>3</v>
      </c>
      <c r="J28" s="10">
        <f>J27*(1+$J$18)</f>
        <v>1643.3183837890626</v>
      </c>
      <c r="K28" s="4">
        <f>$J$17</f>
        <v>0.5</v>
      </c>
      <c r="L28" s="3">
        <f t="shared" si="2"/>
        <v>821.65919189453132</v>
      </c>
      <c r="M28" s="3">
        <f t="shared" si="3"/>
        <v>821.65919189453132</v>
      </c>
      <c r="N28" s="3">
        <f>M28/((1+$J$16)^I28)</f>
        <v>647.03333638475101</v>
      </c>
      <c r="P28" s="1">
        <f t="shared" si="14"/>
        <v>3</v>
      </c>
      <c r="Q28" s="10">
        <f t="shared" ref="Q28:Q30" si="16">Q27*(1+$Q$18)</f>
        <v>14506.709121384947</v>
      </c>
      <c r="R28" s="7">
        <f t="shared" si="4"/>
        <v>0.41176470588235292</v>
      </c>
      <c r="S28" s="3">
        <f t="shared" si="5"/>
        <v>5973.3508146879194</v>
      </c>
      <c r="T28" s="3">
        <f t="shared" si="6"/>
        <v>8533.3583066970277</v>
      </c>
      <c r="U28" s="3">
        <f>T28/((1+$J$16)^P28)</f>
        <v>6719.7779203539094</v>
      </c>
      <c r="W28" s="1">
        <f t="shared" si="15"/>
        <v>3</v>
      </c>
      <c r="X28" s="10">
        <f t="shared" ref="X28:X30" si="17">X27*(1+$Q$18)</f>
        <v>16392.592789161132</v>
      </c>
      <c r="Y28" s="7">
        <f t="shared" si="7"/>
        <v>0.41176470588235292</v>
      </c>
      <c r="Z28" s="3">
        <f t="shared" si="8"/>
        <v>6749.8911484781129</v>
      </c>
      <c r="AA28" s="3">
        <f t="shared" si="9"/>
        <v>9642.7016406830189</v>
      </c>
      <c r="AB28" s="3">
        <f>AA28/((1+$J$16)^W28)</f>
        <v>7593.354368674436</v>
      </c>
    </row>
    <row r="29" spans="2:28" x14ac:dyDescent="0.2">
      <c r="B29" s="1">
        <f t="shared" si="10"/>
        <v>4</v>
      </c>
      <c r="C29" s="3">
        <f t="shared" si="11"/>
        <v>13595.33761925926</v>
      </c>
      <c r="D29" s="4">
        <f t="shared" si="0"/>
        <v>0.4</v>
      </c>
      <c r="E29" s="3">
        <f t="shared" si="1"/>
        <v>5438.1350477037049</v>
      </c>
      <c r="F29" s="3">
        <f t="shared" si="12"/>
        <v>8157.2025715555556</v>
      </c>
      <c r="G29" s="3">
        <f>F29/((1+$C$16)^B29)</f>
        <v>6011.3572601679789</v>
      </c>
      <c r="I29" s="1">
        <f t="shared" si="13"/>
        <v>4</v>
      </c>
      <c r="J29" s="10">
        <f>J28*(1+$J$18)</f>
        <v>1776.838002471924</v>
      </c>
      <c r="K29" s="4">
        <f>$J$17</f>
        <v>0.5</v>
      </c>
      <c r="L29" s="3">
        <f t="shared" si="2"/>
        <v>888.41900123596201</v>
      </c>
      <c r="M29" s="3">
        <f t="shared" si="3"/>
        <v>888.41900123596201</v>
      </c>
      <c r="N29" s="3">
        <f>M29/((1+$J$16)^I29)</f>
        <v>646.0474604912846</v>
      </c>
      <c r="P29" s="1">
        <f t="shared" si="14"/>
        <v>4</v>
      </c>
      <c r="Q29" s="10">
        <f t="shared" si="16"/>
        <v>15822.603168502963</v>
      </c>
      <c r="R29" s="7">
        <f t="shared" si="4"/>
        <v>0.41176470588235292</v>
      </c>
      <c r="S29" s="3">
        <f t="shared" si="5"/>
        <v>6515.1895399718078</v>
      </c>
      <c r="T29" s="3">
        <f t="shared" si="6"/>
        <v>9307.4136285311542</v>
      </c>
      <c r="U29" s="3">
        <f>T29/((1+$J$16)^P29)</f>
        <v>6768.2376559812874</v>
      </c>
      <c r="W29" s="1">
        <f t="shared" si="15"/>
        <v>4</v>
      </c>
      <c r="X29" s="10">
        <f t="shared" si="17"/>
        <v>17879.554103928811</v>
      </c>
      <c r="Y29" s="7">
        <f t="shared" si="7"/>
        <v>0.41176470588235292</v>
      </c>
      <c r="Z29" s="3">
        <f t="shared" si="8"/>
        <v>7362.169336911863</v>
      </c>
      <c r="AA29" s="3">
        <f t="shared" si="9"/>
        <v>10517.384767016949</v>
      </c>
      <c r="AB29" s="3">
        <f>AA29/((1+$J$16)^W29)</f>
        <v>7648.1139082890413</v>
      </c>
    </row>
    <row r="30" spans="2:28" x14ac:dyDescent="0.2">
      <c r="B30" s="1">
        <f t="shared" si="10"/>
        <v>5</v>
      </c>
      <c r="C30" s="3">
        <f t="shared" si="11"/>
        <v>14773.600212928397</v>
      </c>
      <c r="D30" s="4">
        <f t="shared" si="0"/>
        <v>0.4</v>
      </c>
      <c r="E30" s="3">
        <f t="shared" si="1"/>
        <v>5909.440085171359</v>
      </c>
      <c r="F30" s="3">
        <f t="shared" si="12"/>
        <v>8864.1601277570371</v>
      </c>
      <c r="G30" s="3">
        <f>F30/((1+$C$16)^B30)</f>
        <v>6052.3872473354995</v>
      </c>
      <c r="I30" s="1">
        <f t="shared" si="13"/>
        <v>5</v>
      </c>
      <c r="J30" s="10">
        <f>J29*(1+$J$18)</f>
        <v>1921.206090172768</v>
      </c>
      <c r="K30" s="4">
        <f>$J$17</f>
        <v>0.5</v>
      </c>
      <c r="L30" s="3">
        <f t="shared" si="2"/>
        <v>960.60304508638399</v>
      </c>
      <c r="M30" s="3">
        <f t="shared" si="3"/>
        <v>960.60304508638399</v>
      </c>
      <c r="N30" s="3">
        <f>M30/((1+$J$16)^I30)</f>
        <v>645.0630867635067</v>
      </c>
      <c r="P30" s="1">
        <f t="shared" si="14"/>
        <v>5</v>
      </c>
      <c r="Q30" s="10">
        <f t="shared" si="16"/>
        <v>17257.861099514401</v>
      </c>
      <c r="R30" s="7">
        <f t="shared" si="4"/>
        <v>0.41176470588235292</v>
      </c>
      <c r="S30" s="3">
        <f t="shared" si="5"/>
        <v>7106.1780998000468</v>
      </c>
      <c r="T30" s="3">
        <f t="shared" si="6"/>
        <v>10151.682999714354</v>
      </c>
      <c r="U30" s="3">
        <f>T30/((1+$J$16)^P30)</f>
        <v>6817.0468594043168</v>
      </c>
      <c r="W30" s="1">
        <f t="shared" si="15"/>
        <v>5</v>
      </c>
      <c r="X30" s="10">
        <f t="shared" si="17"/>
        <v>19501.39670197204</v>
      </c>
      <c r="Y30" s="7">
        <f t="shared" si="7"/>
        <v>0.41176470588235292</v>
      </c>
      <c r="Z30" s="3">
        <f t="shared" si="8"/>
        <v>8029.9868772826048</v>
      </c>
      <c r="AA30" s="3">
        <f t="shared" si="9"/>
        <v>11471.409824689435</v>
      </c>
      <c r="AB30" s="3">
        <f>AA30/((1+$J$16)^W30)</f>
        <v>7703.2683467893294</v>
      </c>
    </row>
    <row r="31" spans="2:28" x14ac:dyDescent="0.2">
      <c r="B31" s="1" t="s">
        <v>26</v>
      </c>
      <c r="C31" s="3">
        <f>C30*(1+$C$19)</f>
        <v>15401.478221977854</v>
      </c>
      <c r="D31" s="7">
        <f>$C$21</f>
        <v>0.53593947036569989</v>
      </c>
      <c r="E31" s="3">
        <f t="shared" si="1"/>
        <v>8254.2600811356715</v>
      </c>
      <c r="F31" s="3">
        <f t="shared" si="12"/>
        <v>7147.218140842182</v>
      </c>
      <c r="G31" s="3"/>
      <c r="I31" s="1" t="s">
        <v>26</v>
      </c>
      <c r="J31" s="10">
        <f>J30*(1+$J$19)</f>
        <v>2002.8573490051106</v>
      </c>
      <c r="K31" s="7">
        <f>J21</f>
        <v>0.51266586248492163</v>
      </c>
      <c r="L31" s="3">
        <f t="shared" si="2"/>
        <v>1026.7965902619687</v>
      </c>
      <c r="M31" s="3">
        <f t="shared" si="3"/>
        <v>976.06075874314183</v>
      </c>
      <c r="N31" s="3"/>
      <c r="P31" s="1" t="s">
        <v>26</v>
      </c>
      <c r="Q31" s="10">
        <f>Q30*(1+$Q$19)</f>
        <v>17991.320196243763</v>
      </c>
      <c r="R31" s="7">
        <f>Q21</f>
        <v>0.53334963545583758</v>
      </c>
      <c r="S31" s="3">
        <f t="shared" si="5"/>
        <v>9595.6640680358596</v>
      </c>
      <c r="T31" s="3">
        <f t="shared" si="6"/>
        <v>8395.6561282079037</v>
      </c>
      <c r="U31" s="3"/>
      <c r="W31" s="1" t="s">
        <v>26</v>
      </c>
      <c r="X31" s="10">
        <f>X30*(1+$Q$19)</f>
        <v>20330.206061805853</v>
      </c>
      <c r="Y31" s="7">
        <f>X21</f>
        <v>0.53131165529330182</v>
      </c>
      <c r="Z31" s="3">
        <f t="shared" si="8"/>
        <v>10801.675435151987</v>
      </c>
      <c r="AA31" s="3">
        <f t="shared" si="9"/>
        <v>9528.5306266538664</v>
      </c>
      <c r="AB31" s="3"/>
    </row>
    <row r="32" spans="2:28" x14ac:dyDescent="0.2">
      <c r="B32" s="1" t="s">
        <v>25</v>
      </c>
      <c r="E32" s="3"/>
      <c r="F32" s="3">
        <f>F31/(C20-C19)</f>
        <v>194217.88426201587</v>
      </c>
      <c r="G32" s="3">
        <f>F32/((1+$C$16)^5)</f>
        <v>132610.62852768518</v>
      </c>
      <c r="I32" s="1" t="s">
        <v>25</v>
      </c>
      <c r="L32" s="3"/>
      <c r="M32" s="3">
        <f>M31/(J20-J19)</f>
        <v>24159.919770869848</v>
      </c>
      <c r="N32" s="3">
        <f>M32/((1+$J$16)^5)</f>
        <v>16223.84241136202</v>
      </c>
      <c r="P32" s="1" t="s">
        <v>25</v>
      </c>
      <c r="S32" s="3"/>
      <c r="T32" s="3">
        <f>T31/(Q20-Q19)</f>
        <v>225780.33101260845</v>
      </c>
      <c r="U32" s="3">
        <f>T32/((1+$J$16)^5)</f>
        <v>151615.75637143888</v>
      </c>
      <c r="W32" s="1" t="s">
        <v>25</v>
      </c>
      <c r="Z32" s="3"/>
      <c r="AA32" s="3">
        <f>AA31/(X20-X19)</f>
        <v>254157.06906239965</v>
      </c>
      <c r="AB32" s="3">
        <f>AA32/((1+$J$16)^5)</f>
        <v>170671.27189609734</v>
      </c>
    </row>
    <row r="33" spans="2:28" x14ac:dyDescent="0.2">
      <c r="B33" s="1" t="s">
        <v>27</v>
      </c>
      <c r="E33" s="3"/>
      <c r="F33" s="3"/>
      <c r="G33" s="3">
        <f>SUM(G26:G32)</f>
        <v>162465.03695817027</v>
      </c>
      <c r="I33" s="1" t="s">
        <v>27</v>
      </c>
      <c r="L33" s="3"/>
      <c r="M33" s="3"/>
      <c r="N33" s="3">
        <f>SUM(N26:N32)</f>
        <v>19459.016615579327</v>
      </c>
      <c r="P33" s="1" t="s">
        <v>27</v>
      </c>
      <c r="S33" s="3"/>
      <c r="T33" s="3"/>
      <c r="U33" s="3">
        <f>SUM(U26:U32)</f>
        <v>185216.38081937304</v>
      </c>
      <c r="W33" s="1" t="s">
        <v>27</v>
      </c>
      <c r="Z33" s="3"/>
      <c r="AA33" s="3"/>
      <c r="AB33" s="3">
        <f>SUM(AB26:AB32)</f>
        <v>208640.00411700865</v>
      </c>
    </row>
    <row r="34" spans="2:28" x14ac:dyDescent="0.2">
      <c r="B34" s="2" t="s">
        <v>28</v>
      </c>
      <c r="C34" s="12">
        <f>G33</f>
        <v>162465.03695817027</v>
      </c>
      <c r="I34" s="2" t="s">
        <v>28</v>
      </c>
      <c r="J34" s="12">
        <f>N33</f>
        <v>19459.016615579327</v>
      </c>
      <c r="P34" s="2" t="s">
        <v>28</v>
      </c>
      <c r="Q34" s="12">
        <f>U33</f>
        <v>185216.38081937304</v>
      </c>
      <c r="W34" s="2" t="s">
        <v>28</v>
      </c>
      <c r="X34" s="12">
        <f>AB33</f>
        <v>208640.00411700865</v>
      </c>
    </row>
    <row r="36" spans="2:28" x14ac:dyDescent="0.2">
      <c r="B36" s="1" t="s">
        <v>46</v>
      </c>
      <c r="C36" s="10">
        <f>C34</f>
        <v>162465.03695817027</v>
      </c>
    </row>
    <row r="37" spans="2:28" x14ac:dyDescent="0.2">
      <c r="B37" s="1" t="s">
        <v>45</v>
      </c>
      <c r="C37" s="10">
        <f>J34</f>
        <v>19459.016615579327</v>
      </c>
    </row>
    <row r="38" spans="2:28" x14ac:dyDescent="0.2">
      <c r="B38" s="2" t="s">
        <v>40</v>
      </c>
      <c r="C38" s="24">
        <f>J34+C34</f>
        <v>181924.05357374961</v>
      </c>
    </row>
    <row r="39" spans="2:28" x14ac:dyDescent="0.2">
      <c r="B39" s="2" t="s">
        <v>41</v>
      </c>
      <c r="C39" s="10">
        <f>Q34</f>
        <v>185216.38081937304</v>
      </c>
      <c r="P39" s="2" t="s">
        <v>35</v>
      </c>
      <c r="W39" s="2" t="s">
        <v>35</v>
      </c>
    </row>
    <row r="40" spans="2:28" x14ac:dyDescent="0.2">
      <c r="B40" s="1" t="s">
        <v>42</v>
      </c>
      <c r="C40" s="10">
        <f>C39-C38</f>
        <v>3292.3272456234263</v>
      </c>
    </row>
    <row r="41" spans="2:28" x14ac:dyDescent="0.2">
      <c r="C41" s="10"/>
    </row>
    <row r="42" spans="2:28" x14ac:dyDescent="0.2">
      <c r="B42" s="1" t="s">
        <v>49</v>
      </c>
      <c r="C42" s="10">
        <f>C40/(1+Q16)^3</f>
        <v>2615.8432438782984</v>
      </c>
      <c r="P42" s="1" t="s">
        <v>36</v>
      </c>
      <c r="Q42" s="1">
        <f>C10/(1+(1-C6)*(C9/(1-C9)))</f>
        <v>0.7461139896373058</v>
      </c>
      <c r="W42" s="1" t="s">
        <v>36</v>
      </c>
      <c r="X42" s="1">
        <f>J10/(1+(1-J6)*(J9/(1-J9)))</f>
        <v>0.83937823834196901</v>
      </c>
    </row>
    <row r="43" spans="2:28" x14ac:dyDescent="0.2">
      <c r="P43" s="1" t="s">
        <v>37</v>
      </c>
      <c r="Q43" s="1">
        <f>J10/(1+(1-J6)*(J9/(1-J9)))</f>
        <v>0.83937823834196901</v>
      </c>
      <c r="W43" s="1" t="s">
        <v>37</v>
      </c>
      <c r="X43" s="1">
        <f>Q10/(1+(1-Q6)*(Q9/(1-Q9)))</f>
        <v>0.75608974891450254</v>
      </c>
    </row>
    <row r="44" spans="2:28" x14ac:dyDescent="0.2">
      <c r="P44" s="1" t="s">
        <v>38</v>
      </c>
      <c r="Q44" s="1">
        <f>(Q42*C34+Q43*J34)/(C34+J34)</f>
        <v>0.75608974891450254</v>
      </c>
      <c r="W44" s="1" t="s">
        <v>38</v>
      </c>
      <c r="X44" s="1">
        <f>(X42*J34+X43*Q34)/(J34+Q34)</f>
        <v>0.76400819988597635</v>
      </c>
    </row>
    <row r="46" spans="2:28" x14ac:dyDescent="0.2">
      <c r="P46" s="1" t="s">
        <v>39</v>
      </c>
      <c r="Q46" s="1">
        <f>Q44*(1+(1-Q6)*(Q9/(1-Q9)))</f>
        <v>0.81069623078054986</v>
      </c>
      <c r="W46" s="1" t="s">
        <v>39</v>
      </c>
      <c r="X46" s="1">
        <f>X44*(1+(1-X6)*(X9/(1-X9)))</f>
        <v>0.8191865698777413</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7E88D-173E-41AE-A908-9148A908B48B}">
  <dimension ref="C4:F20"/>
  <sheetViews>
    <sheetView tabSelected="1" workbookViewId="0">
      <selection activeCell="D11" sqref="D11"/>
    </sheetView>
  </sheetViews>
  <sheetFormatPr defaultRowHeight="15" x14ac:dyDescent="0.25"/>
  <cols>
    <col min="2" max="2" width="9.85546875" bestFit="1" customWidth="1"/>
    <col min="3" max="3" width="22.42578125" bestFit="1" customWidth="1"/>
  </cols>
  <sheetData>
    <row r="4" spans="3:6" x14ac:dyDescent="0.25">
      <c r="D4" s="2" t="s">
        <v>43</v>
      </c>
      <c r="E4" s="2" t="s">
        <v>44</v>
      </c>
      <c r="F4" s="2" t="s">
        <v>47</v>
      </c>
    </row>
    <row r="5" spans="3:6" x14ac:dyDescent="0.25">
      <c r="C5" s="1" t="s">
        <v>1</v>
      </c>
      <c r="D5" s="13">
        <f xml:space="preserve"> 'Valuing synergy_wcorrectnumbers'!C5</f>
        <v>3781</v>
      </c>
      <c r="E5" s="13">
        <f xml:space="preserve"> 'Valuing synergy_wcorrectnumbers'!J5</f>
        <v>500</v>
      </c>
      <c r="F5" s="13">
        <f xml:space="preserve"> 'Valuing synergy_wcorrectnumbers'!Q5</f>
        <v>4581</v>
      </c>
    </row>
    <row r="6" spans="3:6" x14ac:dyDescent="0.25">
      <c r="C6" s="1" t="s">
        <v>2</v>
      </c>
      <c r="D6" s="4">
        <f xml:space="preserve"> 'Valuing synergy_wcorrectnumbers'!C6</f>
        <v>0.25</v>
      </c>
      <c r="E6" s="4">
        <f xml:space="preserve"> 'Valuing synergy_wcorrectnumbers'!J6</f>
        <v>0.25</v>
      </c>
      <c r="F6" s="4">
        <f xml:space="preserve"> 'Valuing synergy_wcorrectnumbers'!Q6</f>
        <v>0.25</v>
      </c>
    </row>
    <row r="7" spans="3:6" x14ac:dyDescent="0.25">
      <c r="C7" s="1" t="s">
        <v>3</v>
      </c>
      <c r="D7" s="13">
        <f xml:space="preserve"> 'Valuing synergy_wcorrectnumbers'!C7</f>
        <v>15000</v>
      </c>
      <c r="E7" s="13">
        <f xml:space="preserve"> 'Valuing synergy_wcorrectnumbers'!J7</f>
        <v>1500</v>
      </c>
      <c r="F7" s="13">
        <f xml:space="preserve"> 'Valuing synergy_wcorrectnumbers'!Q7</f>
        <v>16500</v>
      </c>
    </row>
    <row r="8" spans="3:6" x14ac:dyDescent="0.25">
      <c r="C8" s="1" t="s">
        <v>4</v>
      </c>
      <c r="D8" s="6">
        <f xml:space="preserve"> 'Valuing synergy_wcorrectnumbers'!C8</f>
        <v>0.25206666666666666</v>
      </c>
      <c r="E8" s="6">
        <f xml:space="preserve"> 'Valuing synergy_wcorrectnumbers'!J8</f>
        <v>0.33333333333333331</v>
      </c>
      <c r="F8" s="20">
        <f xml:space="preserve"> 'Valuing synergy_wcorrectnumbers'!Q8</f>
        <v>0.24199999999999999</v>
      </c>
    </row>
    <row r="9" spans="3:6" x14ac:dyDescent="0.25">
      <c r="C9" s="1" t="s">
        <v>6</v>
      </c>
      <c r="D9" s="4">
        <f xml:space="preserve"> 'Valuing synergy_wcorrectnumbers'!C9</f>
        <v>0.1</v>
      </c>
      <c r="E9" s="4">
        <f xml:space="preserve"> 'Valuing synergy_wcorrectnumbers'!J9</f>
        <v>0.1</v>
      </c>
      <c r="F9" s="4">
        <f xml:space="preserve"> 'Valuing synergy_wcorrectnumbers'!Q9</f>
        <v>0.1</v>
      </c>
    </row>
    <row r="10" spans="3:6" x14ac:dyDescent="0.25">
      <c r="C10" s="1" t="s">
        <v>7</v>
      </c>
      <c r="D10" s="1">
        <f xml:space="preserve"> 'Valuing synergy_wcorrectnumbers'!C10</f>
        <v>0.8</v>
      </c>
      <c r="E10" s="1">
        <f xml:space="preserve"> 'Valuing synergy_wcorrectnumbers'!J10</f>
        <v>0.9</v>
      </c>
      <c r="F10" s="22">
        <f xml:space="preserve"> 'Valuing synergy_wcorrectnumbers'!Q10</f>
        <v>0.81304832924782544</v>
      </c>
    </row>
    <row r="11" spans="3:6" x14ac:dyDescent="0.25">
      <c r="C11" s="1" t="s">
        <v>8</v>
      </c>
      <c r="D11" s="4">
        <f xml:space="preserve"> 'Valuing synergy_wcorrectnumbers'!C11</f>
        <v>0.05</v>
      </c>
      <c r="E11" s="4">
        <f xml:space="preserve"> 'Valuing synergy_wcorrectnumbers'!J11</f>
        <v>0.05</v>
      </c>
      <c r="F11" s="4">
        <f xml:space="preserve"> 'Valuing synergy_wcorrectnumbers'!Q11</f>
        <v>0.05</v>
      </c>
    </row>
    <row r="12" spans="3:6" x14ac:dyDescent="0.25">
      <c r="C12" s="1" t="s">
        <v>9</v>
      </c>
      <c r="D12" s="7">
        <f xml:space="preserve"> 'Valuing synergy_wcorrectnumbers'!C12</f>
        <v>4.4999999999999998E-2</v>
      </c>
      <c r="E12" s="7">
        <f xml:space="preserve"> 'Valuing synergy_wcorrectnumbers'!J12</f>
        <v>4.4999999999999998E-2</v>
      </c>
      <c r="F12" s="7">
        <f xml:space="preserve"> 'Valuing synergy_wcorrectnumbers'!Q12</f>
        <v>4.4999999999999998E-2</v>
      </c>
    </row>
    <row r="13" spans="3:6" x14ac:dyDescent="0.25">
      <c r="C13" s="1" t="s">
        <v>10</v>
      </c>
      <c r="D13" s="4">
        <f xml:space="preserve"> 'Valuing synergy_wcorrectnumbers'!C13</f>
        <v>0.04</v>
      </c>
      <c r="E13" s="4">
        <f xml:space="preserve"> 'Valuing synergy_wcorrectnumbers'!J13</f>
        <v>0.04</v>
      </c>
      <c r="F13" s="4">
        <f xml:space="preserve"> 'Valuing synergy_wcorrectnumbers'!Q13</f>
        <v>0.04</v>
      </c>
    </row>
    <row r="14" spans="3:6" x14ac:dyDescent="0.25">
      <c r="C14" s="1" t="s">
        <v>12</v>
      </c>
      <c r="D14" s="8">
        <f xml:space="preserve"> 'Valuing synergy_wcorrectnumbers'!C15</f>
        <v>7.6999999999999999E-2</v>
      </c>
      <c r="E14" s="8">
        <f xml:space="preserve"> 'Valuing synergy_wcorrectnumbers'!J15</f>
        <v>8.1000000000000003E-2</v>
      </c>
      <c r="F14" s="8">
        <f xml:space="preserve"> 'Valuing synergy_wcorrectnumbers'!Q15</f>
        <v>7.7521933169913015E-2</v>
      </c>
    </row>
    <row r="15" spans="3:6" x14ac:dyDescent="0.25">
      <c r="C15" s="1" t="s">
        <v>11</v>
      </c>
      <c r="D15" s="8">
        <f xml:space="preserve"> 'Valuing synergy_wcorrectnumbers'!C16</f>
        <v>7.9799999999999996E-2</v>
      </c>
      <c r="E15" s="8">
        <f xml:space="preserve"> 'Valuing synergy_wcorrectnumbers'!J16</f>
        <v>8.3400000000000002E-2</v>
      </c>
      <c r="F15" s="8">
        <f xml:space="preserve"> 'Valuing synergy_wcorrectnumbers'!Q16</f>
        <v>7.351973985292172E-2</v>
      </c>
    </row>
    <row r="16" spans="3:6" x14ac:dyDescent="0.25">
      <c r="C16" s="1" t="s">
        <v>13</v>
      </c>
      <c r="D16" s="4">
        <f xml:space="preserve"> 'Valuing synergy_wcorrectnumbers'!C17</f>
        <v>0.4</v>
      </c>
      <c r="E16" s="4">
        <f xml:space="preserve"> 'Valuing synergy_wcorrectnumbers'!J17</f>
        <v>0.5</v>
      </c>
      <c r="F16" s="4">
        <f xml:space="preserve"> 'Valuing synergy_wcorrectnumbers'!Q17</f>
        <v>0.41</v>
      </c>
    </row>
    <row r="17" spans="3:6" x14ac:dyDescent="0.25">
      <c r="C17" s="1" t="s">
        <v>14</v>
      </c>
      <c r="D17" s="9">
        <f xml:space="preserve"> 'Valuing synergy_wcorrectnumbers'!C18</f>
        <v>7.5620000000000007E-2</v>
      </c>
      <c r="E17" s="9">
        <f xml:space="preserve"> 'Valuing synergy_wcorrectnumbers'!J18</f>
        <v>0.125</v>
      </c>
      <c r="F17" s="9">
        <f xml:space="preserve"> 'Valuing synergy_wcorrectnumbers'!Q18</f>
        <v>8.3882272727272722E-2</v>
      </c>
    </row>
    <row r="18" spans="3:6" x14ac:dyDescent="0.25">
      <c r="C18" s="1" t="s">
        <v>15</v>
      </c>
      <c r="D18" s="7">
        <f xml:space="preserve"> 'Valuing synergy_wcorrectnumbers'!C19</f>
        <v>4.2500000000000003E-2</v>
      </c>
      <c r="E18" s="7">
        <f xml:space="preserve"> 'Valuing synergy_wcorrectnumbers'!J19</f>
        <v>4.2500000000000003E-2</v>
      </c>
      <c r="F18" s="7">
        <f xml:space="preserve"> 'Valuing synergy_wcorrectnumbers'!Q19</f>
        <v>4.2500000000000003E-2</v>
      </c>
    </row>
    <row r="19" spans="3:6" x14ac:dyDescent="0.25">
      <c r="C19" s="1" t="s">
        <v>16</v>
      </c>
      <c r="D19" s="8">
        <f xml:space="preserve"> 'Valuing synergy_wcorrectnumbers'!C20</f>
        <v>7.9799999999999996E-2</v>
      </c>
      <c r="E19" s="8">
        <f xml:space="preserve"> 'Valuing synergy_wcorrectnumbers'!J20</f>
        <v>8.3400000000000002E-2</v>
      </c>
      <c r="F19" s="8">
        <f xml:space="preserve"> 'Valuing synergy_wcorrectnumbers'!Q20</f>
        <v>7.351973985292172E-2</v>
      </c>
    </row>
    <row r="20" spans="3:6" x14ac:dyDescent="0.25">
      <c r="C20" s="1" t="s">
        <v>18</v>
      </c>
      <c r="D20" s="21">
        <f xml:space="preserve"> 'Valuing synergy_wcorrectnumbers'!C21</f>
        <v>0.53539999999999999</v>
      </c>
      <c r="E20" s="21">
        <f xml:space="preserve"> 'Valuing synergy_wcorrectnumbers'!J21</f>
        <v>0.5121</v>
      </c>
      <c r="F20" s="21">
        <f xml:space="preserve"> 'Valuing synergy_wcorrectnumbers'!Q21</f>
        <v>0.5323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Valuing synergy_Example</vt:lpstr>
      <vt:lpstr>From Case study</vt:lpstr>
      <vt:lpstr>Valuing synergy_wcorrectnumbers</vt:lpstr>
      <vt:lpstr>Valuing synergy_question</vt:lpstr>
      <vt:lpstr>Exhibit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Neha Dhalwani</dc:creator>
  <cp:lastModifiedBy>Aleshia Zionce</cp:lastModifiedBy>
  <dcterms:created xsi:type="dcterms:W3CDTF">2015-06-05T18:17:20Z</dcterms:created>
  <dcterms:modified xsi:type="dcterms:W3CDTF">2024-02-01T15:51:53Z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2023-11-17T04:41:19Z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ce514d5d-8bd9-41e8-bd21-5b3034f05ddb</vt:lpwstr>
  </property>
  <property fmtid="{D5CDD505-2E9C-101B-9397-08002B2CF9AE}" pid="8" name="MSIP_Label_38f1469a-2c2a-4aee-b92b-090d4c5468ff_ContentBits">
    <vt:lpwstr>0</vt:lpwstr>
  </property>
</Properties>
</file>