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Aleshia\Fall 2022 solutions\"/>
    </mc:Choice>
  </mc:AlternateContent>
  <xr:revisionPtr revIDLastSave="0" documentId="8_{D5836638-10CC-4B80-9840-9B4933FDE1C6}" xr6:coauthVersionLast="47" xr6:coauthVersionMax="47" xr10:uidLastSave="{00000000-0000-0000-0000-000000000000}"/>
  <bookViews>
    <workbookView xWindow="31440" yWindow="405" windowWidth="17280" windowHeight="8970" xr2:uid="{00000000-000D-0000-FFFF-FFFF00000000}"/>
  </bookViews>
  <sheets>
    <sheet name="Sheet1" sheetId="5" r:id="rId1"/>
    <sheet name="Q10 Excel" sheetId="4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\Z">#REF!</definedName>
    <definedName name="\Za">#REF!</definedName>
    <definedName name="__123Graph_BCHART91a" hidden="1">[1]Input!#REF!</definedName>
    <definedName name="_Fill" hidden="1">#REF!</definedName>
    <definedName name="_IV100000">#REF!</definedName>
    <definedName name="_max8">#REF!</definedName>
    <definedName name="_min8">#REF!</definedName>
    <definedName name="_V122544">#REF!</definedName>
    <definedName name="Base">#REF!</definedName>
    <definedName name="chicago">'[2]SZ-1-2013 (MH)'!$B$9:$B$16</definedName>
    <definedName name="CLIFR">#REF!</definedName>
    <definedName name="CognitiveLevels" localSheetId="1">'[3]syllabus list'!$C$159:$C$162</definedName>
    <definedName name="CognitiveLevels">'[4]syllabus list'!$C$159:$C$162</definedName>
    <definedName name="cycle">#REF!</definedName>
    <definedName name="cycle3">#REF!</definedName>
    <definedName name="Cycle5">#REF!</definedName>
    <definedName name="CycleTable">#REF!</definedName>
    <definedName name="DATE">#REF!</definedName>
    <definedName name="DELETE_RANGE">#REF!</definedName>
    <definedName name="ERR">#REF!</definedName>
    <definedName name="EXTRA_TESTS">#REF!</definedName>
    <definedName name="FSSplit">#REF!</definedName>
    <definedName name="GETDATA">#REF!</definedName>
    <definedName name="GOV10YBO">#REF!</definedName>
    <definedName name="GOV15YBO">#REF!</definedName>
    <definedName name="GOV1YBO">#REF!</definedName>
    <definedName name="GOV20YBO">#REF!</definedName>
    <definedName name="GOV2YBO">#REF!</definedName>
    <definedName name="GOV3YBO">#REF!</definedName>
    <definedName name="GOV4YBO">#REF!</definedName>
    <definedName name="GOV5YBO">#REF!</definedName>
    <definedName name="GOV7YBO">#REF!</definedName>
    <definedName name="INPUT1">#REF!</definedName>
    <definedName name="INPUT1_CODE">#REF!</definedName>
    <definedName name="INPUT1_ID">#REF!</definedName>
    <definedName name="INPUT1_PASSWORD">#REF!</definedName>
    <definedName name="INPUT1_VALN_DAT">#REF!</definedName>
    <definedName name="INTQ">#REF!</definedName>
    <definedName name="INTR">#REF!</definedName>
    <definedName name="INVERTED_TEST15">#REF!</definedName>
    <definedName name="INVERTED_TEST16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ongMax">#REF!</definedName>
    <definedName name="LongMaxAdj">#REF!</definedName>
    <definedName name="LongMaxAdjRate">#REF!</definedName>
    <definedName name="LongMaxMA">#REF!</definedName>
    <definedName name="LongMaxRange">#REF!</definedName>
    <definedName name="LongMin">#REF!</definedName>
    <definedName name="LongMinAdj">#REF!</definedName>
    <definedName name="LongMinAdjRate">#REF!</definedName>
    <definedName name="LongMinMA">#REF!</definedName>
    <definedName name="LongMinRange">#REF!</definedName>
    <definedName name="LongTermWeight">#REF!</definedName>
    <definedName name="MAXIMUM_RATE">#REF!</definedName>
    <definedName name="MaxRate">#REF!</definedName>
    <definedName name="MINIMUM_RATE">#REF!</definedName>
    <definedName name="MinRate">#REF!</definedName>
    <definedName name="P_S_RESULT">#REF!</definedName>
    <definedName name="PRESCRIB_TEST17">#REF!</definedName>
    <definedName name="PRESCRIB_TEST18">#REF!</definedName>
    <definedName name="PRESCRIB_TEST19">#REF!</definedName>
    <definedName name="PRESCRIB_TEST20">#REF!</definedName>
    <definedName name="PRINT_IND">#REF!</definedName>
    <definedName name="PRINT_NOW">#REF!</definedName>
    <definedName name="PRINT_SELECTION">#REF!</definedName>
    <definedName name="PrintRate">#REF!</definedName>
    <definedName name="PRNT_SPOT_RATES">#REF!</definedName>
    <definedName name="PRT_ALL_TESTS">#REF!</definedName>
    <definedName name="PRT_INDICATORS">#REF!</definedName>
    <definedName name="PRT_INVERTED">#REF!</definedName>
    <definedName name="PRT_NOTHING">#REF!</definedName>
    <definedName name="PRT_PRESCRIBED">#REF!</definedName>
    <definedName name="PRT_REGULAR">#REF!</definedName>
    <definedName name="PRT_SELECT_ALL">#REF!</definedName>
    <definedName name="PRT_SELECTIONS">#REF!</definedName>
    <definedName name="PRT_SPOT_RATES">#REF!</definedName>
    <definedName name="Q_sources">#REF!</definedName>
    <definedName name="RateTable">#REF!</definedName>
    <definedName name="RegTable">#REF!</definedName>
    <definedName name="REGULAR_TEST1">#REF!</definedName>
    <definedName name="REGULAR_TEST10">#REF!</definedName>
    <definedName name="REGULAR_TEST11">#REF!</definedName>
    <definedName name="REGULAR_TEST12">#REF!</definedName>
    <definedName name="REGULAR_TEST13">#REF!</definedName>
    <definedName name="REGULAR_TEST14">#REF!</definedName>
    <definedName name="REGULAR_TEST2">#REF!</definedName>
    <definedName name="REGULAR_TEST3">#REF!</definedName>
    <definedName name="REGULAR_TEST4">#REF!</definedName>
    <definedName name="REGULAR_TEST5">#REF!</definedName>
    <definedName name="REGULAR_TEST6">#REF!</definedName>
    <definedName name="REGULAR_TEST7">#REF!</definedName>
    <definedName name="REGULAR_TEST8">#REF!</definedName>
    <definedName name="REGULAR_TEST9">#REF!</definedName>
    <definedName name="ScenTable">#REF!</definedName>
    <definedName name="SETDATE">#REF!</definedName>
    <definedName name="ShortMax">#REF!</definedName>
    <definedName name="ShortMaxAdj">#REF!</definedName>
    <definedName name="ShortMaxAdjRate">#REF!</definedName>
    <definedName name="ShortMaxMA">#REF!</definedName>
    <definedName name="ShortMaxRange">#REF!</definedName>
    <definedName name="ShortMin">#REF!</definedName>
    <definedName name="ShortMinAdj">#REF!</definedName>
    <definedName name="ShortMinAdjRate">#REF!</definedName>
    <definedName name="ShortMinMA">#REF!</definedName>
    <definedName name="ShortMinRange">#REF!</definedName>
    <definedName name="ShortTermWeight">#REF!</definedName>
    <definedName name="ST_Med">'[5]Input - Entrée de données'!#REF!</definedName>
    <definedName name="Step">#REF!</definedName>
    <definedName name="StepTable">#REF!</definedName>
    <definedName name="SyllabusListing" localSheetId="1">'[3]syllabus list'!$D$4:$D$151</definedName>
    <definedName name="SyllabusListing">'[4]syllabus list'!$D$4:$D$151</definedName>
    <definedName name="TBILL1M">#REF!</definedName>
    <definedName name="TBILL2M">#REF!</definedName>
    <definedName name="TBILL3M">#REF!</definedName>
    <definedName name="TBILL6M">#REF!</definedName>
    <definedName name="TEST_10_INCR">#REF!</definedName>
    <definedName name="TEST_11_DECR">#REF!</definedName>
    <definedName name="TEST_17_INV_">#REF!</definedName>
    <definedName name="TEST_17_STEEP_">#REF!</definedName>
    <definedName name="TEST_3_CHGE">#REF!</definedName>
    <definedName name="TEST_4_INCR">#REF!</definedName>
    <definedName name="TEST_6_INCREASE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ITLE1">#REF!</definedName>
    <definedName name="TITLE10">#REF!</definedName>
    <definedName name="TITLE11">#REF!</definedName>
    <definedName name="TITLE16">#REF!</definedName>
    <definedName name="TITLE17">#REF!</definedName>
    <definedName name="TITLE18">#REF!</definedName>
    <definedName name="TITLE2">#REF!</definedName>
    <definedName name="TITLE21">#REF!</definedName>
    <definedName name="TITLE3">#REF!</definedName>
    <definedName name="TITLE4">#REF!</definedName>
    <definedName name="TITLE5">#REF!</definedName>
    <definedName name="TITLE6">#REF!</definedName>
    <definedName name="TITLE8">#REF!</definedName>
    <definedName name="TITLE9">#REF!</definedName>
    <definedName name="VALN_DATE">#REF!</definedName>
    <definedName name="VALUATION_DATE">#REF!</definedName>
    <definedName name="Yield01">#REF!</definedName>
    <definedName name="Yield02">#REF!</definedName>
    <definedName name="Yield03">#REF!</definedName>
    <definedName name="Yield04">#REF!</definedName>
    <definedName name="Yield05">#REF!</definedName>
    <definedName name="Yield06">#REF!</definedName>
    <definedName name="Yield07">#REF!</definedName>
    <definedName name="Yield08">#REF!</definedName>
    <definedName name="Yield09">#REF!</definedName>
    <definedName name="Yield10">#REF!</definedName>
    <definedName name="Yield11">#REF!</definedName>
    <definedName name="Yield12">#REF!</definedName>
    <definedName name="Yield13">#REF!</definedName>
    <definedName name="Yield14">#REF!</definedName>
    <definedName name="Yield15">#REF!</definedName>
    <definedName name="Yield16">#REF!</definedName>
    <definedName name="Yield17">#REF!</definedName>
    <definedName name="Yield18">#REF!</definedName>
    <definedName name="Yield19">#REF!</definedName>
    <definedName name="Yield20">#REF!</definedName>
    <definedName name="YieldCurv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5" l="1"/>
  <c r="C3" i="5" s="1"/>
  <c r="D3" i="5" s="1"/>
  <c r="E3" i="5" s="1"/>
  <c r="F3" i="5" s="1"/>
  <c r="G3" i="5" s="1"/>
  <c r="H3" i="5" s="1"/>
  <c r="I3" i="5" s="1"/>
  <c r="J3" i="5" s="1"/>
  <c r="F8" i="5"/>
  <c r="A9" i="5"/>
  <c r="F9" i="5"/>
  <c r="A10" i="5"/>
  <c r="A11" i="5" s="1"/>
  <c r="A12" i="5" s="1"/>
  <c r="A13" i="5" s="1"/>
  <c r="F10" i="5"/>
  <c r="F11" i="5"/>
  <c r="F12" i="5"/>
  <c r="F13" i="5"/>
  <c r="F16" i="5"/>
  <c r="G13" i="5" l="1"/>
  <c r="E7" i="4"/>
  <c r="F7" i="4"/>
  <c r="G7" i="4"/>
  <c r="H7" i="4"/>
  <c r="J7" i="4"/>
  <c r="L7" i="4"/>
  <c r="E41" i="4"/>
  <c r="G42" i="4"/>
  <c r="A8" i="4"/>
  <c r="A9" i="4"/>
  <c r="A10" i="4"/>
  <c r="A11" i="4"/>
  <c r="A12" i="4"/>
  <c r="A13" i="4"/>
  <c r="A14" i="4"/>
  <c r="E8" i="4"/>
  <c r="F8" i="4"/>
  <c r="N8" i="4"/>
  <c r="G8" i="4"/>
  <c r="H8" i="4"/>
  <c r="J8" i="4"/>
  <c r="L8" i="4"/>
  <c r="E9" i="4"/>
  <c r="F9" i="4"/>
  <c r="G9" i="4"/>
  <c r="H9" i="4"/>
  <c r="E10" i="4"/>
  <c r="F10" i="4"/>
  <c r="G10" i="4"/>
  <c r="H10" i="4"/>
  <c r="D44" i="4"/>
  <c r="J10" i="4"/>
  <c r="L10" i="4"/>
  <c r="E11" i="4"/>
  <c r="F11" i="4"/>
  <c r="N11" i="4"/>
  <c r="G11" i="4"/>
  <c r="D27" i="4"/>
  <c r="H11" i="4"/>
  <c r="J11" i="4"/>
  <c r="L11" i="4"/>
  <c r="E45" i="4"/>
  <c r="E12" i="4"/>
  <c r="F12" i="4"/>
  <c r="N12" i="4"/>
  <c r="G12" i="4"/>
  <c r="D28" i="4"/>
  <c r="H12" i="4"/>
  <c r="J12" i="4"/>
  <c r="L12" i="4"/>
  <c r="E46" i="4"/>
  <c r="E13" i="4"/>
  <c r="F13" i="4"/>
  <c r="G13" i="4"/>
  <c r="H13" i="4"/>
  <c r="J13" i="4"/>
  <c r="L13" i="4"/>
  <c r="E14" i="4"/>
  <c r="F14" i="4"/>
  <c r="G14" i="4"/>
  <c r="H14" i="4"/>
  <c r="D48" i="4"/>
  <c r="J14" i="4"/>
  <c r="L14" i="4"/>
  <c r="A15" i="4"/>
  <c r="A16" i="4"/>
  <c r="E15" i="4"/>
  <c r="F15" i="4"/>
  <c r="G15" i="4"/>
  <c r="D31" i="4"/>
  <c r="H15" i="4"/>
  <c r="J15" i="4"/>
  <c r="L15" i="4"/>
  <c r="E49" i="4"/>
  <c r="E16" i="4"/>
  <c r="F16" i="4"/>
  <c r="G16" i="4"/>
  <c r="H16" i="4"/>
  <c r="J16" i="4"/>
  <c r="L16" i="4"/>
  <c r="C23" i="4"/>
  <c r="M23" i="4"/>
  <c r="D23" i="4"/>
  <c r="F23" i="4"/>
  <c r="G23" i="4"/>
  <c r="H23" i="4"/>
  <c r="K23" i="4"/>
  <c r="V23" i="4"/>
  <c r="W23" i="4"/>
  <c r="A24" i="4"/>
  <c r="A25" i="4"/>
  <c r="A26" i="4"/>
  <c r="A27" i="4"/>
  <c r="A28" i="4"/>
  <c r="A29" i="4"/>
  <c r="C24" i="4"/>
  <c r="D24" i="4"/>
  <c r="F24" i="4"/>
  <c r="G24" i="4"/>
  <c r="M24" i="4" s="1"/>
  <c r="V24" i="4"/>
  <c r="D25" i="4"/>
  <c r="V25" i="4"/>
  <c r="C26" i="4"/>
  <c r="D26" i="4"/>
  <c r="V26" i="4"/>
  <c r="W26" i="4"/>
  <c r="C27" i="4"/>
  <c r="V27" i="4"/>
  <c r="W27" i="4"/>
  <c r="C28" i="4"/>
  <c r="V28" i="4"/>
  <c r="C29" i="4"/>
  <c r="D29" i="4"/>
  <c r="V29" i="4"/>
  <c r="A30" i="4"/>
  <c r="C30" i="4"/>
  <c r="D30" i="4"/>
  <c r="V30" i="4"/>
  <c r="A31" i="4"/>
  <c r="A32" i="4"/>
  <c r="C31" i="4"/>
  <c r="V31" i="4"/>
  <c r="W31" i="4"/>
  <c r="C32" i="4"/>
  <c r="D32" i="4"/>
  <c r="V32" i="4"/>
  <c r="W32" i="4"/>
  <c r="C41" i="4"/>
  <c r="M41" i="4"/>
  <c r="D41" i="4"/>
  <c r="F42" i="4"/>
  <c r="M42" i="4"/>
  <c r="F41" i="4"/>
  <c r="G41" i="4"/>
  <c r="H41" i="4"/>
  <c r="K41" i="4"/>
  <c r="V41" i="4"/>
  <c r="W41" i="4"/>
  <c r="Y41" i="4"/>
  <c r="Y42" i="4"/>
  <c r="Y43" i="4"/>
  <c r="Y44" i="4"/>
  <c r="Y45" i="4"/>
  <c r="Y46" i="4"/>
  <c r="Y47" i="4"/>
  <c r="Y48" i="4"/>
  <c r="Y49" i="4"/>
  <c r="Y50" i="4"/>
  <c r="A42" i="4"/>
  <c r="C42" i="4"/>
  <c r="D42" i="4"/>
  <c r="E42" i="4"/>
  <c r="H42" i="4"/>
  <c r="V42" i="4"/>
  <c r="W42" i="4"/>
  <c r="A43" i="4"/>
  <c r="C43" i="4"/>
  <c r="D43" i="4"/>
  <c r="V43" i="4"/>
  <c r="W43" i="4"/>
  <c r="A44" i="4"/>
  <c r="A45" i="4"/>
  <c r="A46" i="4"/>
  <c r="A47" i="4"/>
  <c r="C44" i="4"/>
  <c r="E44" i="4"/>
  <c r="V44" i="4"/>
  <c r="W44" i="4"/>
  <c r="C45" i="4"/>
  <c r="D45" i="4"/>
  <c r="V45" i="4"/>
  <c r="W45" i="4"/>
  <c r="C46" i="4"/>
  <c r="D46" i="4"/>
  <c r="V46" i="4"/>
  <c r="W46" i="4"/>
  <c r="C47" i="4"/>
  <c r="D47" i="4"/>
  <c r="E47" i="4"/>
  <c r="V47" i="4"/>
  <c r="W47" i="4"/>
  <c r="A48" i="4"/>
  <c r="A49" i="4"/>
  <c r="A50" i="4"/>
  <c r="C48" i="4"/>
  <c r="E48" i="4"/>
  <c r="V48" i="4"/>
  <c r="W48" i="4"/>
  <c r="C49" i="4"/>
  <c r="D49" i="4"/>
  <c r="V49" i="4"/>
  <c r="W49" i="4"/>
  <c r="C50" i="4"/>
  <c r="D50" i="4"/>
  <c r="E50" i="4"/>
  <c r="V50" i="4"/>
  <c r="W50" i="4"/>
  <c r="N15" i="4"/>
  <c r="N9" i="4"/>
  <c r="N13" i="4"/>
  <c r="G43" i="4"/>
  <c r="J42" i="4"/>
  <c r="L42" i="4"/>
  <c r="K42" i="4"/>
  <c r="F43" i="4"/>
  <c r="N14" i="4"/>
  <c r="K24" i="4"/>
  <c r="G25" i="4"/>
  <c r="H25" i="4" s="1"/>
  <c r="W30" i="4"/>
  <c r="N16" i="4"/>
  <c r="N10" i="4"/>
  <c r="N17" i="4"/>
  <c r="W24" i="4"/>
  <c r="J41" i="4"/>
  <c r="W29" i="4"/>
  <c r="Y23" i="4"/>
  <c r="Y24" i="4"/>
  <c r="Y25" i="4"/>
  <c r="Y26" i="4"/>
  <c r="Y27" i="4"/>
  <c r="Y28" i="4"/>
  <c r="Y29" i="4"/>
  <c r="Y30" i="4"/>
  <c r="Y31" i="4"/>
  <c r="Y32" i="4"/>
  <c r="J9" i="4"/>
  <c r="W28" i="4"/>
  <c r="W25" i="4"/>
  <c r="F25" i="4"/>
  <c r="L9" i="4"/>
  <c r="E43" i="4"/>
  <c r="G44" i="4"/>
  <c r="C25" i="4"/>
  <c r="M25" i="4"/>
  <c r="F44" i="4"/>
  <c r="H43" i="4"/>
  <c r="M43" i="4"/>
  <c r="G26" i="4"/>
  <c r="K25" i="4"/>
  <c r="F26" i="4"/>
  <c r="U41" i="4"/>
  <c r="Z41" i="4"/>
  <c r="L41" i="4"/>
  <c r="J24" i="4"/>
  <c r="L24" i="4" s="1"/>
  <c r="K43" i="4"/>
  <c r="K44" i="4"/>
  <c r="G45" i="4"/>
  <c r="J43" i="4"/>
  <c r="L43" i="4"/>
  <c r="T41" i="4"/>
  <c r="X41" i="4"/>
  <c r="G27" i="4"/>
  <c r="J26" i="4" s="1"/>
  <c r="L26" i="4" s="1"/>
  <c r="K26" i="4"/>
  <c r="J25" i="4"/>
  <c r="L25" i="4"/>
  <c r="M26" i="4"/>
  <c r="H26" i="4"/>
  <c r="F27" i="4"/>
  <c r="M44" i="4"/>
  <c r="H44" i="4"/>
  <c r="F45" i="4"/>
  <c r="J45" i="4"/>
  <c r="L45" i="4"/>
  <c r="G46" i="4"/>
  <c r="K45" i="4"/>
  <c r="J44" i="4"/>
  <c r="L44" i="4"/>
  <c r="H45" i="4"/>
  <c r="F46" i="4"/>
  <c r="M45" i="4"/>
  <c r="H27" i="4"/>
  <c r="F28" i="4"/>
  <c r="M27" i="4"/>
  <c r="G28" i="4"/>
  <c r="J27" i="4" s="1"/>
  <c r="L27" i="4" s="1"/>
  <c r="K27" i="4"/>
  <c r="J46" i="4"/>
  <c r="L46" i="4"/>
  <c r="G47" i="4"/>
  <c r="K46" i="4"/>
  <c r="F29" i="4"/>
  <c r="M28" i="4"/>
  <c r="G29" i="4"/>
  <c r="M29" i="4" s="1"/>
  <c r="K28" i="4"/>
  <c r="H46" i="4"/>
  <c r="F47" i="4"/>
  <c r="M46" i="4"/>
  <c r="F48" i="4"/>
  <c r="M47" i="4"/>
  <c r="H47" i="4"/>
  <c r="G30" i="4"/>
  <c r="F30" i="4"/>
  <c r="G48" i="4"/>
  <c r="K47" i="4"/>
  <c r="K48" i="4"/>
  <c r="G49" i="4"/>
  <c r="J48" i="4"/>
  <c r="L48" i="4"/>
  <c r="G31" i="4"/>
  <c r="G32" i="4" s="1"/>
  <c r="F31" i="4"/>
  <c r="H30" i="4"/>
  <c r="J47" i="4"/>
  <c r="L47" i="4"/>
  <c r="H48" i="4"/>
  <c r="F49" i="4"/>
  <c r="M48" i="4"/>
  <c r="F32" i="4"/>
  <c r="M31" i="4"/>
  <c r="K31" i="4"/>
  <c r="K49" i="4"/>
  <c r="G50" i="4"/>
  <c r="F50" i="4"/>
  <c r="H49" i="4"/>
  <c r="M49" i="4"/>
  <c r="I50" i="4"/>
  <c r="O50" i="4"/>
  <c r="H50" i="4"/>
  <c r="I48" i="4"/>
  <c r="O48" i="4"/>
  <c r="M50" i="4"/>
  <c r="I49" i="4"/>
  <c r="O49" i="4"/>
  <c r="J50" i="4"/>
  <c r="L50" i="4"/>
  <c r="K50" i="4"/>
  <c r="G51" i="4"/>
  <c r="J49" i="4"/>
  <c r="L49" i="4"/>
  <c r="N41" i="4"/>
  <c r="N42" i="4"/>
  <c r="N47" i="4"/>
  <c r="N48" i="4"/>
  <c r="N44" i="4"/>
  <c r="N46" i="4"/>
  <c r="N43" i="4"/>
  <c r="N45" i="4"/>
  <c r="N49" i="4"/>
  <c r="N50" i="4"/>
  <c r="I43" i="4"/>
  <c r="O43" i="4"/>
  <c r="I41" i="4"/>
  <c r="O41" i="4"/>
  <c r="AA41" i="4"/>
  <c r="I42" i="4"/>
  <c r="O42" i="4"/>
  <c r="I45" i="4"/>
  <c r="O45" i="4"/>
  <c r="I47" i="4"/>
  <c r="O47" i="4"/>
  <c r="I44" i="4"/>
  <c r="O44" i="4"/>
  <c r="I46" i="4"/>
  <c r="O46" i="4"/>
  <c r="AB41" i="4"/>
  <c r="AC41" i="4"/>
  <c r="R41" i="4"/>
  <c r="P41" i="4"/>
  <c r="Q41" i="4"/>
  <c r="S41" i="4"/>
  <c r="S47" i="4"/>
  <c r="S42" i="4"/>
  <c r="S50" i="4"/>
  <c r="S45" i="4"/>
  <c r="S46" i="4"/>
  <c r="S43" i="4"/>
  <c r="S49" i="4"/>
  <c r="S48" i="4"/>
  <c r="S44" i="4"/>
  <c r="U42" i="4"/>
  <c r="P42" i="4"/>
  <c r="AA42" i="4"/>
  <c r="U43" i="4"/>
  <c r="Z42" i="4"/>
  <c r="P43" i="4"/>
  <c r="Q42" i="4"/>
  <c r="T42" i="4"/>
  <c r="X42" i="4"/>
  <c r="U44" i="4"/>
  <c r="AA43" i="4"/>
  <c r="Z43" i="4"/>
  <c r="P44" i="4"/>
  <c r="Q43" i="4"/>
  <c r="T43" i="4"/>
  <c r="X43" i="4"/>
  <c r="AC42" i="4"/>
  <c r="AB42" i="4"/>
  <c r="AB43" i="4"/>
  <c r="AC43" i="4"/>
  <c r="AA44" i="4"/>
  <c r="U45" i="4"/>
  <c r="Z44" i="4"/>
  <c r="P45" i="4"/>
  <c r="Q44" i="4"/>
  <c r="T44" i="4"/>
  <c r="X44" i="4"/>
  <c r="P46" i="4"/>
  <c r="Q45" i="4"/>
  <c r="T45" i="4"/>
  <c r="X45" i="4"/>
  <c r="AA45" i="4"/>
  <c r="U46" i="4"/>
  <c r="Z45" i="4"/>
  <c r="AB44" i="4"/>
  <c r="AC44" i="4"/>
  <c r="U47" i="4"/>
  <c r="AA46" i="4"/>
  <c r="Z46" i="4"/>
  <c r="AC45" i="4"/>
  <c r="AB45" i="4"/>
  <c r="P47" i="4"/>
  <c r="Q46" i="4"/>
  <c r="T46" i="4"/>
  <c r="X46" i="4"/>
  <c r="AB46" i="4"/>
  <c r="AC46" i="4"/>
  <c r="AA47" i="4"/>
  <c r="U48" i="4"/>
  <c r="Z47" i="4"/>
  <c r="P48" i="4"/>
  <c r="Q47" i="4"/>
  <c r="T47" i="4"/>
  <c r="X47" i="4"/>
  <c r="P49" i="4"/>
  <c r="Q48" i="4"/>
  <c r="T48" i="4"/>
  <c r="X48" i="4"/>
  <c r="AB47" i="4"/>
  <c r="AC47" i="4"/>
  <c r="U49" i="4"/>
  <c r="AA48" i="4"/>
  <c r="Z48" i="4"/>
  <c r="P50" i="4"/>
  <c r="Q50" i="4"/>
  <c r="T50" i="4"/>
  <c r="X50" i="4"/>
  <c r="Q49" i="4"/>
  <c r="T49" i="4"/>
  <c r="X49" i="4"/>
  <c r="AC48" i="4"/>
  <c r="AB48" i="4"/>
  <c r="U50" i="4"/>
  <c r="AA49" i="4"/>
  <c r="Z49" i="4"/>
  <c r="AA50" i="4"/>
  <c r="Z50" i="4"/>
  <c r="AC49" i="4"/>
  <c r="AB49" i="4"/>
  <c r="AC50" i="4"/>
  <c r="AB50" i="4"/>
  <c r="G12" i="5" l="1"/>
  <c r="I25" i="4"/>
  <c r="O25" i="4" s="1"/>
  <c r="K32" i="4"/>
  <c r="G33" i="4"/>
  <c r="J32" i="4" s="1"/>
  <c r="L32" i="4" s="1"/>
  <c r="N32" i="4" s="1"/>
  <c r="H32" i="4"/>
  <c r="I32" i="4"/>
  <c r="O32" i="4" s="1"/>
  <c r="M32" i="4"/>
  <c r="I30" i="4"/>
  <c r="O30" i="4" s="1"/>
  <c r="I26" i="4"/>
  <c r="O26" i="4" s="1"/>
  <c r="I31" i="4"/>
  <c r="O31" i="4" s="1"/>
  <c r="H31" i="4"/>
  <c r="M30" i="4"/>
  <c r="K29" i="4"/>
  <c r="J31" i="4"/>
  <c r="L31" i="4" s="1"/>
  <c r="J29" i="4"/>
  <c r="L29" i="4" s="1"/>
  <c r="N24" i="4" s="1"/>
  <c r="H24" i="4"/>
  <c r="K30" i="4"/>
  <c r="J28" i="4"/>
  <c r="L28" i="4" s="1"/>
  <c r="J23" i="4"/>
  <c r="J30" i="4"/>
  <c r="L30" i="4" s="1"/>
  <c r="H29" i="4"/>
  <c r="I29" i="4" s="1"/>
  <c r="O29" i="4" s="1"/>
  <c r="H28" i="4"/>
  <c r="I27" i="4" s="1"/>
  <c r="O27" i="4" s="1"/>
  <c r="I13" i="5" l="1"/>
  <c r="H13" i="5"/>
  <c r="G11" i="5"/>
  <c r="J13" i="5"/>
  <c r="I24" i="4"/>
  <c r="O24" i="4" s="1"/>
  <c r="I23" i="4"/>
  <c r="O23" i="4" s="1"/>
  <c r="N31" i="4"/>
  <c r="N27" i="4"/>
  <c r="N25" i="4"/>
  <c r="N30" i="4"/>
  <c r="N26" i="4"/>
  <c r="N29" i="4"/>
  <c r="L23" i="4"/>
  <c r="U23" i="4"/>
  <c r="AB23" i="4" s="1"/>
  <c r="AC23" i="4" s="1"/>
  <c r="N28" i="4"/>
  <c r="I28" i="4"/>
  <c r="O28" i="4" s="1"/>
  <c r="G10" i="5" l="1"/>
  <c r="H12" i="5"/>
  <c r="I12" i="5" s="1"/>
  <c r="J12" i="5"/>
  <c r="R23" i="4"/>
  <c r="N23" i="4"/>
  <c r="T23" i="4"/>
  <c r="AA23" i="4"/>
  <c r="G9" i="5" l="1"/>
  <c r="H11" i="5"/>
  <c r="I11" i="5" s="1"/>
  <c r="J11" i="5"/>
  <c r="P23" i="4"/>
  <c r="Q23" i="4" s="1"/>
  <c r="S24" i="4"/>
  <c r="S31" i="4"/>
  <c r="S32" i="4"/>
  <c r="S25" i="4"/>
  <c r="S29" i="4"/>
  <c r="S28" i="4"/>
  <c r="S30" i="4"/>
  <c r="S26" i="4"/>
  <c r="S27" i="4"/>
  <c r="S23" i="4"/>
  <c r="Z23" i="4"/>
  <c r="X23" i="4"/>
  <c r="H10" i="5" l="1"/>
  <c r="I10" i="5" s="1"/>
  <c r="G8" i="5"/>
  <c r="J10" i="5"/>
  <c r="U24" i="4"/>
  <c r="P24" i="4"/>
  <c r="H9" i="5" l="1"/>
  <c r="I9" i="5" s="1"/>
  <c r="J9" i="5"/>
  <c r="P25" i="4"/>
  <c r="Q24" i="4"/>
  <c r="T24" i="4" s="1"/>
  <c r="U25" i="4"/>
  <c r="AA24" i="4"/>
  <c r="U26" i="4" l="1"/>
  <c r="AA25" i="4"/>
  <c r="Z24" i="4"/>
  <c r="AB24" i="4" s="1"/>
  <c r="AC24" i="4" s="1"/>
  <c r="X24" i="4"/>
  <c r="P26" i="4"/>
  <c r="Q25" i="4"/>
  <c r="T25" i="4" s="1"/>
  <c r="U27" i="4" l="1"/>
  <c r="AA26" i="4"/>
  <c r="X25" i="4"/>
  <c r="Z25" i="4"/>
  <c r="AB25" i="4" s="1"/>
  <c r="AC25" i="4" s="1"/>
  <c r="P27" i="4"/>
  <c r="Q26" i="4"/>
  <c r="T26" i="4" s="1"/>
  <c r="X26" i="4" l="1"/>
  <c r="Z26" i="4"/>
  <c r="AB26" i="4" s="1"/>
  <c r="AC26" i="4" s="1"/>
  <c r="P28" i="4"/>
  <c r="Q27" i="4"/>
  <c r="T27" i="4" s="1"/>
  <c r="U28" i="4"/>
  <c r="AA27" i="4"/>
  <c r="U29" i="4" l="1"/>
  <c r="AA28" i="4"/>
  <c r="Z27" i="4"/>
  <c r="AB27" i="4" s="1"/>
  <c r="AC27" i="4" s="1"/>
  <c r="X27" i="4"/>
  <c r="P29" i="4"/>
  <c r="Q28" i="4"/>
  <c r="T28" i="4" s="1"/>
  <c r="Z28" i="4" l="1"/>
  <c r="AB28" i="4" s="1"/>
  <c r="AC28" i="4" s="1"/>
  <c r="X28" i="4"/>
  <c r="P30" i="4"/>
  <c r="Q29" i="4"/>
  <c r="T29" i="4" s="1"/>
  <c r="U30" i="4"/>
  <c r="AA29" i="4"/>
  <c r="Z29" i="4" l="1"/>
  <c r="AB29" i="4" s="1"/>
  <c r="AC29" i="4" s="1"/>
  <c r="X29" i="4"/>
  <c r="P31" i="4"/>
  <c r="Q30" i="4"/>
  <c r="T30" i="4" s="1"/>
  <c r="U31" i="4"/>
  <c r="AA30" i="4"/>
  <c r="P32" i="4" l="1"/>
  <c r="Q32" i="4" s="1"/>
  <c r="T32" i="4" s="1"/>
  <c r="Q31" i="4"/>
  <c r="T31" i="4" s="1"/>
  <c r="X30" i="4"/>
  <c r="Z30" i="4"/>
  <c r="AB30" i="4" s="1"/>
  <c r="AC30" i="4" s="1"/>
  <c r="U32" i="4"/>
  <c r="AA31" i="4"/>
  <c r="X31" i="4" l="1"/>
  <c r="Z31" i="4"/>
  <c r="AB31" i="4" s="1"/>
  <c r="AC31" i="4" s="1"/>
  <c r="AA32" i="4"/>
  <c r="AB32" i="4" s="1"/>
  <c r="AC32" i="4" s="1"/>
  <c r="Z32" i="4"/>
  <c r="X32" i="4"/>
</calcChain>
</file>

<file path=xl/sharedStrings.xml><?xml version="1.0" encoding="utf-8"?>
<sst xmlns="http://schemas.openxmlformats.org/spreadsheetml/2006/main" count="211" uniqueCount="81">
  <si>
    <t>(a) (ii)</t>
  </si>
  <si>
    <t>Experience Data and Assumptions</t>
  </si>
  <si>
    <t>Per 1000</t>
  </si>
  <si>
    <t>Liability</t>
  </si>
  <si>
    <t>Valuation</t>
  </si>
  <si>
    <t>Experience</t>
  </si>
  <si>
    <t>Death</t>
  </si>
  <si>
    <t>Beginning of</t>
  </si>
  <si>
    <t>Premiums</t>
  </si>
  <si>
    <t>Total</t>
  </si>
  <si>
    <t>Cash Flows</t>
  </si>
  <si>
    <t>Interest</t>
  </si>
  <si>
    <t>Net Asset</t>
  </si>
  <si>
    <t>Mortality</t>
  </si>
  <si>
    <t>Amount of</t>
  </si>
  <si>
    <t>Benefits</t>
  </si>
  <si>
    <t>Lapse</t>
  </si>
  <si>
    <t>Deterministic</t>
  </si>
  <si>
    <t>Year</t>
  </si>
  <si>
    <t>(inflows)</t>
  </si>
  <si>
    <t>Expenses</t>
  </si>
  <si>
    <t>Outflow</t>
  </si>
  <si>
    <t>before FIT</t>
  </si>
  <si>
    <t>Rate</t>
  </si>
  <si>
    <t>Earned Rate</t>
  </si>
  <si>
    <t>Insurance Inforce</t>
  </si>
  <si>
    <t>Per Unit</t>
  </si>
  <si>
    <t>Reserve</t>
  </si>
  <si>
    <t>(i)</t>
  </si>
  <si>
    <t>Correct Calculation of Reserves:  changes are higlighted in blue</t>
  </si>
  <si>
    <t>Annual</t>
  </si>
  <si>
    <t>Per $1000 Inforce</t>
  </si>
  <si>
    <t>Unamortized</t>
  </si>
  <si>
    <t>CRVM</t>
  </si>
  <si>
    <t>Gross</t>
  </si>
  <si>
    <t>Basic</t>
  </si>
  <si>
    <t>Adjusted</t>
  </si>
  <si>
    <t>Deficiency</t>
  </si>
  <si>
    <t>Policy</t>
  </si>
  <si>
    <t>Present Value</t>
  </si>
  <si>
    <t>Annuity Due</t>
  </si>
  <si>
    <t>Present Value of</t>
  </si>
  <si>
    <t>Net Level Premium</t>
  </si>
  <si>
    <t>Expense</t>
  </si>
  <si>
    <t>Valuation Net</t>
  </si>
  <si>
    <t>Premium</t>
  </si>
  <si>
    <t>Basic Reserve</t>
  </si>
  <si>
    <t>v(t)</t>
  </si>
  <si>
    <t>p(x,t)</t>
  </si>
  <si>
    <t>of $1</t>
  </si>
  <si>
    <t>Deaths(t)</t>
  </si>
  <si>
    <t>Premiums(t)</t>
  </si>
  <si>
    <t>of Death Benefits</t>
  </si>
  <si>
    <t>of Premiums</t>
  </si>
  <si>
    <t>Future Death Benefits</t>
  </si>
  <si>
    <t>Reserves</t>
  </si>
  <si>
    <t>Allowance</t>
  </si>
  <si>
    <t>Inforce(t)</t>
  </si>
  <si>
    <t>Per Unit Inforce</t>
  </si>
  <si>
    <t>(The following tables are given in the question)</t>
  </si>
  <si>
    <t>Calculation of CRVM and Deficiency Reserves Provided to Candidates</t>
  </si>
  <si>
    <t>`</t>
  </si>
  <si>
    <t>Question 10 Excel Model Solution</t>
  </si>
  <si>
    <t>Given</t>
  </si>
  <si>
    <t>Investment Rate of Return:</t>
  </si>
  <si>
    <t>Using IRR Function (not sensitive to starting value)</t>
  </si>
  <si>
    <t>Discounted Interest Rate:</t>
  </si>
  <si>
    <t>Profit</t>
  </si>
  <si>
    <t>Income</t>
  </si>
  <si>
    <t>Flow</t>
  </si>
  <si>
    <t>(EOY)</t>
  </si>
  <si>
    <t>(BOY)</t>
  </si>
  <si>
    <t>GAAP</t>
  </si>
  <si>
    <t>Investment</t>
  </si>
  <si>
    <t>Net</t>
  </si>
  <si>
    <t>Net Cash</t>
  </si>
  <si>
    <t>Maintenance</t>
  </si>
  <si>
    <t>Acquisition</t>
  </si>
  <si>
    <t>(iii)</t>
  </si>
  <si>
    <t>(ii)</t>
  </si>
  <si>
    <t>Demonstration of Constant Yield Method for Accounting for a 5-Year Certain Annuity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</si>
</sst>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_(* #,##0_);_(* \(#,##0\);_(* &quot;-&quot;??_);_(@_)"/>
    <numFmt numFmtId="166" formatCode="_(* #,##0.0_);_(* \(#,##0.0\);_(* &quot;-&quot;??_);_(@_)"/>
    <numFmt numFmtId="167" formatCode="_(* #,##0.000_);_(* \(#,##0.000\);_(* &quot;-&quot;??_);_(@_)"/>
    <numFmt numFmtId="168" formatCode="0.0000%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2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2" fillId="0" borderId="0"/>
    <xf numFmtId="0" fontId="5" fillId="0" borderId="0"/>
    <xf numFmtId="0" fontId="6" fillId="0" borderId="0"/>
    <xf numFmtId="0" fontId="5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1" fillId="2" borderId="0" xfId="9" applyFill="1"/>
    <xf numFmtId="0" fontId="7" fillId="2" borderId="0" xfId="9" applyFont="1" applyFill="1"/>
    <xf numFmtId="0" fontId="2" fillId="2" borderId="0" xfId="9" applyFont="1" applyFill="1"/>
    <xf numFmtId="0" fontId="2" fillId="2" borderId="0" xfId="9" applyFont="1" applyFill="1" applyAlignment="1">
      <alignment horizontal="center"/>
    </xf>
    <xf numFmtId="0" fontId="1" fillId="2" borderId="0" xfId="9" applyFill="1" applyAlignment="1">
      <alignment horizontal="center"/>
    </xf>
    <xf numFmtId="14" fontId="1" fillId="2" borderId="0" xfId="9" applyNumberFormat="1" applyFill="1" applyAlignment="1">
      <alignment horizontal="center"/>
    </xf>
    <xf numFmtId="3" fontId="1" fillId="2" borderId="0" xfId="9" applyNumberFormat="1" applyFill="1"/>
    <xf numFmtId="4" fontId="1" fillId="2" borderId="0" xfId="9" applyNumberFormat="1" applyFill="1"/>
    <xf numFmtId="0" fontId="1" fillId="2" borderId="0" xfId="9" applyFill="1" applyAlignment="1">
      <alignment horizontal="right"/>
    </xf>
    <xf numFmtId="4" fontId="1" fillId="3" borderId="0" xfId="9" applyNumberFormat="1" applyFill="1"/>
    <xf numFmtId="0" fontId="3" fillId="4" borderId="0" xfId="9" applyFont="1" applyFill="1"/>
    <xf numFmtId="0" fontId="1" fillId="5" borderId="0" xfId="9" applyFill="1"/>
    <xf numFmtId="0" fontId="2" fillId="5" borderId="0" xfId="9" applyFont="1" applyFill="1" applyAlignment="1">
      <alignment horizontal="center"/>
    </xf>
    <xf numFmtId="0" fontId="1" fillId="5" borderId="0" xfId="9" applyFill="1" applyAlignment="1">
      <alignment horizontal="center"/>
    </xf>
    <xf numFmtId="10" fontId="1" fillId="5" borderId="0" xfId="9" applyNumberFormat="1" applyFill="1"/>
    <xf numFmtId="2" fontId="1" fillId="5" borderId="0" xfId="9" applyNumberFormat="1" applyFill="1"/>
    <xf numFmtId="164" fontId="5" fillId="2" borderId="0" xfId="3" applyNumberFormat="1" applyFont="1" applyFill="1"/>
    <xf numFmtId="164" fontId="2" fillId="2" borderId="0" xfId="3" applyNumberFormat="1" applyFont="1" applyFill="1"/>
    <xf numFmtId="164" fontId="5" fillId="5" borderId="0" xfId="3" applyNumberFormat="1" applyFont="1" applyFill="1"/>
    <xf numFmtId="165" fontId="5" fillId="2" borderId="0" xfId="3" applyNumberFormat="1" applyFont="1" applyFill="1"/>
    <xf numFmtId="166" fontId="5" fillId="2" borderId="0" xfId="3" applyNumberFormat="1" applyFont="1" applyFill="1"/>
    <xf numFmtId="43" fontId="5" fillId="2" borderId="0" xfId="3" applyFont="1" applyFill="1"/>
    <xf numFmtId="43" fontId="5" fillId="5" borderId="0" xfId="3" applyFont="1" applyFill="1"/>
    <xf numFmtId="0" fontId="3" fillId="3" borderId="0" xfId="9" applyFont="1" applyFill="1"/>
    <xf numFmtId="0" fontId="1" fillId="3" borderId="0" xfId="9" applyFill="1"/>
    <xf numFmtId="0" fontId="4" fillId="2" borderId="0" xfId="9" applyFont="1" applyFill="1"/>
    <xf numFmtId="0" fontId="2" fillId="6" borderId="0" xfId="9" applyFont="1" applyFill="1"/>
    <xf numFmtId="0" fontId="1" fillId="6" borderId="0" xfId="9" applyFill="1"/>
    <xf numFmtId="0" fontId="2" fillId="6" borderId="0" xfId="9" applyFont="1" applyFill="1" applyAlignment="1">
      <alignment horizontal="center"/>
    </xf>
    <xf numFmtId="0" fontId="1" fillId="6" borderId="0" xfId="9" applyFill="1" applyAlignment="1">
      <alignment horizontal="center"/>
    </xf>
    <xf numFmtId="3" fontId="1" fillId="6" borderId="0" xfId="9" applyNumberFormat="1" applyFill="1"/>
    <xf numFmtId="43" fontId="5" fillId="6" borderId="0" xfId="3" applyFont="1" applyFill="1"/>
    <xf numFmtId="10" fontId="1" fillId="6" borderId="0" xfId="9" applyNumberFormat="1" applyFill="1"/>
    <xf numFmtId="2" fontId="1" fillId="6" borderId="0" xfId="9" applyNumberFormat="1" applyFill="1"/>
    <xf numFmtId="164" fontId="5" fillId="6" borderId="0" xfId="3" applyNumberFormat="1" applyFont="1" applyFill="1"/>
    <xf numFmtId="164" fontId="2" fillId="6" borderId="0" xfId="3" applyNumberFormat="1" applyFont="1" applyFill="1"/>
    <xf numFmtId="166" fontId="5" fillId="6" borderId="0" xfId="3" applyNumberFormat="1" applyFont="1" applyFill="1"/>
    <xf numFmtId="167" fontId="5" fillId="6" borderId="0" xfId="3" applyNumberFormat="1" applyFont="1" applyFill="1"/>
    <xf numFmtId="165" fontId="5" fillId="6" borderId="0" xfId="3" applyNumberFormat="1" applyFont="1" applyFill="1"/>
    <xf numFmtId="10" fontId="1" fillId="2" borderId="0" xfId="9" applyNumberFormat="1" applyFill="1"/>
    <xf numFmtId="2" fontId="1" fillId="2" borderId="0" xfId="9" applyNumberFormat="1" applyFill="1"/>
    <xf numFmtId="4" fontId="1" fillId="2" borderId="0" xfId="9" quotePrefix="1" applyNumberFormat="1" applyFill="1"/>
    <xf numFmtId="10" fontId="1" fillId="2" borderId="0" xfId="9" quotePrefix="1" applyNumberFormat="1" applyFill="1"/>
    <xf numFmtId="4" fontId="0" fillId="0" borderId="0" xfId="0" applyNumberFormat="1"/>
    <xf numFmtId="43" fontId="8" fillId="0" borderId="0" xfId="20" applyFont="1"/>
    <xf numFmtId="168" fontId="0" fillId="0" borderId="0" xfId="21" applyNumberFormat="1" applyFont="1"/>
    <xf numFmtId="0" fontId="0" fillId="0" borderId="0" xfId="0" applyAlignment="1">
      <alignment horizontal="right"/>
    </xf>
    <xf numFmtId="165" fontId="0" fillId="0" borderId="0" xfId="20" applyNumberFormat="1" applyFont="1"/>
    <xf numFmtId="0" fontId="8" fillId="0" borderId="0" xfId="0" applyFont="1"/>
    <xf numFmtId="4" fontId="8" fillId="0" borderId="0" xfId="0" applyNumberFormat="1" applyFont="1"/>
    <xf numFmtId="168" fontId="0" fillId="7" borderId="0" xfId="0" applyNumberFormat="1" applyFill="1"/>
    <xf numFmtId="4" fontId="0" fillId="7" borderId="0" xfId="0" applyNumberFormat="1" applyFill="1" applyAlignment="1">
      <alignment horizontal="center"/>
    </xf>
    <xf numFmtId="4" fontId="0" fillId="7" borderId="0" xfId="0" applyNumberFormat="1" applyFill="1"/>
    <xf numFmtId="43" fontId="0" fillId="7" borderId="0" xfId="20" applyFont="1" applyFill="1"/>
    <xf numFmtId="0" fontId="0" fillId="7" borderId="0" xfId="0" applyFill="1"/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</cellXfs>
  <cellStyles count="22">
    <cellStyle name="Comma 2" xfId="1" xr:uid="{00000000-0005-0000-0000-000000000000}"/>
    <cellStyle name="Comma 2 2" xfId="2" xr:uid="{00000000-0005-0000-0000-000001000000}"/>
    <cellStyle name="Comma 3" xfId="3" xr:uid="{00000000-0005-0000-0000-000002000000}"/>
    <cellStyle name="Comma 3 2" xfId="4" xr:uid="{00000000-0005-0000-0000-000003000000}"/>
    <cellStyle name="Comma 4" xfId="5" xr:uid="{00000000-0005-0000-0000-000004000000}"/>
    <cellStyle name="Comma 4 2" xfId="20" xr:uid="{70C30D6F-4752-4AA5-BB20-A57A4850D9CF}"/>
    <cellStyle name="Comma 7" xfId="6" xr:uid="{00000000-0005-0000-0000-000005000000}"/>
    <cellStyle name="Currency 2" xfId="7" xr:uid="{00000000-0005-0000-0000-000006000000}"/>
    <cellStyle name="Currency 2 2" xfId="8" xr:uid="{00000000-0005-0000-0000-000007000000}"/>
    <cellStyle name="Normal" xfId="0" builtinId="0"/>
    <cellStyle name="Normal 2" xfId="9" xr:uid="{00000000-0005-0000-0000-000009000000}"/>
    <cellStyle name="Normal 2 2" xfId="10" xr:uid="{00000000-0005-0000-0000-00000A000000}"/>
    <cellStyle name="Normal 2 3" xfId="11" xr:uid="{00000000-0005-0000-0000-00000B000000}"/>
    <cellStyle name="Normal 3" xfId="12" xr:uid="{00000000-0005-0000-0000-00000C000000}"/>
    <cellStyle name="Normal 5 2" xfId="13" xr:uid="{00000000-0005-0000-0000-00000D000000}"/>
    <cellStyle name="Percent 2" xfId="14" xr:uid="{00000000-0005-0000-0000-00000E000000}"/>
    <cellStyle name="Percent 2 2" xfId="15" xr:uid="{00000000-0005-0000-0000-00000F000000}"/>
    <cellStyle name="Percent 2 3" xfId="16" xr:uid="{00000000-0005-0000-0000-000010000000}"/>
    <cellStyle name="Percent 3" xfId="17" xr:uid="{00000000-0005-0000-0000-000011000000}"/>
    <cellStyle name="Percent 3 2" xfId="18" xr:uid="{00000000-0005-0000-0000-000012000000}"/>
    <cellStyle name="Percent 3 3" xfId="21" xr:uid="{37F9B034-EA80-4FC7-AD8D-163B66EF2E9B}"/>
    <cellStyle name="Percent 7 2" xfId="19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LM\CFVM\2006Q2\Deterministic%20Scenarios%20New%20v2\CDN%20Deterministic%20Scenarios\YLDCRV7.5%202006Q2%20IF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eriprise-my.sharepoint.com/C:/Users/t79bpec/AppData/Local/Temp/notes0AC7F3/SZ-1-2014%20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eriprise-my.sharepoint.com/personal/derek_l_farmer_ampf_com/Documents/SOA/Question%20Writing/2022%20Exams/1-10%20Question%20Download/LS-2-2022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eriprise-my.sharepoint.com/personal/derek_l_farmer_ampf_com/Documents/SOA/Question%20Writing/2022%20Exams/1-10%20Question%20Download/EC-02-2022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agtafsr05/Users/mpromislow/Personal/SOA/QWC%202020/215111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CalcBase"/>
      <sheetName val="CalcUp"/>
      <sheetName val="CalcDown"/>
      <sheetName val="OutBase"/>
      <sheetName val="OutUp"/>
      <sheetName val="OutDow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Z-1-2013 (MH)"/>
      <sheetName val="syllabus list"/>
      <sheetName val="SZ-1-2013"/>
      <sheetName val="instructions"/>
    </sheetNames>
    <sheetDataSet>
      <sheetData sheetId="0" refreshError="1">
        <row r="9">
          <cell r="B9" t="str">
            <v>CAN-1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yllabus list"/>
      <sheetName val="Qxt"/>
      <sheetName val="CRVMDEF"/>
      <sheetName val="2017 Composite Ultimate Mort"/>
    </sheetNames>
    <sheetDataSet>
      <sheetData sheetId="0" refreshError="1"/>
      <sheetData sheetId="1">
        <row r="4">
          <cell r="D4" t="str">
            <v>LO#1 CIA Report: Lapse Experience Study for 10-year Term Insurance, Jan 2014, pp. 6 -32</v>
          </cell>
        </row>
        <row r="5">
          <cell r="D5" t="str">
            <v>LO#1 CIA Research Paper: Lapse Experience under UL Level COI Policies, Sep 2015, pp. 4 - 8</v>
          </cell>
        </row>
        <row r="6">
          <cell r="D6" t="str">
            <v>LO#1 CIA Educational note, Currency Risk in the Valuation of Policy Liabilities for Life and Health Insurers, December 2009</v>
          </cell>
        </row>
        <row r="7">
          <cell r="D7" t="str">
            <v>LO#1 CIA Educational Note, Development of the Equilibrium Risk-Free Market Curve for the Base Scenario, December 2015</v>
          </cell>
        </row>
        <row r="8">
          <cell r="D8" t="str">
            <v xml:space="preserve">LO#1 CIA Educational Note: Approximations to the Canadian Asset Liability Method (CALM): November 2006 </v>
          </cell>
        </row>
        <row r="9">
          <cell r="D9" t="str">
            <v xml:space="preserve">LO#1 CIA Educational Note: Best Estimates Assumptions for Expenses – November 2006 </v>
          </cell>
        </row>
        <row r="10">
          <cell r="D10" t="str">
            <v>LO#1 CIA Educational Note: CALM Implications of AcSB Section 3855 Financial Instruments - Recognition and Measurement (June 2006)</v>
          </cell>
        </row>
        <row r="11">
          <cell r="D11" t="str">
            <v>LO#1 CIA Educational Note: Dividend Determination for Participating Policies, Jan 2014</v>
          </cell>
        </row>
        <row r="12">
          <cell r="D12" t="str">
            <v>LO#1 CIA Educational Note: Expected Mortality: Fully Underwritten Canadian Individual Life Insurance Policies: July 2002 (exclude appendices)</v>
          </cell>
        </row>
        <row r="13">
          <cell r="D13" t="str">
            <v>LO#1 CIA Educational Note: Guidance on Fairness Opinions Required Under the Insurance Companies Act Pursuant to Bill C-57 (2005) Dec 2011</v>
          </cell>
        </row>
        <row r="14">
          <cell r="D14" t="str">
            <v>LO#1 CIA Educational Note: Investment Assumptions Used in the Valuation of Life and Health Insurance Contract Liabilities Sep.2015</v>
          </cell>
        </row>
        <row r="15">
          <cell r="D15" t="str">
            <v>LO#1 CIA Educational Note: Margins for Adverse Deviations (Mfad) – November 2006</v>
          </cell>
        </row>
        <row r="16">
          <cell r="D16" t="str">
            <v xml:space="preserve">LO#1 CIA Educational Note: Reflection of Hedging in Segregated Fund Valuation – May 2012 </v>
          </cell>
        </row>
        <row r="17">
          <cell r="D17" t="str">
            <v>LO#1 CIA Educational Note: Selective Lapsation for Renewable Term Insurance Products, February 2017</v>
          </cell>
        </row>
        <row r="18">
          <cell r="D18" t="str">
            <v xml:space="preserve">LO#1 CIA Educational Note: Valuation of Gross Policy Liabilities and Reinsurance Recoverables (December 2010) </v>
          </cell>
        </row>
        <row r="19">
          <cell r="D19" t="str">
            <v>LO#1 CIA Educational Note: Valuation of Universal Life Policy Liabilities - February 2012</v>
          </cell>
        </row>
        <row r="20">
          <cell r="D20" t="str">
            <v>LO#1 CIA Final Communication of a Promulgation of Prescribed Mortality Improvement Rates (July 2017)</v>
          </cell>
        </row>
        <row r="21">
          <cell r="D21" t="str">
            <v>LO#1 CIA Draft Report: Task Force on Mortality Improvement, April 2017</v>
          </cell>
        </row>
        <row r="22">
          <cell r="D22" t="str">
            <v>LO#1 CIA Research Paper: Calibration of Fixed-Income Returns Segregated Fund Liability April 2014</v>
          </cell>
        </row>
        <row r="23">
          <cell r="D23" t="str">
            <v xml:space="preserve">LO#1 CIA Use of Actuarial Judgment in Setting Assumptions and Margins for Adverse Deviations, November 2006 </v>
          </cell>
        </row>
        <row r="24">
          <cell r="D24" t="str">
            <v xml:space="preserve">LO#1 CIA Educational Note: Valuation of Segregated Fund Investment Guarantees (October 2005) </v>
          </cell>
        </row>
        <row r="25">
          <cell r="D25" t="str">
            <v>LO#1 CIA Education Note: Investment Returns for non-fixed-income returns for Assets, March 2011</v>
          </cell>
        </row>
        <row r="26">
          <cell r="D26" t="str">
            <v>LO#1 Final Communication of Promulgations of the Maximum Net Credit Spread, Ultimate Reinvestment Rates and Calibration Criteria for Stochastic Risk-Free Interest Rates in the Standards of Practice, May 2014 - Section 2 Only</v>
          </cell>
        </row>
        <row r="27">
          <cell r="D27" t="str">
            <v>LO#1 Final Communication of Updated Promulgations of the Ultimate Reinvestment Rates and Calibration Criteria for Stochastic Risk-Free Interest Rates in the Standards of Practice, July 2019</v>
          </cell>
        </row>
        <row r="28">
          <cell r="D28" t="str">
            <v>LO#1 LFM-618-13 OSFI Guideline D-10: Accounting for Financial Instruments Designated as Fair Value Option</v>
          </cell>
        </row>
        <row r="29">
          <cell r="D29" t="str">
            <v>LO#1 LFM-620-14 OSFI Guideline E15: Appointed Actuary -  Legal Requirements, Qualification and External Review (Sep 2012)</v>
          </cell>
        </row>
        <row r="30">
          <cell r="D30" t="str">
            <v>LO#1 LFM-632-12 OSFI B-3 Sound Reinsurance Practices and Procedures</v>
          </cell>
        </row>
        <row r="31">
          <cell r="D31" t="str">
            <v>LO#1 LFM-634-19 CIA Standards of Practice: Insurance  Sections 2100, 2300, 2400, 2500 &amp; 2700,  Dec 2019</v>
          </cell>
        </row>
        <row r="32">
          <cell r="D32" t="str">
            <v>LO#1 LFM-635-13 Participating Account Management and Disclosure to Participating Policyholders and Adjustable Policyholders</v>
          </cell>
        </row>
        <row r="33">
          <cell r="D33" t="str">
            <v>LO#1 LFM-637-13 OSFI Letter evidence for Mean Reversion in Equity Prices</v>
          </cell>
        </row>
        <row r="34">
          <cell r="D34" t="str">
            <v>LO#1 LFM-652-20 Canadian Life and Health Insurance Guidelines (CLHIA) - Guideline G-6 - Illustrations</v>
          </cell>
        </row>
        <row r="35">
          <cell r="D35" t="str">
            <v>LO#1 CIA Report: Report of the Task Force on Segregated Fund Liability and Capital Methodologies (Aug 2010)</v>
          </cell>
        </row>
        <row r="36">
          <cell r="D36" t="str">
            <v>LO#1 CIA Educational Note: Considerations in the Valuation of Segregated Fund Products, Nov 2007</v>
          </cell>
        </row>
        <row r="37">
          <cell r="D37" t="str">
            <v>LO#1 LFMU GAAP Materials Flowchart</v>
          </cell>
        </row>
        <row r="38">
          <cell r="D38" t="str">
            <v>LO#1    Chapter  3:    US GAAP - Expenses and Capitalization (exclude 3.7.1, 3.7.3, 3.11.4.5, and 3.12)</v>
          </cell>
        </row>
        <row r="39">
          <cell r="D39" t="str">
            <v>LO#1    Chapter  4:    US GAAP - Traditional Life Insurance (SFAS 60 &amp; 97) (exclude 4.4 to 4.14)</v>
          </cell>
        </row>
        <row r="40">
          <cell r="D40" t="str">
            <v>LO#1    Chapter  6:    US GAAP - Universal Life Insurance (exclude 6.7 to 6.7.1.6, 6.7.3 to 6.7.6.3, 6.10 to 6.13.2)</v>
          </cell>
        </row>
        <row r="41">
          <cell r="D41" t="str">
            <v>LO#1    Chapter  7:    US GAAP - Deferred Annuities (exclude 7.4.1d, 7.6, 7.8, 7.10, 7.11, 7.13)</v>
          </cell>
        </row>
        <row r="42">
          <cell r="D42" t="str">
            <v>LO#1    Chapter  9:    US GAAP - Annuities in Payment Status (exclude section 9.5)</v>
          </cell>
        </row>
        <row r="43">
          <cell r="D43" t="str">
            <v>LO#1    Chapter 13:   US GAAP - Investment Accounting (exclude 13.7 and 13.12))</v>
          </cell>
        </row>
        <row r="44">
          <cell r="D44" t="str">
            <v>LO#1    Chapter 15:   US GAAP - Accounting for Business Combinations (exclude 15.7.3 to 15.7.8, and 15.10.5 to 15.15)</v>
          </cell>
        </row>
        <row r="45">
          <cell r="D45" t="str">
            <v>LO#1    Chapter 18:   US GAAP - Other Topics: Deferred Taxes and Fair Value Reporting (exclude 18.2, 18.4, and 18.6)</v>
          </cell>
        </row>
        <row r="46">
          <cell r="D46" t="str">
            <v>LO#1 LFM-XXX-21: A Comprehensive Guide – Reinsurance, E&amp;Y, 2020, (Sections 1, 2, 4, 7, Appendix D)</v>
          </cell>
        </row>
        <row r="47">
          <cell r="D47" t="str">
            <v>LO#1 LFM-149-21: Insurance Contracts, PwC (Accounting Guide for Insurance Contracts), 2020, Sections 1.1 -1.3 (pp 1.2-1.9), 2.1-2.5 (pp 2.2-2.21) 3.1-3.9 (pp 3.2-3.48), 5.1-5.10 (pp 5.2-5.56), and Figures IG 2-1 (pp 2.4-2.6) &amp; IG 2-2 (pp 2.15-2.18)</v>
          </cell>
        </row>
        <row r="48">
          <cell r="D48" t="str">
            <v>LO#1 Implementation Considerations For VA Market Risk Benefits, Financial Reporter, Sep 2019 </v>
          </cell>
        </row>
        <row r="49">
          <cell r="D49" t="str">
            <v>LO#1 LFM-840-20 A Comprehensive Guide - Derivatives and Hedging, E&amp;Y, 2019, (Sections 1.1-1.7, 3.1-3.3, 4.1-4.3, 9.1-9.5, Appendices A and C1.1-4)</v>
          </cell>
        </row>
        <row r="50">
          <cell r="D50" t="str">
            <v>LO#1 LFM-841-20 A Closer Look at How Insurers Will Have to Change their Accounting and Disclosures for Long-Duration Contracts, E&amp;Y, Nov 2018</v>
          </cell>
        </row>
        <row r="51">
          <cell r="D51" t="str">
            <v>LO#1 Targeted Improvements Interactive Model</v>
          </cell>
        </row>
        <row r="52">
          <cell r="D52" t="str">
            <v>LO#2 CIA Educational Note: Comparison of IFRS 17 to Current CIA Standard of Practice, Sept 2018</v>
          </cell>
        </row>
        <row r="53">
          <cell r="D53" t="str">
            <v>LO#2 CIA Educational Note: IFRS 17 Estimates of Future Cash Flows for Life and Health Insurance Contracts, Sep 2019</v>
          </cell>
        </row>
        <row r="54">
          <cell r="D54" t="str">
            <v>LO#2 CIA Educational Note: IFRS 17 Risk Adjustment for Non-Financial Risk for Life and Health Insurance Contracts, Jul 2019</v>
          </cell>
        </row>
        <row r="55">
          <cell r="D55" t="str">
            <v>LO#2 CIA Educational Note: Transition from CALM to IFRS 17 Valuation of Canadian Participating Insurance Contracts, Mar 2019</v>
          </cell>
        </row>
        <row r="56">
          <cell r="D56" t="str">
            <v>LO#2 CIA Educational Note: IFRS 17 Discount Rates for Life and Health Insurance Contracts, Jun 2020</v>
          </cell>
        </row>
        <row r="57">
          <cell r="D57" t="str">
            <v>LO#2 CIA Educational Note: IFRS 17 Coverage Units for Life and Health Insurance Contracts, Dec 2019</v>
          </cell>
        </row>
        <row r="58">
          <cell r="D58" t="str">
            <v>LO#2 CIA Educational Note: IFRS 17 Market Consistent Valuation of Financial Guarantees for Life and Health Insurance Contracts, May 2020</v>
          </cell>
        </row>
        <row r="59">
          <cell r="D59" t="str">
            <v>LO#2 CIA Educational Note: IFRS 17 Measurement and Presentation of Canadian Participating Insurance Contracts, Apr 2021</v>
          </cell>
        </row>
        <row r="60">
          <cell r="D60" t="str">
            <v>LO#2 IFRS 17 Insurance Contracts Example (Spreadsheet Model)</v>
          </cell>
        </row>
        <row r="61">
          <cell r="D61" t="str">
            <v>LO#2 LFM-141-18 IFRS 17 Insurance Contracts – IFRS Standards Effects Analysis, May 2017, IASB (sections 1, 2, 4 &amp; 6.1-2 only)</v>
          </cell>
        </row>
        <row r="62">
          <cell r="D62" t="str">
            <v>LO#2 LFM-655-21: IFRS Standards Exposure Draft Amendments to IFRS 17, Jun 2019</v>
          </cell>
        </row>
        <row r="63">
          <cell r="D63" t="str">
            <v>LO#2 LFM-656-21: PwC In transition: The latest on IFRS 17 implementation, Feb 2020</v>
          </cell>
        </row>
        <row r="64">
          <cell r="D64" t="str">
            <v>LO#2  LFM-649-20: International Actuarial Note 100: Application of IFRS 17 (excluding section C chapter 11 and section D )</v>
          </cell>
        </row>
        <row r="65">
          <cell r="D65" t="str">
            <v>LO#2 LFM-XXX-21: The IFRS 17 Contractual Service Margin: A Life Insurance Perspective (Sections 1-4.7 &amp; 5)</v>
          </cell>
        </row>
        <row r="66">
          <cell r="D66" t="str">
            <v>LO#2 LFMU PBR Materials Flowchart, 2020</v>
          </cell>
        </row>
        <row r="67">
          <cell r="D67" t="str">
            <v>LO#2 ASOP 52 - Principle-Based Reserves for Life Products under the NAIC Valuation Manual on PBR for Life Products, Section 3</v>
          </cell>
        </row>
        <row r="68">
          <cell r="D68" t="str">
            <v>LO#2 Impacts of AG 48, Financial Reporter, Dec 2015</v>
          </cell>
        </row>
        <row r="69">
          <cell r="D69" t="str">
            <v>LO#2 LFM-143-20 Fundamentals of the Principle Based Approach to Statutory Reserves for Life Insurance, Jul 2019</v>
          </cell>
        </row>
        <row r="70">
          <cell r="D70" t="str">
            <v>LO#2 LFM-800-07 Chapters 8 (pp. 12-16) and 12 (pp.1-15 &amp; 32-33) of IASA Life and Accident and Health Insurance Accounting (excluding Dividends Received Deduction and Operations Loss Deduction subsections under the General Deductions section, the Special D</v>
          </cell>
        </row>
        <row r="71">
          <cell r="D71" t="str">
            <v>LO#2 What's in the "A" of AG 49-A, Financial Reporter, Feb. 2021</v>
          </cell>
        </row>
        <row r="72">
          <cell r="D72" t="str">
            <v>LO#2 LFM-822-16 Study Note on Actuarial Guidelines AG 38 &amp; 48 (exclude pages 6 to 8)</v>
          </cell>
        </row>
        <row r="73">
          <cell r="D73" t="str">
            <v>LO#2 LFM-832-17 AG49 - A Closer Look, LifeTrends, Pfeifer</v>
          </cell>
        </row>
        <row r="74">
          <cell r="D74" t="str">
            <v xml:space="preserve">LO#2 LFM-836-17 AG 49 Post Standards Update </v>
          </cell>
        </row>
        <row r="75">
          <cell r="D75" t="str">
            <v>LO#2 LFM-XXX-21: Implementation of Requirements for Principle-Based Reserves for Variable Annuities – 2021 Edition of VM-21 (required questions are listed on the first page of this study note)</v>
          </cell>
        </row>
        <row r="76">
          <cell r="D76" t="str">
            <v>LO#2 LFM-843-20 NAIC Life Insurance Illustrations Model Regulation</v>
          </cell>
        </row>
        <row r="77">
          <cell r="D77" t="str">
            <v>LO#2  LFM-844-21: Life Principle-Based Reserves Under VM-20, AAA Practice Note (required questions are listed on the first page of this study note)</v>
          </cell>
        </row>
        <row r="78">
          <cell r="D78" t="str">
            <v>LO#2 Lombardi,  Chapter 1 – Overview of Valuation Concepts (exclude 1.1-9)</v>
          </cell>
        </row>
        <row r="79">
          <cell r="D79" t="str">
            <v>LO#2 Lombardi,  Chapter 10 – Valuation Assumptions (exclude 10.1.3, 10.3.8)</v>
          </cell>
        </row>
        <row r="80">
          <cell r="D80" t="str">
            <v>LO#2 Lombardi,  Chapter 11 – Valuation Methodologies (exclude 11.3.9 to 11.3.11)</v>
          </cell>
        </row>
        <row r="81">
          <cell r="D81" t="str">
            <v xml:space="preserve">LO#2 Lombardi,  Chapter 12 – Whole Life </v>
          </cell>
        </row>
        <row r="82">
          <cell r="D82" t="str">
            <v xml:space="preserve">LO#2 Lombardi,  Chapter 13 – Term Life Insurance </v>
          </cell>
        </row>
        <row r="83">
          <cell r="D83" t="str">
            <v>LO#2 Lombardi,  Chapter 14 – Universal Life (exclude 14.4.8, 14.4.9, 14.5.0, 14.6.2-14.6.6)</v>
          </cell>
        </row>
        <row r="84">
          <cell r="D84" t="str">
            <v>LO#2 Lombardi,  Chapter 16 – Indexed Universal Life (exclude 16.4.2-3)</v>
          </cell>
        </row>
        <row r="85">
          <cell r="D85" t="str">
            <v>LO#2 Lombardi,  Chapter 18 – Fixed Deferred  Annuities (exclude 18.7.4, 18.8)</v>
          </cell>
        </row>
        <row r="86">
          <cell r="D86" t="str">
            <v>LO#2 Lombardi,  Chapter 19 – Variable Deferred Annuities</v>
          </cell>
        </row>
        <row r="87">
          <cell r="D87" t="str">
            <v>LO#2 Lombardi,  Chapter 2 – Product Classifications (2.2 only)</v>
          </cell>
        </row>
        <row r="88">
          <cell r="D88" t="str">
            <v xml:space="preserve">LO#2 Lombardi,  Chapter 20 -- Indexed Deferred Annuities </v>
          </cell>
        </row>
        <row r="89">
          <cell r="D89" t="str">
            <v xml:space="preserve">LO#2 Lombardi,  Chapter 21 – Immediate Annuities </v>
          </cell>
        </row>
        <row r="90">
          <cell r="D90" t="str">
            <v>LO#2 Lombardi,  Chapter 22 – Miscellaneous Reserves (exclude 22.3 to 22.4) </v>
          </cell>
        </row>
        <row r="91">
          <cell r="D91" t="str">
            <v>LO#2 Lombardi,  Chapter 23 – PBR for Life Products (exclude 23.1)</v>
          </cell>
        </row>
        <row r="92">
          <cell r="D92" t="str">
            <v>LO#2 Lombardi, Chapter 24 Addendum for Variable Annuity PBR Updates</v>
          </cell>
        </row>
        <row r="93">
          <cell r="D93" t="str">
            <v>LO#2 Lombardi,  Chapter 3 – NAIC Annual Statement</v>
          </cell>
        </row>
        <row r="94">
          <cell r="D94" t="str">
            <v>LO#2 Lombardi,  Chapter 4 – Standard Valuation Law</v>
          </cell>
        </row>
        <row r="95">
          <cell r="D95" t="str">
            <v>LO#2 Lombardi,  Chapter 5 – The Valuation Manual</v>
          </cell>
        </row>
        <row r="96">
          <cell r="D96" t="str">
            <v>LO#2 PBA Corner: Evolution of VM-20, Financial Reporter, June 2016</v>
          </cell>
        </row>
        <row r="97">
          <cell r="D97" t="str">
            <v>LO#2 Principle-Based Reserves Interactive Model</v>
          </cell>
        </row>
        <row r="98">
          <cell r="D98" t="str">
            <v>LO#2 Reporting and Disclosure Requirements Under  VM-31 Reporting Requirements for Business Subject to PB, Financial Reporter, Sep 2017</v>
          </cell>
        </row>
        <row r="99">
          <cell r="D99" t="str">
            <v xml:space="preserve">LO#3 Canadian Insurance Taxation, 4th Ed: Chapter 10, The Taxation of Life Insurance Policies </v>
          </cell>
        </row>
        <row r="100">
          <cell r="D100" t="str">
            <v>LO#3 Canadian Insurance Taxation, 4th Ed: Chapter 11, The Taxation of Annuites</v>
          </cell>
        </row>
        <row r="101">
          <cell r="D101" t="str">
            <v>LO#3 Canadian Insurance Taxation, 4th Ed: Chapter 24, Provincial Premium Tax,</v>
          </cell>
        </row>
        <row r="102">
          <cell r="D102" t="str">
            <v>LO#3 Canadian Insurance Taxation, 4th Ed: Chapter 3, Liability for Income Tax,</v>
          </cell>
        </row>
        <row r="103">
          <cell r="D103" t="str">
            <v>LO#3 Canadian Insurance Taxation, 4th Ed: Chapter 4, Income for Tax Purposes - General Rules,</v>
          </cell>
        </row>
        <row r="104">
          <cell r="D104" t="str">
            <v>LO#3 Canadian Insurance Taxation, 4th Ed: Chapter 5, Investment Income,</v>
          </cell>
        </row>
        <row r="105">
          <cell r="D105" t="str">
            <v>LO#3 Canadian Insurance Taxation, 4th Ed: Chapter 6, Reserves,</v>
          </cell>
        </row>
        <row r="106">
          <cell r="D106" t="str">
            <v>LO#3 Canadian Insurance Taxation, 4th Ed: Chapter 9, IIT</v>
          </cell>
        </row>
        <row r="107">
          <cell r="D107" t="str">
            <v>LO#3 CIA Educational Note: Future Income and Alternative Taxes excluding Appendix D (Dec. 2012)</v>
          </cell>
        </row>
        <row r="108">
          <cell r="D108" t="str">
            <v xml:space="preserve">LO#3 LFM-845-20 Chapters 1 and 2 of Life Insurance and Modified Endowments Under IRC §7702 and §7702A, Desrochers, 2nd Edition </v>
          </cell>
        </row>
        <row r="109">
          <cell r="D109" t="str">
            <v>LO#3 LFM-846-20 Company Tax – Introductory Study Note</v>
          </cell>
        </row>
        <row r="110">
          <cell r="D110" t="str">
            <v>LO#3 LFM-XXX-21: Changes to Section 7702 (IRC) and Nonforfeiture Interest Rates, Lewis &amp; Ellis, Jan 2021</v>
          </cell>
        </row>
        <row r="111">
          <cell r="D111" t="str">
            <v>LO#3 Rightsizing the Floor Interest Rate Rules of Sections 7702 and 7702A, Taxing Times, March 2021</v>
          </cell>
        </row>
        <row r="112">
          <cell r="D112" t="str">
            <v>LO#3 The Tax Cuts and Jobs Act of 2017— Effects on Life Insurers, American Academy of Actuaries, Oct 2020</v>
          </cell>
        </row>
        <row r="113">
          <cell r="D113" t="str">
            <v>LO#3 The Impact of BEAT on U.S.-Foreign Affiliated Reinsurance, Taxing Times, Dec 2020</v>
          </cell>
        </row>
        <row r="114">
          <cell r="D114" t="str">
            <v>LO#4 LFM-650-20 FASB in Focus - ACCOUNTING STANDARDS UPDATE NO. 2018-12 Targeted Improvements to the Accounting for Long-Duration Contracts Issued by Insurance Companies</v>
          </cell>
        </row>
        <row r="115">
          <cell r="D115" t="str">
            <v>LO#4 LFM-149-21: Insurance Contracts, PwC (Accounting Guide for Insurance Contracts), 2020, Sections 1.1 (pg 1.2), 3.5 (pp 3.20-3.30), 5.1-5.10 (pp 5.1-5.56); Figures IG 2-1 (pp 2.4-2.6), IG 2-2 (pp 2.15-2.18)</v>
          </cell>
        </row>
        <row r="116">
          <cell r="D116" t="str">
            <v>LO#4 LFM-143-20 Fundamentals of the Principle Based Approach to Statutory Reserves for Life Insurance, Rudolph</v>
          </cell>
        </row>
        <row r="117">
          <cell r="D117" t="str">
            <v>LO#4 LFM-144-20 The Modernization of Insurance Company Solvency Regulation in the US, Klein, Networks Financial Institute Policy Brief, 2012 (exclude Sections 7 and 9)</v>
          </cell>
        </row>
        <row r="118">
          <cell r="D118" t="str">
            <v>LO#4 LFM-XXX-21: Captive Insurance Companies, NAIC, Feb 2021</v>
          </cell>
        </row>
        <row r="119">
          <cell r="D119" t="str">
            <v>LO#4 LFM-645-21: OSFI Guideline – Life Insurance Capital Adequacy Test (LICAT), Oct 2018, Only Ch. 1</v>
          </cell>
        </row>
        <row r="120">
          <cell r="D120" t="str">
            <v xml:space="preserve">LO#4 IAIS—International Capital Standard, ComFrame, Holistic Framework for Systemic Risk in the Insurance Sector, Sullivan &amp; Cromwell LLP, Dec 2019, Only pages 1-3, 8-28 </v>
          </cell>
        </row>
        <row r="121">
          <cell r="D121" t="str">
            <v>LO#4 LFM-141-18 IFRS 17 Insurance Contracts – IFRS Standards Effects Analysis, May 2017, IASB (sections 1, 2, 4 &amp; 6.1-2 only)</v>
          </cell>
        </row>
        <row r="122">
          <cell r="D122" t="str">
            <v>LO#4 LFM-847-20 Life Insurance Regulatory Framework, OSFI, 2012</v>
          </cell>
        </row>
        <row r="123">
          <cell r="D123" t="str">
            <v>LO#5 CIA Educational Note: LICAT and CARLI, March 2018</v>
          </cell>
        </row>
        <row r="124">
          <cell r="D124" t="str">
            <v>LO#5 LFM-636-20 OSFI Guideline A-4 Internal Target Capital Ratio for Insurance Companies, December 2017</v>
          </cell>
        </row>
        <row r="125">
          <cell r="D125" t="str">
            <v>LO#5 LFM-641-19 OSFI: Own Risk and Solvency Assessment (E-19), December 2017</v>
          </cell>
        </row>
        <row r="126">
          <cell r="D126" t="str">
            <v>LO#5 LFM-645-21: OSFI Guideline – Life Insurance Capital Adequacy Test (LICAT), Oct 2018, Ch. 1-11 (excluding Sections 4.2-4.4 &amp; 7.3-7.11)</v>
          </cell>
        </row>
        <row r="127">
          <cell r="D127" t="str">
            <v xml:space="preserve">LO#5 IAIS—International Capital Standard, ComFrame, Holistic Framework for Systemic Risk in the Insurance Sector, Sullivan &amp; Cromwell LLP, Dec 2019, Only pages 1-3, 8-28  </v>
          </cell>
        </row>
        <row r="128">
          <cell r="D128" t="str">
            <v xml:space="preserve">LO#5 A Multi-Stakeholder Approach to Capital Adequacy, Conning Research </v>
          </cell>
        </row>
        <row r="129">
          <cell r="D129" t="str">
            <v>LO#5 Economic Capital A Case Study to Analyze Longevity Risk, Risk &amp; Rewards, Aug 2010</v>
          </cell>
        </row>
        <row r="130">
          <cell r="D130" t="str">
            <v>LO#5 Economic Capital for life Insurance Companies, SOA Research paper, Oct 2016 (exclude sections 5 and 7)</v>
          </cell>
        </row>
        <row r="131">
          <cell r="D131" t="str">
            <v>LO#5 LFM-148-20 The Theory of Risk Capital in Financial Firms</v>
          </cell>
        </row>
        <row r="132">
          <cell r="D132" t="str">
            <v>LO#5 LFM-813-13 U.S. Insurance Regulation Solvency Framework and Current Topics</v>
          </cell>
        </row>
        <row r="133">
          <cell r="D133" t="str">
            <v>LO#5 LFM-136-16: Chapter 11 of Life Insurance Products and Finance, Atkinson &amp; Dallas, pp. 499-502</v>
          </cell>
        </row>
        <row r="134">
          <cell r="D134" t="str">
            <v>LO#5 Lombardi, Chapter 29 – Risk-Based Capital, Valuation of Insurance Liabilities, 5th Ed.</v>
          </cell>
        </row>
        <row r="135">
          <cell r="D135" t="str">
            <v xml:space="preserve">LO#5 Group Capital Calculation: Public Summary, National Association of Insurance Commissioners,  Dec 2020  </v>
          </cell>
        </row>
        <row r="136">
          <cell r="D136" t="str">
            <v>LO#5 Group Capital Calculation: Pictorial, National Association of Insurance Commissioners, Dec 2020</v>
          </cell>
        </row>
        <row r="137">
          <cell r="D137" t="str">
            <v>LO#5 NAIC Own Risk and Solvency Assessment (ORSA) Guidance Manual, National Association of Insurance Commissioners, Dec 2017</v>
          </cell>
        </row>
        <row r="138">
          <cell r="D138" t="str">
            <v>LO#5 ASOP 55 – Capital Adequacy Assessment, Section 3 and Appendix 1</v>
          </cell>
        </row>
        <row r="139">
          <cell r="D139" t="str">
            <v xml:space="preserve">LO#6 CIA: Sources of Earnings: Determination and Disclosure, August 2004 </v>
          </cell>
        </row>
        <row r="140">
          <cell r="D140" t="str">
            <v>LO#6 LFM-603-13 OSFI Guideline D-9-Source of Earnings Disclosure (Life Insurance Companies)</v>
          </cell>
        </row>
        <row r="141">
          <cell r="D141" t="str">
            <v xml:space="preserve">LO#6 LFM-137-16 EVARAROC vs. MCEV Earnings - A Unification Approach, Kraus 2011 </v>
          </cell>
        </row>
        <row r="142">
          <cell r="D142" t="str">
            <v>LO#6 LFM-106-07 Insurance Inductry Mergers and Acquisitions, Chapter 4 (Sections 4.1-4.6)</v>
          </cell>
        </row>
        <row r="143">
          <cell r="D143" t="str">
            <v xml:space="preserve">LO#6 Embedded Value: Practice and Theory, SOA, Actuarial Practice Forum, March 2009 </v>
          </cell>
        </row>
        <row r="144">
          <cell r="D144" t="str">
            <v xml:space="preserve">LO#6 LFM-138-16 Prudential Financial - Stockholder's Equity and Operating Leverage, HBR, 2008  </v>
          </cell>
        </row>
        <row r="145">
          <cell r="D145" t="str">
            <v>LO#6 LFM-154-21 Introduction to Source of Earnings Analysis (excluding Appendices)</v>
          </cell>
        </row>
        <row r="146">
          <cell r="D146" t="str">
            <v>LO#6 LFM-147-20 A.M. Best’s - Compendium of Publications</v>
          </cell>
        </row>
        <row r="147">
          <cell r="D147" t="str">
            <v>LO#6 LFM-XXX-21: Sarbanes-Oxley Section 404: A Toolkit for Management and Auditors</v>
          </cell>
        </row>
        <row r="148">
          <cell r="D148" t="str">
            <v>LO#6 LFM-XXX-21: Captive Insurance Companies, NAIC, Feb 2021</v>
          </cell>
        </row>
        <row r="149">
          <cell r="D149" t="str">
            <v>LO#6 Chapter 19 – Variable Deferred Annuities, Lombardi, Valuation of Insurance Liabilities, 5th Ed., Section 19.4</v>
          </cell>
        </row>
        <row r="150">
          <cell r="D150" t="str">
            <v>LO#6 Model Audit Rule, American Academy of Actuaries Practice Note, 2010</v>
          </cell>
        </row>
        <row r="151">
          <cell r="D151" t="str">
            <v>LO#6 Understanding VM-20 Results, SoA and Milliman, 2017, Excluding Section 4</v>
          </cell>
        </row>
        <row r="159">
          <cell r="C159" t="str">
            <v>Retrieval</v>
          </cell>
        </row>
        <row r="160">
          <cell r="C160" t="str">
            <v>Comprehension</v>
          </cell>
        </row>
        <row r="161">
          <cell r="C161" t="str">
            <v>Analysis</v>
          </cell>
        </row>
        <row r="162">
          <cell r="C162" t="str">
            <v>Knowledge Utilization</v>
          </cell>
        </row>
      </sheetData>
      <sheetData sheetId="2"/>
      <sheetData sheetId="3" refreshError="1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yllabus list"/>
      <sheetName val="Qxt"/>
      <sheetName val="Graph for Word Document"/>
    </sheetNames>
    <sheetDataSet>
      <sheetData sheetId="0" refreshError="1"/>
      <sheetData sheetId="1">
        <row r="4">
          <cell r="D4" t="str">
            <v>LO#1 CIA Report: Lapse Experience Study for 10-year Term Insurance, Jan 2014, pp. 6 -32</v>
          </cell>
        </row>
        <row r="5">
          <cell r="D5" t="str">
            <v>LO#1 CIA Research Paper: Lapse Experience under UL Level COI Policies, Sep 2015, pp. 4 - 8</v>
          </cell>
        </row>
        <row r="6">
          <cell r="D6" t="str">
            <v>LO#1 CIA Educational note, Currency Risk in the Valuation of Policy Liabilities for Life and Health Insurers, December 2009</v>
          </cell>
        </row>
        <row r="7">
          <cell r="D7" t="str">
            <v>LO#1 CIA Educational Note, Development of the Equilibrium Risk-Free Market Curve for the Base Scenario, December 2015</v>
          </cell>
        </row>
        <row r="8">
          <cell r="D8" t="str">
            <v xml:space="preserve">LO#1 CIA Educational Note: Approximations to the Canadian Asset Liability Method (CALM): November 2006 </v>
          </cell>
        </row>
        <row r="9">
          <cell r="D9" t="str">
            <v xml:space="preserve">LO#1 CIA Educational Note: Best Estimates Assumptions for Expenses – November 2006 </v>
          </cell>
        </row>
        <row r="10">
          <cell r="D10" t="str">
            <v>LO#1 CIA Educational Note: CALM Implications of AcSB Section 3855 Financial Instruments - Recognition and Measurement (June 2006)</v>
          </cell>
        </row>
        <row r="11">
          <cell r="D11" t="str">
            <v>LO#1 CIA Educational Note: Dividend Determination for Participating Policies, Jan 2014</v>
          </cell>
        </row>
        <row r="12">
          <cell r="D12" t="str">
            <v>LO#1 CIA Educational Note: Expected Mortality: Fully Underwritten Canadian Individual Life Insurance Policies: July 2002 (exclude appendices)</v>
          </cell>
        </row>
        <row r="13">
          <cell r="D13" t="str">
            <v>LO#1 CIA Educational Note: Guidance on Fairness Opinions Required Under the Insurance Companies Act Pursuant to Bill C-57 (2005) Dec 2011</v>
          </cell>
        </row>
        <row r="14">
          <cell r="D14" t="str">
            <v>LO#1 CIA Educational Note: Investment Assumptions Used in the Valuation of Life and Health Insurance Contract Liabilities Sep.2015</v>
          </cell>
        </row>
        <row r="15">
          <cell r="D15" t="str">
            <v>LO#1 CIA Educational Note: Margins for Adverse Deviations (Mfad) – November 2006</v>
          </cell>
        </row>
        <row r="16">
          <cell r="D16" t="str">
            <v xml:space="preserve">LO#1 CIA Educational Note: Reflection of Hedging in Segregated Fund Valuation – May 2012 </v>
          </cell>
        </row>
        <row r="17">
          <cell r="D17" t="str">
            <v>LO#1 CIA Educational Note: Selective Lapsation for Renewable Term Insurance Products, February 2017</v>
          </cell>
        </row>
        <row r="18">
          <cell r="D18" t="str">
            <v xml:space="preserve">LO#1 CIA Educational Note: Valuation of Gross Policy Liabilities and Reinsurance Recoverables (December 2010) </v>
          </cell>
        </row>
        <row r="19">
          <cell r="D19" t="str">
            <v>LO#1 CIA Educational Note: Valuation of Universal Life Policy Liabilities - February 2012</v>
          </cell>
        </row>
        <row r="20">
          <cell r="D20" t="str">
            <v>LO#1 CIA Final Communication of a Promulgation of Prescribed Mortality Improvement Rates (July 2017)</v>
          </cell>
        </row>
        <row r="21">
          <cell r="D21" t="str">
            <v>LO#1 CIA Draft Report: Task Force on Mortality Improvement, April 2017</v>
          </cell>
        </row>
        <row r="22">
          <cell r="D22" t="str">
            <v>LO#1 CIA Research Paper: Calibration of Fixed-Income Returns Segregated Fund Liability April 2014</v>
          </cell>
        </row>
        <row r="23">
          <cell r="D23" t="str">
            <v xml:space="preserve">LO#1 CIA Use of Actuarial Judgment in Setting Assumptions and Margins for Adverse Deviations, November 2006 </v>
          </cell>
        </row>
        <row r="24">
          <cell r="D24" t="str">
            <v xml:space="preserve">LO#1 CIA Educational Note: Valuation of Segregated Fund Investment Guarantees (October 2005) </v>
          </cell>
        </row>
        <row r="25">
          <cell r="D25" t="str">
            <v>LO#1 CIA Education Note: Investment Returns for non-fixed-income returns for Assets, March 2011</v>
          </cell>
        </row>
        <row r="26">
          <cell r="D26" t="str">
            <v>LO#1 Final Communication of Promulgations of the Maximum Net Credit Spread, Ultimate Reinvestment Rates and Calibration Criteria for Stochastic Risk-Free Interest Rates in the Standards of Practice, May 2014 - Section 2 Only</v>
          </cell>
        </row>
        <row r="27">
          <cell r="D27" t="str">
            <v>LO#1 Final Communication of Updated Promulgations of the Ultimate Reinvestment Rates and Calibration Criteria for Stochastic Risk-Free Interest Rates in the Standards of Practice, July 2019</v>
          </cell>
        </row>
        <row r="28">
          <cell r="D28" t="str">
            <v>LO#1 LFM-618-13 OSFI Guideline D-10: Accounting for Financial Instruments Designated as Fair Value Option</v>
          </cell>
        </row>
        <row r="29">
          <cell r="D29" t="str">
            <v>LO#1 LFM-620-14 OSFI Guideline E15: Appointed Actuary -  Legal Requirements, Qualification and External Review (Sep 2012)</v>
          </cell>
        </row>
        <row r="30">
          <cell r="D30" t="str">
            <v>LO#1 LFM-632-12 OSFI B-3 Sound Reinsurance Practices and Procedures</v>
          </cell>
        </row>
        <row r="31">
          <cell r="D31" t="str">
            <v>LO#1 LFM-634-19 CIA Standards of Practice: Insurance  Sections 2100, 2300, 2400, 2500 &amp; 2700,  Dec 2019</v>
          </cell>
        </row>
        <row r="32">
          <cell r="D32" t="str">
            <v>LO#1 LFM-635-13 Participating Account Management and Disclosure to Participating Policyholders and Adjustable Policyholders</v>
          </cell>
        </row>
        <row r="33">
          <cell r="D33" t="str">
            <v>LO#1 LFM-637-13 OSFI Letter evidence for Mean Reversion in Equity Prices</v>
          </cell>
        </row>
        <row r="34">
          <cell r="D34" t="str">
            <v>LO#1 LFM-652-20 Canadian Life and Health Insurance Guidelines (CLHIA) - Guideline G-6 - Illustrations</v>
          </cell>
        </row>
        <row r="35">
          <cell r="D35" t="str">
            <v>LO#1 CIA Report: Report of the Task Force on Segregated Fund Liability and Capital Methodologies (Aug 2010)</v>
          </cell>
        </row>
        <row r="36">
          <cell r="D36" t="str">
            <v>LO#1 CIA Educational Note: Considerations in the Valuation of Segregated Fund Products, Nov 2007</v>
          </cell>
        </row>
        <row r="37">
          <cell r="D37" t="str">
            <v>LO#1 LFMU GAAP Materials Flowchart</v>
          </cell>
        </row>
        <row r="38">
          <cell r="D38" t="str">
            <v>LO#1    Chapter  3:    US GAAP - Expenses and Capitalization (exclude 3.7.1, 3.7.3, 3.11.4.5, and 3.12)</v>
          </cell>
        </row>
        <row r="39">
          <cell r="D39" t="str">
            <v>LO#1    Chapter  4:    US GAAP - Traditional Life Insurance (SFAS 60 &amp; 97) (exclude 4.4 to 4.14)</v>
          </cell>
        </row>
        <row r="40">
          <cell r="D40" t="str">
            <v>LO#1    Chapter  6:    US GAAP - Universal Life Insurance (exclude 6.7 to 6.7.1.6, 6.7.3 to 6.7.6.3, 6.10 to 6.13.2)</v>
          </cell>
        </row>
        <row r="41">
          <cell r="D41" t="str">
            <v>LO#1    Chapter  7:    US GAAP - Deferred Annuities (exclude 7.4.1d, 7.6, 7.8, 7.10, 7.11, 7.13)</v>
          </cell>
        </row>
        <row r="42">
          <cell r="D42" t="str">
            <v>LO#1    Chapter  9:    US GAAP - Annuities in Payment Status (exclude section 9.5)</v>
          </cell>
        </row>
        <row r="43">
          <cell r="D43" t="str">
            <v>LO#1    Chapter 13:   US GAAP - Investment Accounting (exclude 13.7 and 13.12))</v>
          </cell>
        </row>
        <row r="44">
          <cell r="D44" t="str">
            <v>LO#1    Chapter 15:   US GAAP - Accounting for Business Combinations (exclude 15.7.3 to 15.7.8, and 15.10.5 to 15.15)</v>
          </cell>
        </row>
        <row r="45">
          <cell r="D45" t="str">
            <v>LO#1    Chapter 18:   US GAAP - Other Topics: Deferred Taxes and Fair Value Reporting (exclude 18.2, 18.4, and 18.6)</v>
          </cell>
        </row>
        <row r="46">
          <cell r="D46" t="str">
            <v>LO#1 LFM-XXX-21: A Comprehensive Guide – Reinsurance, E&amp;Y, 2020, (Sections 1, 2, 4, 7, Appendix D)</v>
          </cell>
        </row>
        <row r="47">
          <cell r="D47" t="str">
            <v>LO#1 LFM-149-21: Insurance Contracts, PwC (Accounting Guide for Insurance Contracts), 2020, Sections 1.1 -1.3 (pp 1.2-1.9), 2.1-2.5 (pp 2.2-2.21) 3.1-3.9 (pp 3.2-3.48), 5.1-5.10 (pp 5.2-5.56), and Figures IG 2-1 (pp 2.4-2.6) &amp; IG 2-2 (pp 2.15-2.18)</v>
          </cell>
        </row>
        <row r="48">
          <cell r="D48" t="str">
            <v>LO#1 Implementation Considerations For VA Market Risk Benefits, Financial Reporter, Sep 2019 </v>
          </cell>
        </row>
        <row r="49">
          <cell r="D49" t="str">
            <v>LO#1 LFM-840-20 A Comprehensive Guide - Derivatives and Hedging, E&amp;Y, 2019, (Sections 1.1-1.7, 3.1-3.3, 4.1-4.3, 9.1-9.5, Appendices A and C1.1-4)</v>
          </cell>
        </row>
        <row r="50">
          <cell r="D50" t="str">
            <v>LO#1 LFM-841-20 A Closer Look at How Insurers Will Have to Change their Accounting and Disclosures for Long-Duration Contracts, E&amp;Y, Nov 2018</v>
          </cell>
        </row>
        <row r="51">
          <cell r="D51" t="str">
            <v>LO#1 Targeted Improvements Interactive Model</v>
          </cell>
        </row>
        <row r="52">
          <cell r="D52" t="str">
            <v>LO#2 CIA Educational Note: Comparison of IFRS 17 to Current CIA Standard of Practice, Sept 2018</v>
          </cell>
        </row>
        <row r="53">
          <cell r="D53" t="str">
            <v>LO#2 CIA Educational Note: IFRS 17 Estimates of Future Cash Flows for Life and Health Insurance Contracts, Sep 2019</v>
          </cell>
        </row>
        <row r="54">
          <cell r="D54" t="str">
            <v>LO#2 CIA Educational Note: IFRS 17 Risk Adjustment for Non-Financial Risk for Life and Health Insurance Contracts, Jul 2019</v>
          </cell>
        </row>
        <row r="55">
          <cell r="D55" t="str">
            <v>LO#2 CIA Educational Note: Transition from CALM to IFRS 17 Valuation of Canadian Participating Insurance Contracts, Mar 2019</v>
          </cell>
        </row>
        <row r="56">
          <cell r="D56" t="str">
            <v>LO#2 CIA Educational Note: IFRS 17 Discount Rates for Life and Health Insurance Contracts, Jun 2020</v>
          </cell>
        </row>
        <row r="57">
          <cell r="D57" t="str">
            <v>LO#2 CIA Educational Note: IFRS 17 Coverage Units for Life and Health Insurance Contracts, Dec 2019</v>
          </cell>
        </row>
        <row r="58">
          <cell r="D58" t="str">
            <v>LO#2 CIA Educational Note: IFRS 17 Market Consistent Valuation of Financial Guarantees for Life and Health Insurance Contracts, May 2020</v>
          </cell>
        </row>
        <row r="59">
          <cell r="D59" t="str">
            <v>LO#2 CIA Educational Note: IFRS 17 Measurement and Presentation of Canadian Participating Insurance Contracts, Apr 2021</v>
          </cell>
        </row>
        <row r="60">
          <cell r="D60" t="str">
            <v>LO#2 IFRS 17 Insurance Contracts Example (Spreadsheet Model)</v>
          </cell>
        </row>
        <row r="61">
          <cell r="D61" t="str">
            <v>LO#2 LFM-141-18 IFRS 17 Insurance Contracts – IFRS Standards Effects Analysis, May 2017, IASB (sections 1, 2, 4 &amp; 6.1-2 only)</v>
          </cell>
        </row>
        <row r="62">
          <cell r="D62" t="str">
            <v>LO#2 LFM-655-21: IFRS Standards Exposure Draft Amendments to IFRS 17, Jun 2019</v>
          </cell>
        </row>
        <row r="63">
          <cell r="D63" t="str">
            <v>LO#2 LFM-656-21: PwC In transition: The latest on IFRS 17 implementation, Feb 2020</v>
          </cell>
        </row>
        <row r="64">
          <cell r="D64" t="str">
            <v>LO#2  LFM-649-20: International Actuarial Note 100: Application of IFRS 17 (excluding section C chapter 11 and section D )</v>
          </cell>
        </row>
        <row r="65">
          <cell r="D65" t="str">
            <v>LO#2 LFM-XXX-21: The IFRS 17 Contractual Service Margin: A Life Insurance Perspective (Sections 1-4.7 &amp; 5)</v>
          </cell>
        </row>
        <row r="66">
          <cell r="D66" t="str">
            <v>LO#2 LFMU PBR Materials Flowchart, 2020</v>
          </cell>
        </row>
        <row r="67">
          <cell r="D67" t="str">
            <v>LO#2 ASOP 52 - Principle-Based Reserves for Life Products under the NAIC Valuation Manual on PBR for Life Products, Section 3</v>
          </cell>
        </row>
        <row r="68">
          <cell r="D68" t="str">
            <v>LO#2 Impacts of AG 48, Financial Reporter, Dec 2015</v>
          </cell>
        </row>
        <row r="69">
          <cell r="D69" t="str">
            <v>LO#2 LFM-143-20 Fundamentals of the Principle Based Approach to Statutory Reserves for Life Insurance, Jul 2019</v>
          </cell>
        </row>
        <row r="70">
          <cell r="D70" t="str">
            <v>LO#2 LFM-800-07 Chapters 8 (pp. 12-16) and 12 (pp.1-15 &amp; 32-33) of IASA Life and Accident and Health Insurance Accounting (excluding Dividends Received Deduction and Operations Loss Deduction subsections under the General Deductions section, the Special D</v>
          </cell>
        </row>
        <row r="71">
          <cell r="D71" t="str">
            <v>LO#2 What's in the "A" of AG 49-A, Financial Reporter, Feb. 2021</v>
          </cell>
        </row>
        <row r="72">
          <cell r="D72" t="str">
            <v>LO#2 LFM-822-16 Study Note on Actuarial Guidelines AG 38 &amp; 48 (exclude pages 6 to 8)</v>
          </cell>
        </row>
        <row r="73">
          <cell r="D73" t="str">
            <v>LO#2 LFM-832-17 AG49 - A Closer Look, LifeTrends, Pfeifer</v>
          </cell>
        </row>
        <row r="74">
          <cell r="D74" t="str">
            <v xml:space="preserve">LO#2 LFM-836-17 AG 49 Post Standards Update </v>
          </cell>
        </row>
        <row r="75">
          <cell r="D75" t="str">
            <v>LO#2 LFM-XXX-21: Implementation of Requirements for Principle-Based Reserves for Variable Annuities – 2021 Edition of VM-21 (required questions are listed on the first page of this study note)</v>
          </cell>
        </row>
        <row r="76">
          <cell r="D76" t="str">
            <v>LO#2 LFM-843-20 NAIC Life Insurance Illustrations Model Regulation</v>
          </cell>
        </row>
        <row r="77">
          <cell r="D77" t="str">
            <v>LO#2  LFM-844-21: Life Principle-Based Reserves Under VM-20, AAA Practice Note (required questions are listed on the first page of this study note)</v>
          </cell>
        </row>
        <row r="78">
          <cell r="D78" t="str">
            <v>LO#2 Lombardi,  Chapter 1 – Overview of Valuation Concepts (exclude 1.1-9)</v>
          </cell>
        </row>
        <row r="79">
          <cell r="D79" t="str">
            <v>LO#2 Lombardi,  Chapter 10 – Valuation Assumptions (exclude 10.1.3, 10.3.8)</v>
          </cell>
        </row>
        <row r="80">
          <cell r="D80" t="str">
            <v>LO#2 Lombardi,  Chapter 11 – Valuation Methodologies (exclude 11.3.9 to 11.3.11)</v>
          </cell>
        </row>
        <row r="81">
          <cell r="D81" t="str">
            <v xml:space="preserve">LO#2 Lombardi,  Chapter 12 – Whole Life </v>
          </cell>
        </row>
        <row r="82">
          <cell r="D82" t="str">
            <v xml:space="preserve">LO#2 Lombardi,  Chapter 13 – Term Life Insurance </v>
          </cell>
        </row>
        <row r="83">
          <cell r="D83" t="str">
            <v>LO#2 Lombardi,  Chapter 14 – Universal Life (exclude 14.4.8, 14.4.9, 14.5.0, 14.6.2-14.6.6)</v>
          </cell>
        </row>
        <row r="84">
          <cell r="D84" t="str">
            <v>LO#2 Lombardi,  Chapter 16 – Indexed Universal Life (exclude 16.4.2-3)</v>
          </cell>
        </row>
        <row r="85">
          <cell r="D85" t="str">
            <v>LO#2 Lombardi,  Chapter 18 – Fixed Deferred  Annuities (exclude 18.7.4, 18.8)</v>
          </cell>
        </row>
        <row r="86">
          <cell r="D86" t="str">
            <v>LO#2 Lombardi,  Chapter 19 – Variable Deferred Annuities</v>
          </cell>
        </row>
        <row r="87">
          <cell r="D87" t="str">
            <v>LO#2 Lombardi,  Chapter 2 – Product Classifications (2.2 only)</v>
          </cell>
        </row>
        <row r="88">
          <cell r="D88" t="str">
            <v xml:space="preserve">LO#2 Lombardi,  Chapter 20 -- Indexed Deferred Annuities </v>
          </cell>
        </row>
        <row r="89">
          <cell r="D89" t="str">
            <v xml:space="preserve">LO#2 Lombardi,  Chapter 21 – Immediate Annuities </v>
          </cell>
        </row>
        <row r="90">
          <cell r="D90" t="str">
            <v>LO#2 Lombardi,  Chapter 22 – Miscellaneous Reserves (exclude 22.3 to 22.4) </v>
          </cell>
        </row>
        <row r="91">
          <cell r="D91" t="str">
            <v>LO#2 Lombardi,  Chapter 23 – PBR for Life Products (exclude 23.1)</v>
          </cell>
        </row>
        <row r="92">
          <cell r="D92" t="str">
            <v>LO#2 Lombardi, Chapter 24 Addendum for Variable Annuity PBR Updates</v>
          </cell>
        </row>
        <row r="93">
          <cell r="D93" t="str">
            <v>LO#2 Lombardi,  Chapter 3 – NAIC Annual Statement</v>
          </cell>
        </row>
        <row r="94">
          <cell r="D94" t="str">
            <v>LO#2 Lombardi,  Chapter 4 – Standard Valuation Law</v>
          </cell>
        </row>
        <row r="95">
          <cell r="D95" t="str">
            <v>LO#2 Lombardi,  Chapter 5 – The Valuation Manual</v>
          </cell>
        </row>
        <row r="96">
          <cell r="D96" t="str">
            <v>LO#2 PBA Corner: Evolution of VM-20, Financial Reporter, June 2016</v>
          </cell>
        </row>
        <row r="97">
          <cell r="D97" t="str">
            <v>LO#2 Principle-Based Reserves Interactive Model</v>
          </cell>
        </row>
        <row r="98">
          <cell r="D98" t="str">
            <v>LO#2 Reporting and Disclosure Requirements Under  VM-31 Reporting Requirements for Business Subject to PB, Financial Reporter, Sep 2017</v>
          </cell>
        </row>
        <row r="99">
          <cell r="D99" t="str">
            <v xml:space="preserve">LO#3 Canadian Insurance Taxation, 4th Ed: Chapter 10, The Taxation of Life Insurance Policies </v>
          </cell>
        </row>
        <row r="100">
          <cell r="D100" t="str">
            <v>LO#3 Canadian Insurance Taxation, 4th Ed: Chapter 11, The Taxation of Annuites</v>
          </cell>
        </row>
        <row r="101">
          <cell r="D101" t="str">
            <v>LO#3 Canadian Insurance Taxation, 4th Ed: Chapter 24, Provincial Premium Tax,</v>
          </cell>
        </row>
        <row r="102">
          <cell r="D102" t="str">
            <v>LO#3 Canadian Insurance Taxation, 4th Ed: Chapter 3, Liability for Income Tax,</v>
          </cell>
        </row>
        <row r="103">
          <cell r="D103" t="str">
            <v>LO#3 Canadian Insurance Taxation, 4th Ed: Chapter 4, Income for Tax Purposes - General Rules,</v>
          </cell>
        </row>
        <row r="104">
          <cell r="D104" t="str">
            <v>LO#3 Canadian Insurance Taxation, 4th Ed: Chapter 5, Investment Income,</v>
          </cell>
        </row>
        <row r="105">
          <cell r="D105" t="str">
            <v>LO#3 Canadian Insurance Taxation, 4th Ed: Chapter 6, Reserves,</v>
          </cell>
        </row>
        <row r="106">
          <cell r="D106" t="str">
            <v>LO#3 Canadian Insurance Taxation, 4th Ed: Chapter 9, IIT</v>
          </cell>
        </row>
        <row r="107">
          <cell r="D107" t="str">
            <v>LO#3 CIA Educational Note: Future Income and Alternative Taxes excluding Appendix D (Dec. 2012)</v>
          </cell>
        </row>
        <row r="108">
          <cell r="D108" t="str">
            <v xml:space="preserve">LO#3 LFM-845-20 Chapters 1 and 2 of Life Insurance and Modified Endowments Under IRC §7702 and §7702A, Desrochers, 2nd Edition </v>
          </cell>
        </row>
        <row r="109">
          <cell r="D109" t="str">
            <v>LO#3 LFM-846-20 Company Tax – Introductory Study Note</v>
          </cell>
        </row>
        <row r="110">
          <cell r="D110" t="str">
            <v>LO#3 LFM-XXX-21: Changes to Section 7702 (IRC) and Nonforfeiture Interest Rates, Lewis &amp; Ellis, Jan 2021</v>
          </cell>
        </row>
        <row r="111">
          <cell r="D111" t="str">
            <v>LO#3 Rightsizing the Floor Interest Rate Rules of Sections 7702 and 7702A, Taxing Times, March 2021</v>
          </cell>
        </row>
        <row r="112">
          <cell r="D112" t="str">
            <v>LO#3 The Tax Cuts and Jobs Act of 2017— Effects on Life Insurers, American Academy of Actuaries, Oct 2020</v>
          </cell>
        </row>
        <row r="113">
          <cell r="D113" t="str">
            <v>LO#3 The Impact of BEAT on U.S.-Foreign Affiliated Reinsurance, Taxing Times, Dec 2020</v>
          </cell>
        </row>
        <row r="114">
          <cell r="D114" t="str">
            <v>LO#4 LFM-650-20 FASB in Focus - ACCOUNTING STANDARDS UPDATE NO. 2018-12 Targeted Improvements to the Accounting for Long-Duration Contracts Issued by Insurance Companies</v>
          </cell>
        </row>
        <row r="115">
          <cell r="D115" t="str">
            <v>LO#4 LFM-149-21: Insurance Contracts, PwC (Accounting Guide for Insurance Contracts), 2020, Sections 1.1 (pg 1.2), 3.5 (pp 3.20-3.30), 5.1-5.10 (pp 5.1-5.56); Figures IG 2-1 (pp 2.4-2.6), IG 2-2 (pp 2.15-2.18)</v>
          </cell>
        </row>
        <row r="116">
          <cell r="D116" t="str">
            <v>LO#4 LFM-143-20 Fundamentals of the Principle Based Approach to Statutory Reserves for Life Insurance, Rudolph</v>
          </cell>
        </row>
        <row r="117">
          <cell r="D117" t="str">
            <v>LO#4 LFM-144-20 The Modernization of Insurance Company Solvency Regulation in the US, Klein, Networks Financial Institute Policy Brief, 2012 (exclude Sections 7 and 9)</v>
          </cell>
        </row>
        <row r="118">
          <cell r="D118" t="str">
            <v>LO#4 LFM-XXX-21: Captive Insurance Companies, NAIC, Feb 2021</v>
          </cell>
        </row>
        <row r="119">
          <cell r="D119" t="str">
            <v>LO#4 LFM-645-21: OSFI Guideline – Life Insurance Capital Adequacy Test (LICAT), Oct 2018, Only Ch. 1</v>
          </cell>
        </row>
        <row r="120">
          <cell r="D120" t="str">
            <v xml:space="preserve">LO#4 IAIS—International Capital Standard, ComFrame, Holistic Framework for Systemic Risk in the Insurance Sector, Sullivan &amp; Cromwell LLP, Dec 2019, Only pages 1-3, 8-28 </v>
          </cell>
        </row>
        <row r="121">
          <cell r="D121" t="str">
            <v>LO#4 LFM-141-18 IFRS 17 Insurance Contracts – IFRS Standards Effects Analysis, May 2017, IASB (sections 1, 2, 4 &amp; 6.1-2 only)</v>
          </cell>
        </row>
        <row r="122">
          <cell r="D122" t="str">
            <v>LO#4 LFM-847-20 Life Insurance Regulatory Framework, OSFI, 2012</v>
          </cell>
        </row>
        <row r="123">
          <cell r="D123" t="str">
            <v>LO#5 CIA Educational Note: LICAT and CARLI, March 2018</v>
          </cell>
        </row>
        <row r="124">
          <cell r="D124" t="str">
            <v>LO#5 LFM-636-20 OSFI Guideline A-4 Internal Target Capital Ratio for Insurance Companies, December 2017</v>
          </cell>
        </row>
        <row r="125">
          <cell r="D125" t="str">
            <v>LO#5 LFM-641-19 OSFI: Own Risk and Solvency Assessment (E-19), December 2017</v>
          </cell>
        </row>
        <row r="126">
          <cell r="D126" t="str">
            <v>LO#5 LFM-645-21: OSFI Guideline – Life Insurance Capital Adequacy Test (LICAT), Oct 2018, Ch. 1-11 (excluding Sections 4.2-4.4 &amp; 7.3-7.11)</v>
          </cell>
        </row>
        <row r="127">
          <cell r="D127" t="str">
            <v xml:space="preserve">LO#5 IAIS—International Capital Standard, ComFrame, Holistic Framework for Systemic Risk in the Insurance Sector, Sullivan &amp; Cromwell LLP, Dec 2019, Only pages 1-3, 8-28  </v>
          </cell>
        </row>
        <row r="128">
          <cell r="D128" t="str">
            <v xml:space="preserve">LO#5 A Multi-Stakeholder Approach to Capital Adequacy, Conning Research </v>
          </cell>
        </row>
        <row r="129">
          <cell r="D129" t="str">
            <v>LO#5 Economic Capital A Case Study to Analyze Longevity Risk, Risk &amp; Rewards, Aug 2010</v>
          </cell>
        </row>
        <row r="130">
          <cell r="D130" t="str">
            <v>LO#5 Economic Capital for life Insurance Companies, SOA Research paper, Oct 2016 (exclude sections 5 and 7)</v>
          </cell>
        </row>
        <row r="131">
          <cell r="D131" t="str">
            <v>LO#5 LFM-148-20 The Theory of Risk Capital in Financial Firms</v>
          </cell>
        </row>
        <row r="132">
          <cell r="D132" t="str">
            <v>LO#5 LFM-813-13 U.S. Insurance Regulation Solvency Framework and Current Topics</v>
          </cell>
        </row>
        <row r="133">
          <cell r="D133" t="str">
            <v>LO#5 LFM-136-16: Chapter 11 of Life Insurance Products and Finance, Atkinson &amp; Dallas, pp. 499-502</v>
          </cell>
        </row>
        <row r="134">
          <cell r="D134" t="str">
            <v>LO#5 Lombardi, Chapter 29 – Risk-Based Capital, Valuation of Insurance Liabilities, 5th Ed.</v>
          </cell>
        </row>
        <row r="135">
          <cell r="D135" t="str">
            <v xml:space="preserve">LO#5 Group Capital Calculation: Public Summary, National Association of Insurance Commissioners,  Dec 2020  </v>
          </cell>
        </row>
        <row r="136">
          <cell r="D136" t="str">
            <v>LO#5 Group Capital Calculation: Pictorial, National Association of Insurance Commissioners, Dec 2020</v>
          </cell>
        </row>
        <row r="137">
          <cell r="D137" t="str">
            <v>LO#5 NAIC Own Risk and Solvency Assessment (ORSA) Guidance Manual, National Association of Insurance Commissioners, Dec 2017</v>
          </cell>
        </row>
        <row r="138">
          <cell r="D138" t="str">
            <v>LO#5 ASOP 55 – Capital Adequacy Assessment, Section 3 and Appendix 1</v>
          </cell>
        </row>
        <row r="139">
          <cell r="D139" t="str">
            <v xml:space="preserve">LO#6 CIA: Sources of Earnings: Determination and Disclosure, August 2004 </v>
          </cell>
        </row>
        <row r="140">
          <cell r="D140" t="str">
            <v>LO#6 LFM-603-13 OSFI Guideline D-9-Source of Earnings Disclosure (Life Insurance Companies)</v>
          </cell>
        </row>
        <row r="141">
          <cell r="D141" t="str">
            <v xml:space="preserve">LO#6 LFM-137-16 EVARAROC vs. MCEV Earnings - A Unification Approach, Kraus 2011 </v>
          </cell>
        </row>
        <row r="142">
          <cell r="D142" t="str">
            <v>LO#6 LFM-106-07 Insurance Inductry Mergers and Acquisitions, Chapter 4 (Sections 4.1-4.6)</v>
          </cell>
        </row>
        <row r="143">
          <cell r="D143" t="str">
            <v xml:space="preserve">LO#6 Embedded Value: Practice and Theory, SOA, Actuarial Practice Forum, March 2009 </v>
          </cell>
        </row>
        <row r="144">
          <cell r="D144" t="str">
            <v xml:space="preserve">LO#6 LFM-138-16 Prudential Financial - Stockholder's Equity and Operating Leverage, HBR, 2008  </v>
          </cell>
        </row>
        <row r="145">
          <cell r="D145" t="str">
            <v>LO#6 LFM-154-21 Introduction to Source of Earnings Analysis (excluding Appendices)</v>
          </cell>
        </row>
        <row r="146">
          <cell r="D146" t="str">
            <v>LO#6 LFM-147-20 A.M. Best’s - Compendium of Publications</v>
          </cell>
        </row>
        <row r="147">
          <cell r="D147" t="str">
            <v>LO#6 LFM-XXX-21: Sarbanes-Oxley Section 404: A Toolkit for Management and Auditors</v>
          </cell>
        </row>
        <row r="148">
          <cell r="D148" t="str">
            <v>LO#6 LFM-XXX-21: Captive Insurance Companies, NAIC, Feb 2021</v>
          </cell>
        </row>
        <row r="149">
          <cell r="D149" t="str">
            <v>LO#6 Chapter 19 – Variable Deferred Annuities, Lombardi, Valuation of Insurance Liabilities, 5th Ed., Section 19.4</v>
          </cell>
        </row>
        <row r="150">
          <cell r="D150" t="str">
            <v>LO#6 Model Audit Rule, American Academy of Actuaries Practice Note, 2010</v>
          </cell>
        </row>
        <row r="151">
          <cell r="D151" t="str">
            <v>LO#6 Understanding VM-20 Results, SoA and Milliman, 2017, Excluding Section 4</v>
          </cell>
        </row>
        <row r="159">
          <cell r="C159" t="str">
            <v>Retrieval</v>
          </cell>
        </row>
        <row r="160">
          <cell r="C160" t="str">
            <v>Comprehension</v>
          </cell>
        </row>
        <row r="161">
          <cell r="C161" t="str">
            <v>Analysis</v>
          </cell>
        </row>
        <row r="162">
          <cell r="C162" t="str">
            <v>Knowledge Utilization</v>
          </cell>
        </row>
      </sheetData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enario Description"/>
      <sheetName val="Note"/>
      <sheetName val="Input - Entrée de données"/>
      <sheetName val="Derivation"/>
      <sheetName val="Chart - Graphique"/>
      <sheetName val="Output - Résultats"/>
      <sheetName val="Équivalence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01EE0-A35F-4DD6-8A50-E1C03D1C7389}">
  <dimension ref="A1:L18"/>
  <sheetViews>
    <sheetView tabSelected="1" workbookViewId="0">
      <selection activeCell="I21" sqref="I21"/>
    </sheetView>
  </sheetViews>
  <sheetFormatPr defaultRowHeight="14.4" x14ac:dyDescent="0.3"/>
  <cols>
    <col min="3" max="3" width="11.44140625" customWidth="1"/>
    <col min="5" max="5" width="13" customWidth="1"/>
    <col min="7" max="7" width="11.88671875" customWidth="1"/>
    <col min="8" max="8" width="11.109375" bestFit="1" customWidth="1"/>
  </cols>
  <sheetData>
    <row r="1" spans="1:12" x14ac:dyDescent="0.3">
      <c r="A1" t="s">
        <v>80</v>
      </c>
    </row>
    <row r="2" spans="1:12" x14ac:dyDescent="0.3">
      <c r="G2" s="56" t="s">
        <v>79</v>
      </c>
      <c r="J2" s="56" t="s">
        <v>78</v>
      </c>
    </row>
    <row r="3" spans="1:12" x14ac:dyDescent="0.3">
      <c r="A3" s="57">
        <v>1</v>
      </c>
      <c r="B3" s="57">
        <f t="shared" ref="B3:J3" si="0">A3+1</f>
        <v>2</v>
      </c>
      <c r="C3" s="57">
        <f t="shared" si="0"/>
        <v>3</v>
      </c>
      <c r="D3" s="57">
        <f t="shared" si="0"/>
        <v>4</v>
      </c>
      <c r="E3" s="57">
        <f t="shared" si="0"/>
        <v>5</v>
      </c>
      <c r="F3" s="57">
        <f t="shared" si="0"/>
        <v>6</v>
      </c>
      <c r="G3" s="57">
        <f t="shared" si="0"/>
        <v>7</v>
      </c>
      <c r="H3" s="57">
        <f t="shared" si="0"/>
        <v>8</v>
      </c>
      <c r="I3" s="57">
        <f t="shared" si="0"/>
        <v>9</v>
      </c>
      <c r="J3" s="57">
        <f t="shared" si="0"/>
        <v>10</v>
      </c>
      <c r="K3" s="57"/>
      <c r="L3" s="57"/>
    </row>
    <row r="5" spans="1:12" x14ac:dyDescent="0.3">
      <c r="C5" s="57" t="s">
        <v>77</v>
      </c>
      <c r="D5" s="57" t="s">
        <v>38</v>
      </c>
      <c r="E5" t="s">
        <v>76</v>
      </c>
    </row>
    <row r="6" spans="1:12" x14ac:dyDescent="0.3">
      <c r="A6" s="57" t="s">
        <v>38</v>
      </c>
      <c r="B6" s="57" t="s">
        <v>45</v>
      </c>
      <c r="C6" s="57" t="s">
        <v>43</v>
      </c>
      <c r="D6" s="57" t="s">
        <v>15</v>
      </c>
      <c r="E6" s="57" t="s">
        <v>43</v>
      </c>
      <c r="F6" s="57" t="s">
        <v>75</v>
      </c>
      <c r="G6" s="57" t="s">
        <v>74</v>
      </c>
      <c r="H6" t="s">
        <v>73</v>
      </c>
      <c r="I6" s="57" t="s">
        <v>72</v>
      </c>
      <c r="J6" s="57" t="s">
        <v>72</v>
      </c>
    </row>
    <row r="7" spans="1:12" x14ac:dyDescent="0.3">
      <c r="A7" s="57" t="s">
        <v>18</v>
      </c>
      <c r="B7" s="57" t="s">
        <v>71</v>
      </c>
      <c r="C7" s="57" t="s">
        <v>71</v>
      </c>
      <c r="D7" s="57" t="s">
        <v>70</v>
      </c>
      <c r="E7" s="57" t="s">
        <v>70</v>
      </c>
      <c r="F7" s="57" t="s">
        <v>69</v>
      </c>
      <c r="G7" s="57" t="s">
        <v>27</v>
      </c>
      <c r="H7" s="57" t="s">
        <v>68</v>
      </c>
      <c r="I7" s="57" t="s">
        <v>67</v>
      </c>
      <c r="J7" s="56" t="s">
        <v>67</v>
      </c>
    </row>
    <row r="8" spans="1:12" x14ac:dyDescent="0.3">
      <c r="A8">
        <v>0</v>
      </c>
      <c r="B8" s="44">
        <v>1400</v>
      </c>
      <c r="C8" s="44">
        <v>75</v>
      </c>
      <c r="D8" s="44">
        <v>0</v>
      </c>
      <c r="E8" s="44">
        <v>0</v>
      </c>
      <c r="F8" s="44">
        <f t="shared" ref="F8:F13" si="1">B8-C8-D8-E8</f>
        <v>1325</v>
      </c>
      <c r="G8" s="54">
        <f>(D9+E9+G9)*(1+F$16)^-1</f>
        <v>1324.9999999999993</v>
      </c>
      <c r="I8" s="44"/>
      <c r="J8" s="55"/>
    </row>
    <row r="9" spans="1:12" x14ac:dyDescent="0.3">
      <c r="A9">
        <f>A8+1</f>
        <v>1</v>
      </c>
      <c r="B9" s="44">
        <v>0</v>
      </c>
      <c r="C9" s="44">
        <v>0</v>
      </c>
      <c r="D9" s="44">
        <v>300</v>
      </c>
      <c r="E9" s="44">
        <v>15</v>
      </c>
      <c r="F9" s="44">
        <f t="shared" si="1"/>
        <v>-315</v>
      </c>
      <c r="G9" s="54">
        <f>(D10+E10+G10)*(1+F$16)^-1</f>
        <v>1090.1962308501254</v>
      </c>
      <c r="H9" s="44">
        <f>F$17*G8</f>
        <v>86.124999999999957</v>
      </c>
      <c r="I9" s="44">
        <f>B9-C9-D9-E9-G9+G8+H9</f>
        <v>5.9287691498738724</v>
      </c>
      <c r="J9" s="53">
        <f>(F$17-F$16)*G8</f>
        <v>5.9287691498739283</v>
      </c>
      <c r="L9" s="48"/>
    </row>
    <row r="10" spans="1:12" x14ac:dyDescent="0.3">
      <c r="A10">
        <f>A9+1</f>
        <v>2</v>
      </c>
      <c r="B10" s="44">
        <v>0</v>
      </c>
      <c r="C10" s="44">
        <v>0</v>
      </c>
      <c r="D10" s="44">
        <v>300</v>
      </c>
      <c r="E10" s="44">
        <v>15</v>
      </c>
      <c r="F10" s="44">
        <f t="shared" si="1"/>
        <v>-315</v>
      </c>
      <c r="G10" s="54">
        <f>(D11+E11+G11)*(1+F$16)^-1</f>
        <v>841.18085620951717</v>
      </c>
      <c r="H10" s="44">
        <f>F$17*G9</f>
        <v>70.862755005258151</v>
      </c>
      <c r="I10" s="44">
        <f>B10-C10-D10-E10-G10+G9+H10</f>
        <v>4.878129645866494</v>
      </c>
      <c r="J10" s="53">
        <f>(F$17-F$16)*G9</f>
        <v>4.878129645866462</v>
      </c>
      <c r="L10" s="48"/>
    </row>
    <row r="11" spans="1:12" x14ac:dyDescent="0.3">
      <c r="A11">
        <f>A10+1</f>
        <v>3</v>
      </c>
      <c r="B11" s="44">
        <v>0</v>
      </c>
      <c r="C11" s="44">
        <v>0</v>
      </c>
      <c r="D11" s="44">
        <v>300</v>
      </c>
      <c r="E11" s="44">
        <v>15</v>
      </c>
      <c r="F11" s="44">
        <f t="shared" si="1"/>
        <v>-315</v>
      </c>
      <c r="G11" s="54">
        <f>(D12+E12+G12)*(1+F$16)^-1</f>
        <v>577.09371215765691</v>
      </c>
      <c r="H11" s="44">
        <f>F$17*G10</f>
        <v>54.676755653618621</v>
      </c>
      <c r="I11" s="44">
        <f>B11-C11-D11-E11-G11+G10+H11</f>
        <v>3.7638997054788845</v>
      </c>
      <c r="J11" s="53">
        <f>(F$17-F$16)*G10</f>
        <v>3.7638997054788867</v>
      </c>
      <c r="L11" s="48"/>
    </row>
    <row r="12" spans="1:12" x14ac:dyDescent="0.3">
      <c r="A12">
        <f>A11+1</f>
        <v>4</v>
      </c>
      <c r="B12" s="44">
        <v>0</v>
      </c>
      <c r="C12" s="44">
        <v>0</v>
      </c>
      <c r="D12" s="44">
        <v>300</v>
      </c>
      <c r="E12" s="44">
        <v>15</v>
      </c>
      <c r="F12" s="44">
        <f t="shared" si="1"/>
        <v>-315</v>
      </c>
      <c r="G12" s="54">
        <f>(D13+E13+G13)*(1+F$16)^-1</f>
        <v>297.02257295943173</v>
      </c>
      <c r="H12" s="44">
        <f>F$17*G11</f>
        <v>37.511091290247698</v>
      </c>
      <c r="I12" s="44">
        <f>B12-C12-D12-E12-G12+G11+H12</f>
        <v>2.5822304884728808</v>
      </c>
      <c r="J12" s="53">
        <f>(F$17-F$16)*G11</f>
        <v>2.5822304884728626</v>
      </c>
      <c r="L12" s="48"/>
    </row>
    <row r="13" spans="1:12" x14ac:dyDescent="0.3">
      <c r="A13">
        <f>A12+1</f>
        <v>5</v>
      </c>
      <c r="B13" s="44">
        <v>0</v>
      </c>
      <c r="C13" s="44">
        <v>0</v>
      </c>
      <c r="D13" s="44">
        <v>300</v>
      </c>
      <c r="E13" s="44">
        <v>15</v>
      </c>
      <c r="F13" s="44">
        <f t="shared" si="1"/>
        <v>-315</v>
      </c>
      <c r="G13" s="54">
        <f>(D15+E15+G15)*(1+F$16)^-1</f>
        <v>0</v>
      </c>
      <c r="H13" s="44">
        <f>F$17*G12</f>
        <v>19.306467242363063</v>
      </c>
      <c r="I13" s="44">
        <f>B13-C13-D13-E13-G13+G12+H13</f>
        <v>1.3290402017947898</v>
      </c>
      <c r="J13" s="53">
        <f>(F$17-F$16)*G12</f>
        <v>1.3290402017947607</v>
      </c>
      <c r="L13" s="48"/>
    </row>
    <row r="14" spans="1:12" x14ac:dyDescent="0.3">
      <c r="B14" s="44"/>
      <c r="C14" s="44"/>
      <c r="D14" s="44"/>
      <c r="E14" s="44"/>
      <c r="F14" s="44"/>
      <c r="G14" s="44"/>
      <c r="H14" s="44"/>
      <c r="I14" s="44"/>
      <c r="J14" s="44"/>
      <c r="L14" s="48"/>
    </row>
    <row r="15" spans="1:12" x14ac:dyDescent="0.3">
      <c r="B15" s="44"/>
      <c r="C15" s="44"/>
      <c r="D15" s="44"/>
      <c r="E15" s="44"/>
      <c r="F15" s="52" t="s">
        <v>28</v>
      </c>
      <c r="G15" s="44"/>
      <c r="H15" s="44"/>
      <c r="I15" s="44"/>
      <c r="J15" s="44"/>
    </row>
    <row r="16" spans="1:12" x14ac:dyDescent="0.3">
      <c r="B16" s="44"/>
      <c r="C16" s="44"/>
      <c r="E16" s="47" t="s">
        <v>66</v>
      </c>
      <c r="F16" s="51">
        <f>IRR(F8:F13)</f>
        <v>6.0525457245378167E-2</v>
      </c>
      <c r="G16" s="45" t="s">
        <v>65</v>
      </c>
      <c r="H16" s="50"/>
      <c r="I16" s="50"/>
      <c r="J16" s="50"/>
      <c r="K16" s="49"/>
      <c r="L16" s="48"/>
    </row>
    <row r="17" spans="2:10" x14ac:dyDescent="0.3">
      <c r="B17" s="44"/>
      <c r="C17" s="44"/>
      <c r="E17" s="47" t="s">
        <v>64</v>
      </c>
      <c r="F17" s="46">
        <v>6.5000000000000002E-2</v>
      </c>
      <c r="G17" s="45" t="s">
        <v>63</v>
      </c>
      <c r="H17" s="44"/>
      <c r="I17" s="44"/>
      <c r="J17" s="44"/>
    </row>
    <row r="18" spans="2:10" x14ac:dyDescent="0.3">
      <c r="B18" s="44"/>
      <c r="C18" s="44"/>
      <c r="D18" s="44"/>
      <c r="E18" s="44"/>
      <c r="F18" s="44"/>
      <c r="G18" s="44"/>
      <c r="H18" s="44"/>
      <c r="I18" s="44"/>
      <c r="J18" s="44"/>
    </row>
  </sheetData>
  <pageMargins left="0.7" right="0.7" top="0.75" bottom="0.75" header="0.3" footer="0.3"/>
  <pageSetup orientation="portrait" r:id="rId1"/>
  <headerFooter>
    <oddFooter>&amp;C&amp;1#&amp;"Calibri"&amp;10&amp;K000000CONFIDENTIAL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1"/>
  <sheetViews>
    <sheetView zoomScaleNormal="100" workbookViewId="0">
      <selection activeCell="F6" sqref="F6"/>
    </sheetView>
  </sheetViews>
  <sheetFormatPr defaultColWidth="8.109375" defaultRowHeight="13.2" x14ac:dyDescent="0.25"/>
  <cols>
    <col min="1" max="7" width="10.88671875" style="1" customWidth="1"/>
    <col min="8" max="8" width="12.88671875" style="1" customWidth="1"/>
    <col min="9" max="9" width="15.88671875" style="1" customWidth="1"/>
    <col min="10" max="10" width="15" style="1" bestFit="1" customWidth="1"/>
    <col min="11" max="11" width="11.5546875" style="1" customWidth="1"/>
    <col min="12" max="12" width="15" style="1" customWidth="1"/>
    <col min="13" max="13" width="17.5546875" style="1" customWidth="1"/>
    <col min="14" max="14" width="18.33203125" style="1" bestFit="1" customWidth="1"/>
    <col min="15" max="15" width="16.5546875" style="1" bestFit="1" customWidth="1"/>
    <col min="16" max="17" width="15.5546875" style="1" bestFit="1" customWidth="1"/>
    <col min="18" max="18" width="12.88671875" style="1" bestFit="1" customWidth="1"/>
    <col min="19" max="19" width="11.88671875" style="1" bestFit="1" customWidth="1"/>
    <col min="20" max="20" width="15.44140625" style="1" bestFit="1" customWidth="1"/>
    <col min="21" max="21" width="11.88671875" style="1" bestFit="1" customWidth="1"/>
    <col min="22" max="22" width="11.109375" style="1" bestFit="1" customWidth="1"/>
    <col min="23" max="23" width="14.109375" style="1" bestFit="1" customWidth="1"/>
    <col min="24" max="24" width="11.5546875" style="1" bestFit="1" customWidth="1"/>
    <col min="25" max="25" width="8.5546875" style="1" bestFit="1" customWidth="1"/>
    <col min="26" max="26" width="15.44140625" style="1" bestFit="1" customWidth="1"/>
    <col min="27" max="27" width="13.6640625" style="1" customWidth="1"/>
    <col min="28" max="28" width="13.6640625" style="1" bestFit="1" customWidth="1"/>
    <col min="29" max="29" width="11.5546875" style="1" bestFit="1" customWidth="1"/>
    <col min="30" max="16384" width="8.109375" style="1"/>
  </cols>
  <sheetData>
    <row r="1" spans="1:19" x14ac:dyDescent="0.25">
      <c r="A1" s="26" t="s">
        <v>62</v>
      </c>
    </row>
    <row r="2" spans="1:19" x14ac:dyDescent="0.25">
      <c r="F2" s="2"/>
      <c r="N2" s="1" t="s">
        <v>0</v>
      </c>
    </row>
    <row r="3" spans="1:19" x14ac:dyDescent="0.25">
      <c r="A3" s="3" t="s">
        <v>1</v>
      </c>
      <c r="I3" s="4" t="s">
        <v>2</v>
      </c>
      <c r="L3" s="4"/>
    </row>
    <row r="4" spans="1:19" x14ac:dyDescent="0.25">
      <c r="B4" s="5"/>
      <c r="C4" s="5"/>
      <c r="D4" s="5"/>
      <c r="E4" s="5"/>
      <c r="F4" s="5" t="s">
        <v>3</v>
      </c>
      <c r="G4" s="5" t="s">
        <v>4</v>
      </c>
      <c r="I4" s="4" t="s">
        <v>4</v>
      </c>
      <c r="J4" s="5" t="s">
        <v>5</v>
      </c>
      <c r="K4" s="4" t="s">
        <v>6</v>
      </c>
      <c r="L4" s="5" t="s">
        <v>2</v>
      </c>
      <c r="M4" s="5" t="s">
        <v>5</v>
      </c>
      <c r="N4" s="6">
        <v>44926</v>
      </c>
    </row>
    <row r="5" spans="1:19" x14ac:dyDescent="0.25">
      <c r="A5" s="5" t="s">
        <v>7</v>
      </c>
      <c r="B5" s="5" t="s">
        <v>8</v>
      </c>
      <c r="C5" s="5" t="s">
        <v>6</v>
      </c>
      <c r="D5" s="5"/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4" t="s">
        <v>15</v>
      </c>
      <c r="L5" s="4" t="s">
        <v>5</v>
      </c>
      <c r="M5" s="4" t="s">
        <v>16</v>
      </c>
      <c r="N5" s="5" t="s">
        <v>17</v>
      </c>
    </row>
    <row r="6" spans="1:19" x14ac:dyDescent="0.25">
      <c r="A6" s="4" t="s">
        <v>18</v>
      </c>
      <c r="B6" s="5" t="s">
        <v>19</v>
      </c>
      <c r="C6" s="5" t="s">
        <v>15</v>
      </c>
      <c r="D6" s="5" t="s">
        <v>20</v>
      </c>
      <c r="E6" s="5" t="s">
        <v>21</v>
      </c>
      <c r="F6" s="5" t="s">
        <v>22</v>
      </c>
      <c r="G6" s="5" t="s">
        <v>23</v>
      </c>
      <c r="H6" s="5" t="s">
        <v>24</v>
      </c>
      <c r="I6" s="5" t="s">
        <v>23</v>
      </c>
      <c r="J6" s="5" t="s">
        <v>25</v>
      </c>
      <c r="K6" s="4" t="s">
        <v>26</v>
      </c>
      <c r="L6" s="4" t="s">
        <v>13</v>
      </c>
      <c r="M6" s="4" t="s">
        <v>23</v>
      </c>
      <c r="N6" s="5" t="s">
        <v>27</v>
      </c>
    </row>
    <row r="7" spans="1:19" x14ac:dyDescent="0.25">
      <c r="A7" s="1">
        <v>2022</v>
      </c>
      <c r="B7" s="7">
        <v>5200</v>
      </c>
      <c r="C7" s="7">
        <v>2250</v>
      </c>
      <c r="D7" s="7">
        <v>2500</v>
      </c>
      <c r="E7" s="7">
        <f t="shared" ref="E7:E16" si="0">C7+D7</f>
        <v>4750</v>
      </c>
      <c r="F7" s="7">
        <f t="shared" ref="F7:F16" si="1">B7-E7</f>
        <v>450</v>
      </c>
      <c r="G7" s="40">
        <f t="shared" ref="G7:G16" si="2">0.035</f>
        <v>3.5000000000000003E-2</v>
      </c>
      <c r="H7" s="40">
        <f t="shared" ref="H7:H16" si="3">0.04</f>
        <v>0.04</v>
      </c>
      <c r="I7" s="41">
        <v>4.22</v>
      </c>
      <c r="J7" s="7">
        <f>1000000</f>
        <v>1000000</v>
      </c>
      <c r="K7" s="7">
        <v>1000</v>
      </c>
      <c r="L7" s="42">
        <f t="shared" ref="L7:L16" si="4">C7/J7*1000</f>
        <v>2.25</v>
      </c>
      <c r="M7" s="43">
        <v>3.6200000000000003E-2</v>
      </c>
      <c r="N7" s="8"/>
    </row>
    <row r="8" spans="1:19" x14ac:dyDescent="0.25">
      <c r="A8" s="1">
        <f t="shared" ref="A8:A16" si="5">A7+1</f>
        <v>2023</v>
      </c>
      <c r="B8" s="7">
        <v>5000</v>
      </c>
      <c r="C8" s="7">
        <v>2500</v>
      </c>
      <c r="D8" s="7">
        <v>1300</v>
      </c>
      <c r="E8" s="7">
        <f t="shared" si="0"/>
        <v>3800</v>
      </c>
      <c r="F8" s="7">
        <f t="shared" si="1"/>
        <v>1200</v>
      </c>
      <c r="G8" s="40">
        <f t="shared" si="2"/>
        <v>3.5000000000000003E-2</v>
      </c>
      <c r="H8" s="40">
        <f t="shared" si="3"/>
        <v>0.04</v>
      </c>
      <c r="I8" s="41">
        <v>4.58</v>
      </c>
      <c r="J8" s="7">
        <f t="shared" ref="J8:J16" si="6">B8/B$7*J$7</f>
        <v>961538.46153846162</v>
      </c>
      <c r="K8" s="7">
        <v>1000</v>
      </c>
      <c r="L8" s="42">
        <f t="shared" si="4"/>
        <v>2.6</v>
      </c>
      <c r="M8" s="43">
        <v>5.74E-2</v>
      </c>
      <c r="N8" s="8">
        <f t="shared" ref="N8:N16" si="7">-F8/(1+H8)^(A8-2023)</f>
        <v>-1200</v>
      </c>
    </row>
    <row r="9" spans="1:19" x14ac:dyDescent="0.25">
      <c r="A9" s="1">
        <f t="shared" si="5"/>
        <v>2024</v>
      </c>
      <c r="B9" s="7">
        <v>4700</v>
      </c>
      <c r="C9" s="7">
        <v>2800</v>
      </c>
      <c r="D9" s="7">
        <v>500</v>
      </c>
      <c r="E9" s="7">
        <f t="shared" si="0"/>
        <v>3300</v>
      </c>
      <c r="F9" s="7">
        <f t="shared" si="1"/>
        <v>1400</v>
      </c>
      <c r="G9" s="40">
        <f t="shared" si="2"/>
        <v>3.5000000000000003E-2</v>
      </c>
      <c r="H9" s="40">
        <f t="shared" si="3"/>
        <v>0.04</v>
      </c>
      <c r="I9" s="41">
        <v>5</v>
      </c>
      <c r="J9" s="7">
        <f t="shared" si="6"/>
        <v>903846.15384615387</v>
      </c>
      <c r="K9" s="7">
        <v>1000</v>
      </c>
      <c r="L9" s="42">
        <f t="shared" si="4"/>
        <v>3.0978723404255319</v>
      </c>
      <c r="M9" s="43">
        <v>0.1033</v>
      </c>
      <c r="N9" s="8">
        <f t="shared" si="7"/>
        <v>-1346.1538461538462</v>
      </c>
    </row>
    <row r="10" spans="1:19" x14ac:dyDescent="0.25">
      <c r="A10" s="1">
        <f t="shared" si="5"/>
        <v>2025</v>
      </c>
      <c r="B10" s="7">
        <v>4200</v>
      </c>
      <c r="C10" s="7">
        <v>3150</v>
      </c>
      <c r="D10" s="7">
        <v>400</v>
      </c>
      <c r="E10" s="7">
        <f t="shared" si="0"/>
        <v>3550</v>
      </c>
      <c r="F10" s="7">
        <f t="shared" si="1"/>
        <v>650</v>
      </c>
      <c r="G10" s="40">
        <f t="shared" si="2"/>
        <v>3.5000000000000003E-2</v>
      </c>
      <c r="H10" s="40">
        <f t="shared" si="3"/>
        <v>0.04</v>
      </c>
      <c r="I10" s="41">
        <v>5.48</v>
      </c>
      <c r="J10" s="7">
        <f t="shared" si="6"/>
        <v>807692.30769230775</v>
      </c>
      <c r="K10" s="7">
        <v>1000</v>
      </c>
      <c r="L10" s="42">
        <f t="shared" si="4"/>
        <v>3.9</v>
      </c>
      <c r="M10" s="43">
        <v>0.1628</v>
      </c>
      <c r="N10" s="8">
        <f t="shared" si="7"/>
        <v>-600.96153846153845</v>
      </c>
    </row>
    <row r="11" spans="1:19" x14ac:dyDescent="0.25">
      <c r="A11" s="1">
        <f t="shared" si="5"/>
        <v>2026</v>
      </c>
      <c r="B11" s="7">
        <v>3500</v>
      </c>
      <c r="C11" s="7">
        <v>3550</v>
      </c>
      <c r="D11" s="7">
        <v>300</v>
      </c>
      <c r="E11" s="7">
        <f t="shared" si="0"/>
        <v>3850</v>
      </c>
      <c r="F11" s="7">
        <f t="shared" si="1"/>
        <v>-350</v>
      </c>
      <c r="G11" s="40">
        <f t="shared" si="2"/>
        <v>3.5000000000000003E-2</v>
      </c>
      <c r="H11" s="40">
        <f t="shared" si="3"/>
        <v>0.04</v>
      </c>
      <c r="I11" s="41">
        <v>6.04</v>
      </c>
      <c r="J11" s="7">
        <f t="shared" si="6"/>
        <v>673076.92307692312</v>
      </c>
      <c r="K11" s="7">
        <v>1000</v>
      </c>
      <c r="L11" s="42">
        <f t="shared" si="4"/>
        <v>5.274285714285714</v>
      </c>
      <c r="M11" s="43">
        <v>0.19470000000000001</v>
      </c>
      <c r="N11" s="8">
        <f t="shared" si="7"/>
        <v>311.14872553482019</v>
      </c>
    </row>
    <row r="12" spans="1:19" x14ac:dyDescent="0.25">
      <c r="A12" s="1">
        <f t="shared" si="5"/>
        <v>2027</v>
      </c>
      <c r="B12" s="7">
        <v>2800</v>
      </c>
      <c r="C12" s="7">
        <v>4000</v>
      </c>
      <c r="D12" s="7">
        <v>300</v>
      </c>
      <c r="E12" s="7">
        <f t="shared" si="0"/>
        <v>4300</v>
      </c>
      <c r="F12" s="7">
        <f t="shared" si="1"/>
        <v>-1500</v>
      </c>
      <c r="G12" s="40">
        <f t="shared" si="2"/>
        <v>3.5000000000000003E-2</v>
      </c>
      <c r="H12" s="40">
        <f t="shared" si="3"/>
        <v>0.04</v>
      </c>
      <c r="I12" s="41">
        <v>6.67</v>
      </c>
      <c r="J12" s="7">
        <f t="shared" si="6"/>
        <v>538461.53846153838</v>
      </c>
      <c r="K12" s="7">
        <v>1000</v>
      </c>
      <c r="L12" s="42">
        <f t="shared" si="4"/>
        <v>7.4285714285714297</v>
      </c>
      <c r="M12" s="43">
        <v>0.2069</v>
      </c>
      <c r="N12" s="8">
        <f t="shared" si="7"/>
        <v>1282.2062865445885</v>
      </c>
    </row>
    <row r="13" spans="1:19" x14ac:dyDescent="0.25">
      <c r="A13" s="1">
        <f t="shared" si="5"/>
        <v>2028</v>
      </c>
      <c r="B13" s="7">
        <v>2200</v>
      </c>
      <c r="C13" s="7">
        <v>4500</v>
      </c>
      <c r="D13" s="7">
        <v>300</v>
      </c>
      <c r="E13" s="7">
        <f t="shared" si="0"/>
        <v>4800</v>
      </c>
      <c r="F13" s="7">
        <f t="shared" si="1"/>
        <v>-2600</v>
      </c>
      <c r="G13" s="40">
        <f t="shared" si="2"/>
        <v>3.5000000000000003E-2</v>
      </c>
      <c r="H13" s="40">
        <f t="shared" si="3"/>
        <v>0.04</v>
      </c>
      <c r="I13" s="41">
        <v>7.4</v>
      </c>
      <c r="J13" s="7">
        <f t="shared" si="6"/>
        <v>423076.92307692306</v>
      </c>
      <c r="K13" s="7">
        <v>1000</v>
      </c>
      <c r="L13" s="42">
        <f t="shared" si="4"/>
        <v>10.636363636363637</v>
      </c>
      <c r="M13" s="43">
        <v>0.21659999999999999</v>
      </c>
      <c r="N13" s="8">
        <f t="shared" si="7"/>
        <v>2137.0104775743139</v>
      </c>
    </row>
    <row r="14" spans="1:19" x14ac:dyDescent="0.25">
      <c r="A14" s="1">
        <f t="shared" si="5"/>
        <v>2029</v>
      </c>
      <c r="B14" s="7">
        <v>1700</v>
      </c>
      <c r="C14" s="7">
        <v>5250</v>
      </c>
      <c r="D14" s="7">
        <v>250</v>
      </c>
      <c r="E14" s="7">
        <f t="shared" si="0"/>
        <v>5500</v>
      </c>
      <c r="F14" s="7">
        <f t="shared" si="1"/>
        <v>-3800</v>
      </c>
      <c r="G14" s="40">
        <f t="shared" si="2"/>
        <v>3.5000000000000003E-2</v>
      </c>
      <c r="H14" s="40">
        <f t="shared" si="3"/>
        <v>0.04</v>
      </c>
      <c r="I14" s="41">
        <v>8.2200000000000006</v>
      </c>
      <c r="J14" s="7">
        <f t="shared" si="6"/>
        <v>326923.07692307694</v>
      </c>
      <c r="K14" s="7">
        <v>1000</v>
      </c>
      <c r="L14" s="42">
        <f t="shared" si="4"/>
        <v>16.058823529411764</v>
      </c>
      <c r="M14" s="43">
        <v>0.21920000000000001</v>
      </c>
      <c r="N14" s="8">
        <f t="shared" si="7"/>
        <v>3003.1951977745539</v>
      </c>
    </row>
    <row r="15" spans="1:19" x14ac:dyDescent="0.25">
      <c r="A15" s="1">
        <f t="shared" si="5"/>
        <v>2030</v>
      </c>
      <c r="B15" s="7">
        <v>1300</v>
      </c>
      <c r="C15" s="7">
        <v>6000</v>
      </c>
      <c r="D15" s="7">
        <v>200</v>
      </c>
      <c r="E15" s="7">
        <f t="shared" si="0"/>
        <v>6200</v>
      </c>
      <c r="F15" s="7">
        <f t="shared" si="1"/>
        <v>-4900</v>
      </c>
      <c r="G15" s="40">
        <f t="shared" si="2"/>
        <v>3.5000000000000003E-2</v>
      </c>
      <c r="H15" s="40">
        <f t="shared" si="3"/>
        <v>0.04</v>
      </c>
      <c r="I15" s="41">
        <v>9.14</v>
      </c>
      <c r="J15" s="7">
        <f t="shared" si="6"/>
        <v>250000</v>
      </c>
      <c r="K15" s="7">
        <v>1000</v>
      </c>
      <c r="L15" s="42">
        <f t="shared" si="4"/>
        <v>24</v>
      </c>
      <c r="M15" s="43">
        <v>0.20680000000000001</v>
      </c>
      <c r="N15" s="8">
        <f t="shared" si="7"/>
        <v>3723.59728469011</v>
      </c>
    </row>
    <row r="16" spans="1:19" x14ac:dyDescent="0.25">
      <c r="A16" s="1">
        <f t="shared" si="5"/>
        <v>2031</v>
      </c>
      <c r="B16" s="7">
        <v>1000</v>
      </c>
      <c r="C16" s="7">
        <v>6500</v>
      </c>
      <c r="D16" s="7">
        <v>150</v>
      </c>
      <c r="E16" s="7">
        <f t="shared" si="0"/>
        <v>6650</v>
      </c>
      <c r="F16" s="7">
        <f t="shared" si="1"/>
        <v>-5650</v>
      </c>
      <c r="G16" s="40">
        <f t="shared" si="2"/>
        <v>3.5000000000000003E-2</v>
      </c>
      <c r="H16" s="40">
        <f t="shared" si="3"/>
        <v>0.04</v>
      </c>
      <c r="I16" s="41">
        <v>10.130000000000001</v>
      </c>
      <c r="J16" s="7">
        <f t="shared" si="6"/>
        <v>192307.69230769231</v>
      </c>
      <c r="K16" s="7">
        <v>1000</v>
      </c>
      <c r="L16" s="42">
        <f t="shared" si="4"/>
        <v>33.799999999999997</v>
      </c>
      <c r="M16" s="43">
        <v>0.96619999999999995</v>
      </c>
      <c r="N16" s="8">
        <f t="shared" si="7"/>
        <v>4128.3996582612081</v>
      </c>
      <c r="P16" s="8"/>
      <c r="Q16" s="8"/>
      <c r="R16" s="8"/>
      <c r="S16" s="8"/>
    </row>
    <row r="17" spans="1:29" x14ac:dyDescent="0.25">
      <c r="A17" s="3" t="s">
        <v>28</v>
      </c>
      <c r="J17" s="8"/>
      <c r="K17" s="8"/>
      <c r="L17" s="8"/>
      <c r="M17" s="9" t="s">
        <v>9</v>
      </c>
      <c r="N17" s="10">
        <f>SUM(N7:N16)</f>
        <v>11438.44224576421</v>
      </c>
    </row>
    <row r="18" spans="1:29" x14ac:dyDescent="0.25">
      <c r="A18" s="11" t="s">
        <v>29</v>
      </c>
      <c r="B18" s="11"/>
      <c r="C18" s="11"/>
      <c r="D18" s="11"/>
      <c r="E18" s="11"/>
      <c r="F18" s="11"/>
    </row>
    <row r="19" spans="1:29" x14ac:dyDescent="0.25">
      <c r="C19" s="12"/>
      <c r="D19" s="12"/>
      <c r="E19" s="13" t="s">
        <v>2</v>
      </c>
      <c r="Y19" s="4" t="s">
        <v>30</v>
      </c>
      <c r="Z19" s="3"/>
    </row>
    <row r="20" spans="1:29" x14ac:dyDescent="0.25">
      <c r="A20" s="4" t="s">
        <v>7</v>
      </c>
      <c r="B20" s="4" t="s">
        <v>6</v>
      </c>
      <c r="C20" s="12"/>
      <c r="D20" s="13" t="s">
        <v>4</v>
      </c>
      <c r="E20" s="13" t="s">
        <v>4</v>
      </c>
      <c r="Q20" s="1" t="s">
        <v>31</v>
      </c>
      <c r="R20" s="12"/>
      <c r="S20" s="4" t="s">
        <v>32</v>
      </c>
      <c r="T20" s="1" t="s">
        <v>31</v>
      </c>
      <c r="U20" s="13" t="s">
        <v>33</v>
      </c>
      <c r="X20" s="4" t="s">
        <v>9</v>
      </c>
      <c r="Y20" s="5" t="s">
        <v>34</v>
      </c>
      <c r="Z20" s="14" t="s">
        <v>35</v>
      </c>
      <c r="AA20" s="14" t="s">
        <v>36</v>
      </c>
      <c r="AB20" s="14" t="s">
        <v>37</v>
      </c>
      <c r="AC20" s="5" t="s">
        <v>9</v>
      </c>
    </row>
    <row r="21" spans="1:29" x14ac:dyDescent="0.25">
      <c r="A21" s="4" t="s">
        <v>38</v>
      </c>
      <c r="B21" s="4" t="s">
        <v>15</v>
      </c>
      <c r="C21" s="13" t="s">
        <v>8</v>
      </c>
      <c r="D21" s="13" t="s">
        <v>11</v>
      </c>
      <c r="E21" s="13" t="s">
        <v>13</v>
      </c>
      <c r="F21" s="4" t="s">
        <v>4</v>
      </c>
      <c r="G21" s="4" t="s">
        <v>4</v>
      </c>
      <c r="H21" s="4" t="s">
        <v>39</v>
      </c>
      <c r="I21" s="4" t="s">
        <v>40</v>
      </c>
      <c r="L21" s="5" t="s">
        <v>39</v>
      </c>
      <c r="M21" s="5" t="s">
        <v>39</v>
      </c>
      <c r="N21" s="5" t="s">
        <v>41</v>
      </c>
      <c r="O21" s="4" t="s">
        <v>40</v>
      </c>
      <c r="Q21" s="5" t="s">
        <v>42</v>
      </c>
      <c r="R21" s="14" t="s">
        <v>43</v>
      </c>
      <c r="S21" s="5" t="s">
        <v>43</v>
      </c>
      <c r="T21" s="5" t="s">
        <v>33</v>
      </c>
      <c r="U21" s="13" t="s">
        <v>44</v>
      </c>
      <c r="V21" s="5" t="s">
        <v>5</v>
      </c>
      <c r="X21" s="5" t="s">
        <v>33</v>
      </c>
      <c r="Y21" s="5" t="s">
        <v>45</v>
      </c>
      <c r="Z21" s="14" t="s">
        <v>27</v>
      </c>
      <c r="AA21" s="14" t="s">
        <v>46</v>
      </c>
      <c r="AB21" s="14" t="s">
        <v>27</v>
      </c>
      <c r="AC21" s="5" t="s">
        <v>37</v>
      </c>
    </row>
    <row r="22" spans="1:29" x14ac:dyDescent="0.25">
      <c r="A22" s="4" t="s">
        <v>18</v>
      </c>
      <c r="B22" s="4" t="s">
        <v>26</v>
      </c>
      <c r="C22" s="13" t="s">
        <v>26</v>
      </c>
      <c r="D22" s="13" t="s">
        <v>23</v>
      </c>
      <c r="E22" s="13" t="s">
        <v>23</v>
      </c>
      <c r="F22" s="4" t="s">
        <v>47</v>
      </c>
      <c r="G22" s="4" t="s">
        <v>48</v>
      </c>
      <c r="H22" s="4" t="s">
        <v>49</v>
      </c>
      <c r="I22" s="4" t="s">
        <v>49</v>
      </c>
      <c r="J22" s="4" t="s">
        <v>50</v>
      </c>
      <c r="K22" s="4" t="s">
        <v>51</v>
      </c>
      <c r="L22" s="5" t="s">
        <v>52</v>
      </c>
      <c r="M22" s="5" t="s">
        <v>53</v>
      </c>
      <c r="N22" s="5" t="s">
        <v>54</v>
      </c>
      <c r="O22" s="4" t="s">
        <v>49</v>
      </c>
      <c r="P22" s="4" t="s">
        <v>42</v>
      </c>
      <c r="Q22" s="5" t="s">
        <v>55</v>
      </c>
      <c r="R22" s="14" t="s">
        <v>56</v>
      </c>
      <c r="S22" s="5" t="s">
        <v>56</v>
      </c>
      <c r="T22" s="5" t="s">
        <v>27</v>
      </c>
      <c r="U22" s="14" t="s">
        <v>45</v>
      </c>
      <c r="V22" s="4" t="s">
        <v>48</v>
      </c>
      <c r="W22" s="5" t="s">
        <v>57</v>
      </c>
      <c r="X22" s="5" t="s">
        <v>27</v>
      </c>
      <c r="Y22" s="5" t="s">
        <v>26</v>
      </c>
      <c r="Z22" s="14" t="s">
        <v>58</v>
      </c>
      <c r="AA22" s="14" t="s">
        <v>58</v>
      </c>
      <c r="AB22" s="14" t="s">
        <v>58</v>
      </c>
      <c r="AC22" s="5" t="s">
        <v>27</v>
      </c>
    </row>
    <row r="23" spans="1:29" ht="14.4" x14ac:dyDescent="0.3">
      <c r="A23" s="1">
        <v>1</v>
      </c>
      <c r="B23" s="7">
        <v>1000</v>
      </c>
      <c r="C23" s="12">
        <f t="shared" ref="C23:C32" si="8">B7/J7*1000</f>
        <v>5.2</v>
      </c>
      <c r="D23" s="15">
        <f t="shared" ref="D23:D32" si="9">G7</f>
        <v>3.5000000000000003E-2</v>
      </c>
      <c r="E23" s="16">
        <v>4.22</v>
      </c>
      <c r="F23" s="17">
        <f>1</f>
        <v>1</v>
      </c>
      <c r="G23" s="17">
        <f>B23/1000</f>
        <v>1</v>
      </c>
      <c r="H23" s="17">
        <f t="shared" ref="H23:H32" si="10">F23*G23</f>
        <v>1</v>
      </c>
      <c r="I23" s="17">
        <f>SUM(H23:H$32)/(F23*G23)</f>
        <v>8.4130817671452043</v>
      </c>
      <c r="J23" s="17">
        <f t="shared" ref="J23:J32" si="11">B23*(G23-G24)</f>
        <v>4.2200000000000015</v>
      </c>
      <c r="K23" s="17">
        <f t="shared" ref="K23:K32" si="12">G23*C23</f>
        <v>5.2</v>
      </c>
      <c r="L23" s="17">
        <f t="shared" ref="L23:L32" si="13">J23*F23</f>
        <v>4.2200000000000015</v>
      </c>
      <c r="M23" s="17">
        <f t="shared" ref="M23:M32" si="14">C23*F23*G23</f>
        <v>5.2</v>
      </c>
      <c r="N23" s="17">
        <f>SUM(L23:L$32)/(F23*G23)</f>
        <v>54.444773717659139</v>
      </c>
      <c r="O23" s="17">
        <f t="shared" ref="O23:O32" si="15">I23</f>
        <v>8.4130817671452043</v>
      </c>
      <c r="P23" s="18">
        <f>N23/O23</f>
        <v>6.4714423590029826</v>
      </c>
      <c r="Q23" s="17">
        <f t="shared" ref="Q23:Q32" si="16">N23-O23*P23*C23/C$23</f>
        <v>0</v>
      </c>
      <c r="R23" s="19">
        <f>(N24/O24)-F23*J23</f>
        <v>2.5551544223153506</v>
      </c>
      <c r="S23" s="17">
        <f t="shared" ref="S23:S32" si="17">R$23*O23/O$23</f>
        <v>2.5551544223153506</v>
      </c>
      <c r="T23" s="17">
        <f>L23-U23</f>
        <v>0</v>
      </c>
      <c r="U23" s="19">
        <f>F23*J23</f>
        <v>4.2200000000000015</v>
      </c>
      <c r="V23" s="17">
        <f t="shared" ref="V23:V32" si="18">B7/B$7</f>
        <v>1</v>
      </c>
      <c r="W23" s="20">
        <f>1000000</f>
        <v>1000000</v>
      </c>
      <c r="X23" s="21">
        <f t="shared" ref="X23:X32" si="19">W23*T23/B23</f>
        <v>0</v>
      </c>
      <c r="Y23" s="22">
        <f>B7/(W23/B23)</f>
        <v>5.2</v>
      </c>
      <c r="Z23" s="23">
        <f t="shared" ref="Z23:Z32" si="20">T23</f>
        <v>0</v>
      </c>
      <c r="AA23" s="19">
        <f>L23-MIN(M23,U23)</f>
        <v>0</v>
      </c>
      <c r="AB23" s="19">
        <f t="shared" ref="AB23:AB32" si="21">IF(U23&gt;Y23,AA23-Z23,0)</f>
        <v>0</v>
      </c>
      <c r="AC23" s="17">
        <f t="shared" ref="AC23:AC32" si="22">W23/B23*AB23</f>
        <v>0</v>
      </c>
    </row>
    <row r="24" spans="1:29" ht="14.4" x14ac:dyDescent="0.3">
      <c r="A24" s="1">
        <f t="shared" ref="A24:A32" si="23">A23+1</f>
        <v>2</v>
      </c>
      <c r="B24" s="7">
        <v>1000</v>
      </c>
      <c r="C24" s="12">
        <f t="shared" si="8"/>
        <v>5.2</v>
      </c>
      <c r="D24" s="15">
        <f t="shared" si="9"/>
        <v>3.5000000000000003E-2</v>
      </c>
      <c r="E24" s="16">
        <v>4.58</v>
      </c>
      <c r="F24" s="17">
        <f t="shared" ref="F24:F32" si="24">F23/(1+D23)</f>
        <v>0.96618357487922713</v>
      </c>
      <c r="G24" s="17">
        <f t="shared" ref="G24:G33" si="25">G23*(1-E23/1000)</f>
        <v>0.99578</v>
      </c>
      <c r="H24" s="17">
        <f t="shared" si="10"/>
        <v>0.96210628019323674</v>
      </c>
      <c r="I24" s="17">
        <f>SUM(H24:H$32)/(F24*G24)</f>
        <v>7.7050549609304122</v>
      </c>
      <c r="J24" s="17">
        <f t="shared" si="11"/>
        <v>4.5606724000000209</v>
      </c>
      <c r="K24" s="17">
        <f t="shared" si="12"/>
        <v>5.1780559999999998</v>
      </c>
      <c r="L24" s="17">
        <f t="shared" si="13"/>
        <v>4.4064467632850448</v>
      </c>
      <c r="M24" s="17">
        <f t="shared" si="14"/>
        <v>5.0029526570048306</v>
      </c>
      <c r="N24" s="17">
        <f>SUM(L24:L$32)/(F24*G24)</f>
        <v>52.202937192730523</v>
      </c>
      <c r="O24" s="17">
        <f t="shared" si="15"/>
        <v>7.7050549609304122</v>
      </c>
      <c r="P24" s="17">
        <f t="shared" ref="P24:P32" si="26">P23</f>
        <v>6.4714423590029826</v>
      </c>
      <c r="Q24" s="17">
        <f t="shared" si="16"/>
        <v>2.3401181401193867</v>
      </c>
      <c r="R24" s="17"/>
      <c r="S24" s="17">
        <f t="shared" si="17"/>
        <v>2.3401181401193885</v>
      </c>
      <c r="T24" s="17">
        <f t="shared" ref="T24:T32" si="27">Q24-S24</f>
        <v>0</v>
      </c>
      <c r="U24" s="19">
        <f>P23+R23/O23</f>
        <v>6.775154422315353</v>
      </c>
      <c r="V24" s="17">
        <f t="shared" si="18"/>
        <v>0.96153846153846156</v>
      </c>
      <c r="W24" s="20">
        <f t="shared" ref="W24:W32" si="28">W$23*V24</f>
        <v>961538.46153846162</v>
      </c>
      <c r="X24" s="21">
        <f t="shared" si="19"/>
        <v>0</v>
      </c>
      <c r="Y24" s="22">
        <f t="shared" ref="Y24:Y32" si="29">Y23</f>
        <v>5.2</v>
      </c>
      <c r="Z24" s="23">
        <f t="shared" si="20"/>
        <v>0</v>
      </c>
      <c r="AA24" s="23">
        <f t="shared" ref="AA24:AA32" si="30">N24-MIN(U24,Y24)*O24</f>
        <v>12.136651395892379</v>
      </c>
      <c r="AB24" s="23">
        <f t="shared" si="21"/>
        <v>12.136651395892379</v>
      </c>
      <c r="AC24" s="20">
        <f t="shared" si="22"/>
        <v>11669.857111434982</v>
      </c>
    </row>
    <row r="25" spans="1:29" ht="14.4" x14ac:dyDescent="0.3">
      <c r="A25" s="1">
        <f t="shared" si="23"/>
        <v>3</v>
      </c>
      <c r="B25" s="7">
        <v>1000</v>
      </c>
      <c r="C25" s="12">
        <f t="shared" si="8"/>
        <v>5.2</v>
      </c>
      <c r="D25" s="15">
        <f t="shared" si="9"/>
        <v>3.5000000000000003E-2</v>
      </c>
      <c r="E25" s="16">
        <v>5</v>
      </c>
      <c r="F25" s="17">
        <f t="shared" si="24"/>
        <v>0.93351070036640305</v>
      </c>
      <c r="G25" s="17">
        <f t="shared" si="25"/>
        <v>0.99121932759999998</v>
      </c>
      <c r="H25" s="17">
        <f t="shared" si="10"/>
        <v>0.9253138487245911</v>
      </c>
      <c r="I25" s="17">
        <f>SUM(H25:H$32)/(F25*G25)</f>
        <v>6.9716620969670853</v>
      </c>
      <c r="J25" s="17">
        <f t="shared" si="11"/>
        <v>4.9560966380000071</v>
      </c>
      <c r="K25" s="17">
        <f t="shared" si="12"/>
        <v>5.1543405035200003</v>
      </c>
      <c r="L25" s="17">
        <f t="shared" si="13"/>
        <v>4.6265692436229617</v>
      </c>
      <c r="M25" s="17">
        <f t="shared" si="14"/>
        <v>4.8116320133678743</v>
      </c>
      <c r="N25" s="17">
        <f>SUM(L25:L$32)/(F25*G25)</f>
        <v>49.516525682100088</v>
      </c>
      <c r="O25" s="17">
        <f t="shared" si="15"/>
        <v>6.9716620969670853</v>
      </c>
      <c r="P25" s="17">
        <f t="shared" si="26"/>
        <v>6.4714423590029826</v>
      </c>
      <c r="Q25" s="17">
        <f t="shared" si="16"/>
        <v>4.3998162751317338</v>
      </c>
      <c r="R25" s="17"/>
      <c r="S25" s="17">
        <f t="shared" si="17"/>
        <v>2.1173778801865182</v>
      </c>
      <c r="T25" s="17">
        <f t="shared" si="27"/>
        <v>2.2824383949452156</v>
      </c>
      <c r="U25" s="17">
        <f t="shared" ref="U25:U32" si="31">U24</f>
        <v>6.775154422315353</v>
      </c>
      <c r="V25" s="17">
        <f t="shared" si="18"/>
        <v>0.90384615384615385</v>
      </c>
      <c r="W25" s="20">
        <f t="shared" si="28"/>
        <v>903846.15384615387</v>
      </c>
      <c r="X25" s="21">
        <f t="shared" si="19"/>
        <v>2062.9731646620221</v>
      </c>
      <c r="Y25" s="22">
        <f t="shared" si="29"/>
        <v>5.2</v>
      </c>
      <c r="Z25" s="23">
        <f t="shared" si="20"/>
        <v>2.2824383949452156</v>
      </c>
      <c r="AA25" s="23">
        <f t="shared" si="30"/>
        <v>13.263882777871245</v>
      </c>
      <c r="AB25" s="23">
        <f t="shared" si="21"/>
        <v>10.98144438292603</v>
      </c>
      <c r="AC25" s="20">
        <f t="shared" si="22"/>
        <v>9925.5362691831433</v>
      </c>
    </row>
    <row r="26" spans="1:29" ht="14.4" x14ac:dyDescent="0.3">
      <c r="A26" s="1">
        <f t="shared" si="23"/>
        <v>4</v>
      </c>
      <c r="B26" s="7">
        <v>1000</v>
      </c>
      <c r="C26" s="12">
        <f t="shared" si="8"/>
        <v>5.2</v>
      </c>
      <c r="D26" s="15">
        <f t="shared" si="9"/>
        <v>3.5000000000000003E-2</v>
      </c>
      <c r="E26" s="16">
        <v>5.48</v>
      </c>
      <c r="F26" s="17">
        <f t="shared" si="24"/>
        <v>0.90194270566802237</v>
      </c>
      <c r="G26" s="17">
        <f t="shared" si="25"/>
        <v>0.98626323096199997</v>
      </c>
      <c r="H26" s="17">
        <f t="shared" si="10"/>
        <v>0.88955292703475186</v>
      </c>
      <c r="I26" s="17">
        <f>SUM(H26:H$32)/(F26*G26)</f>
        <v>6.2117289149356116</v>
      </c>
      <c r="J26" s="17">
        <f t="shared" si="11"/>
        <v>5.4047225056718107</v>
      </c>
      <c r="K26" s="17">
        <f t="shared" si="12"/>
        <v>5.1285688010024</v>
      </c>
      <c r="L26" s="17">
        <f t="shared" si="13"/>
        <v>4.8747500401504862</v>
      </c>
      <c r="M26" s="17">
        <f t="shared" si="14"/>
        <v>4.6256752205807095</v>
      </c>
      <c r="N26" s="17">
        <f>SUM(L26:L$32)/(F26*G26)</f>
        <v>46.306134754747319</v>
      </c>
      <c r="O26" s="17">
        <f t="shared" si="15"/>
        <v>6.2117289149356116</v>
      </c>
      <c r="P26" s="17">
        <f t="shared" si="26"/>
        <v>6.4714423590029826</v>
      </c>
      <c r="Q26" s="17">
        <f t="shared" si="16"/>
        <v>6.1072891319893685</v>
      </c>
      <c r="R26" s="17"/>
      <c r="S26" s="17">
        <f t="shared" si="17"/>
        <v>1.8865770054922044</v>
      </c>
      <c r="T26" s="17">
        <f t="shared" si="27"/>
        <v>4.2207121264971637</v>
      </c>
      <c r="U26" s="17">
        <f t="shared" si="31"/>
        <v>6.775154422315353</v>
      </c>
      <c r="V26" s="17">
        <f t="shared" si="18"/>
        <v>0.80769230769230771</v>
      </c>
      <c r="W26" s="20">
        <f t="shared" si="28"/>
        <v>807692.30769230775</v>
      </c>
      <c r="X26" s="21">
        <f t="shared" si="19"/>
        <v>3409.036717555402</v>
      </c>
      <c r="Y26" s="22">
        <f t="shared" si="29"/>
        <v>5.2</v>
      </c>
      <c r="Z26" s="23">
        <f t="shared" si="20"/>
        <v>4.2207121264971637</v>
      </c>
      <c r="AA26" s="23">
        <f t="shared" si="30"/>
        <v>14.005144397082134</v>
      </c>
      <c r="AB26" s="23">
        <f t="shared" si="21"/>
        <v>9.7844322705849702</v>
      </c>
      <c r="AC26" s="20">
        <f t="shared" si="22"/>
        <v>7902.8106800878613</v>
      </c>
    </row>
    <row r="27" spans="1:29" ht="14.4" x14ac:dyDescent="0.3">
      <c r="A27" s="1">
        <f t="shared" si="23"/>
        <v>5</v>
      </c>
      <c r="B27" s="7">
        <v>1000</v>
      </c>
      <c r="C27" s="12">
        <f t="shared" si="8"/>
        <v>5.2</v>
      </c>
      <c r="D27" s="15">
        <f t="shared" si="9"/>
        <v>3.5000000000000003E-2</v>
      </c>
      <c r="E27" s="16">
        <v>6.04</v>
      </c>
      <c r="F27" s="17">
        <f t="shared" si="24"/>
        <v>0.87144222769857238</v>
      </c>
      <c r="G27" s="17">
        <f t="shared" si="25"/>
        <v>0.98085850845632816</v>
      </c>
      <c r="H27" s="17">
        <f t="shared" si="10"/>
        <v>0.85476152366628155</v>
      </c>
      <c r="I27" s="17">
        <f>SUM(H27:H$32)/(F27*G27)</f>
        <v>5.4238621917692527</v>
      </c>
      <c r="J27" s="17">
        <f t="shared" si="11"/>
        <v>5.9243853910763145</v>
      </c>
      <c r="K27" s="17">
        <f t="shared" si="12"/>
        <v>5.1004642439729064</v>
      </c>
      <c r="L27" s="17">
        <f t="shared" si="13"/>
        <v>5.1627596029444218</v>
      </c>
      <c r="M27" s="17">
        <f t="shared" si="14"/>
        <v>4.4447599230646642</v>
      </c>
      <c r="N27" s="17">
        <f>SUM(L27:L$32)/(F27*G27)</f>
        <v>42.487883070389152</v>
      </c>
      <c r="O27" s="17">
        <f t="shared" si="15"/>
        <v>5.4238621917692527</v>
      </c>
      <c r="P27" s="17">
        <f t="shared" si="26"/>
        <v>6.4714423590029826</v>
      </c>
      <c r="Q27" s="17">
        <f t="shared" si="16"/>
        <v>7.3876715331788532</v>
      </c>
      <c r="R27" s="17"/>
      <c r="S27" s="17">
        <f t="shared" si="17"/>
        <v>1.6472923773841937</v>
      </c>
      <c r="T27" s="17">
        <f t="shared" si="27"/>
        <v>5.7403791557946597</v>
      </c>
      <c r="U27" s="17">
        <f t="shared" si="31"/>
        <v>6.775154422315353</v>
      </c>
      <c r="V27" s="17">
        <f t="shared" si="18"/>
        <v>0.67307692307692313</v>
      </c>
      <c r="W27" s="20">
        <f t="shared" si="28"/>
        <v>673076.92307692312</v>
      </c>
      <c r="X27" s="21">
        <f t="shared" si="19"/>
        <v>3863.7167394771755</v>
      </c>
      <c r="Y27" s="22">
        <f t="shared" si="29"/>
        <v>5.2</v>
      </c>
      <c r="Z27" s="23">
        <f t="shared" si="20"/>
        <v>5.7403791557946597</v>
      </c>
      <c r="AA27" s="23">
        <f t="shared" si="30"/>
        <v>14.283799673189037</v>
      </c>
      <c r="AB27" s="23">
        <f t="shared" si="21"/>
        <v>8.5434205173943774</v>
      </c>
      <c r="AC27" s="20">
        <f t="shared" si="22"/>
        <v>5750.3791944000623</v>
      </c>
    </row>
    <row r="28" spans="1:29" ht="14.4" x14ac:dyDescent="0.3">
      <c r="A28" s="1">
        <f t="shared" si="23"/>
        <v>6</v>
      </c>
      <c r="B28" s="7">
        <v>1000</v>
      </c>
      <c r="C28" s="12">
        <f t="shared" si="8"/>
        <v>5.2000000000000011</v>
      </c>
      <c r="D28" s="15">
        <f t="shared" si="9"/>
        <v>3.5000000000000003E-2</v>
      </c>
      <c r="E28" s="16">
        <v>6.67</v>
      </c>
      <c r="F28" s="17">
        <f t="shared" si="24"/>
        <v>0.84197316685852408</v>
      </c>
      <c r="G28" s="17">
        <f t="shared" si="25"/>
        <v>0.97493412306525185</v>
      </c>
      <c r="H28" s="17">
        <f t="shared" si="10"/>
        <v>0.82086837107568811</v>
      </c>
      <c r="I28" s="17">
        <f>SUM(H28:H$32)/(F28*G28)</f>
        <v>4.606520753834336</v>
      </c>
      <c r="J28" s="17">
        <f t="shared" si="11"/>
        <v>6.5028106008452324</v>
      </c>
      <c r="K28" s="17">
        <f t="shared" si="12"/>
        <v>5.0696574399393111</v>
      </c>
      <c r="L28" s="17">
        <f t="shared" si="13"/>
        <v>5.4751920350748424</v>
      </c>
      <c r="M28" s="17">
        <f t="shared" si="14"/>
        <v>4.2685155295935795</v>
      </c>
      <c r="N28" s="17">
        <f>SUM(L28:L$32)/(F28*G28)</f>
        <v>37.952793852723111</v>
      </c>
      <c r="O28" s="17">
        <f t="shared" si="15"/>
        <v>4.606520753834336</v>
      </c>
      <c r="P28" s="17">
        <f t="shared" si="26"/>
        <v>6.4714423590029826</v>
      </c>
      <c r="Q28" s="17">
        <f t="shared" si="16"/>
        <v>8.1419603187332363</v>
      </c>
      <c r="R28" s="17"/>
      <c r="S28" s="17">
        <f t="shared" si="17"/>
        <v>1.3990559228382806</v>
      </c>
      <c r="T28" s="17">
        <f t="shared" si="27"/>
        <v>6.7429043958949553</v>
      </c>
      <c r="U28" s="17">
        <f t="shared" si="31"/>
        <v>6.775154422315353</v>
      </c>
      <c r="V28" s="17">
        <f t="shared" si="18"/>
        <v>0.53846153846153844</v>
      </c>
      <c r="W28" s="20">
        <f t="shared" si="28"/>
        <v>538461.53846153838</v>
      </c>
      <c r="X28" s="21">
        <f t="shared" si="19"/>
        <v>3630.7946747126675</v>
      </c>
      <c r="Y28" s="22">
        <f t="shared" si="29"/>
        <v>5.2</v>
      </c>
      <c r="Z28" s="23">
        <f t="shared" si="20"/>
        <v>6.7429043958949553</v>
      </c>
      <c r="AA28" s="23">
        <f t="shared" si="30"/>
        <v>13.998885932784564</v>
      </c>
      <c r="AB28" s="23">
        <f t="shared" si="21"/>
        <v>7.2559815368896086</v>
      </c>
      <c r="AC28" s="20">
        <f t="shared" si="22"/>
        <v>3907.0669814020962</v>
      </c>
    </row>
    <row r="29" spans="1:29" ht="14.4" x14ac:dyDescent="0.3">
      <c r="A29" s="1">
        <f t="shared" si="23"/>
        <v>7</v>
      </c>
      <c r="B29" s="7">
        <v>1000</v>
      </c>
      <c r="C29" s="12">
        <f t="shared" si="8"/>
        <v>5.2</v>
      </c>
      <c r="D29" s="15">
        <f t="shared" si="9"/>
        <v>3.5000000000000003E-2</v>
      </c>
      <c r="E29" s="16">
        <v>7.4</v>
      </c>
      <c r="F29" s="17">
        <f t="shared" si="24"/>
        <v>0.81350064430775282</v>
      </c>
      <c r="G29" s="17">
        <f t="shared" si="25"/>
        <v>0.96843131246440661</v>
      </c>
      <c r="H29" s="17">
        <f t="shared" si="10"/>
        <v>0.78781949665759743</v>
      </c>
      <c r="I29" s="17">
        <f>SUM(H29:H$32)/(F29*G29)</f>
        <v>3.7578135969099269</v>
      </c>
      <c r="J29" s="17">
        <f t="shared" si="11"/>
        <v>7.1663917122365417</v>
      </c>
      <c r="K29" s="17">
        <f t="shared" si="12"/>
        <v>5.0358428248149147</v>
      </c>
      <c r="L29" s="17">
        <f t="shared" si="13"/>
        <v>5.8298642752661669</v>
      </c>
      <c r="M29" s="17">
        <f t="shared" si="14"/>
        <v>4.0966613826195069</v>
      </c>
      <c r="N29" s="17">
        <f>SUM(L29:L$32)/(F29*G29)</f>
        <v>32.595100960978144</v>
      </c>
      <c r="O29" s="17">
        <f t="shared" si="15"/>
        <v>3.7578135969099269</v>
      </c>
      <c r="P29" s="17">
        <f t="shared" si="26"/>
        <v>6.4714423590029826</v>
      </c>
      <c r="Q29" s="17">
        <f t="shared" si="16"/>
        <v>8.2766268726978822</v>
      </c>
      <c r="R29" s="17"/>
      <c r="S29" s="17">
        <f t="shared" si="17"/>
        <v>1.1412933210607927</v>
      </c>
      <c r="T29" s="17">
        <f t="shared" si="27"/>
        <v>7.135333551637089</v>
      </c>
      <c r="U29" s="17">
        <f t="shared" si="31"/>
        <v>6.775154422315353</v>
      </c>
      <c r="V29" s="17">
        <f t="shared" si="18"/>
        <v>0.42307692307692307</v>
      </c>
      <c r="W29" s="20">
        <f t="shared" si="28"/>
        <v>423076.92307692306</v>
      </c>
      <c r="X29" s="21">
        <f t="shared" si="19"/>
        <v>3018.7949641541531</v>
      </c>
      <c r="Y29" s="22">
        <f t="shared" si="29"/>
        <v>5.2</v>
      </c>
      <c r="Z29" s="23">
        <f t="shared" si="20"/>
        <v>7.135333551637089</v>
      </c>
      <c r="AA29" s="23">
        <f t="shared" si="30"/>
        <v>13.054470257046525</v>
      </c>
      <c r="AB29" s="23">
        <f t="shared" si="21"/>
        <v>5.9191367054094357</v>
      </c>
      <c r="AC29" s="20">
        <f t="shared" si="22"/>
        <v>2504.2501445962994</v>
      </c>
    </row>
    <row r="30" spans="1:29" ht="14.4" x14ac:dyDescent="0.3">
      <c r="A30" s="1">
        <f t="shared" si="23"/>
        <v>8</v>
      </c>
      <c r="B30" s="7">
        <v>1000</v>
      </c>
      <c r="C30" s="12">
        <f t="shared" si="8"/>
        <v>5.2</v>
      </c>
      <c r="D30" s="15">
        <f t="shared" si="9"/>
        <v>3.5000000000000003E-2</v>
      </c>
      <c r="E30" s="16">
        <v>8.2200000000000006</v>
      </c>
      <c r="F30" s="17">
        <f t="shared" si="24"/>
        <v>0.78599096068381924</v>
      </c>
      <c r="G30" s="17">
        <f t="shared" si="25"/>
        <v>0.96126492075217007</v>
      </c>
      <c r="H30" s="17">
        <f t="shared" si="10"/>
        <v>0.75554553853365347</v>
      </c>
      <c r="I30" s="17">
        <f>SUM(H30:H$32)/(F30*G30)</f>
        <v>2.8756166359074893</v>
      </c>
      <c r="J30" s="17">
        <f t="shared" si="11"/>
        <v>7.901597648582892</v>
      </c>
      <c r="K30" s="17">
        <f t="shared" si="12"/>
        <v>4.9985775879112841</v>
      </c>
      <c r="L30" s="17">
        <f t="shared" si="13"/>
        <v>6.210584326746674</v>
      </c>
      <c r="M30" s="17">
        <f t="shared" si="14"/>
        <v>3.9288368003749987</v>
      </c>
      <c r="N30" s="17">
        <f>SUM(L30:L$32)/(F30*G30)</f>
        <v>26.271337391308123</v>
      </c>
      <c r="O30" s="17">
        <f t="shared" si="15"/>
        <v>2.8756166359074893</v>
      </c>
      <c r="P30" s="17">
        <f t="shared" si="26"/>
        <v>6.4714423590029826</v>
      </c>
      <c r="Q30" s="17">
        <f t="shared" si="16"/>
        <v>7.66195008544274</v>
      </c>
      <c r="R30" s="17"/>
      <c r="S30" s="17">
        <f t="shared" si="17"/>
        <v>0.87335946178683999</v>
      </c>
      <c r="T30" s="17">
        <f t="shared" si="27"/>
        <v>6.7885906236559004</v>
      </c>
      <c r="U30" s="17">
        <f t="shared" si="31"/>
        <v>6.775154422315353</v>
      </c>
      <c r="V30" s="17">
        <f t="shared" si="18"/>
        <v>0.32692307692307693</v>
      </c>
      <c r="W30" s="20">
        <f t="shared" si="28"/>
        <v>326923.07692307694</v>
      </c>
      <c r="X30" s="21">
        <f t="shared" si="19"/>
        <v>2219.3469346567367</v>
      </c>
      <c r="Y30" s="22">
        <f t="shared" si="29"/>
        <v>5.2</v>
      </c>
      <c r="Z30" s="23">
        <f t="shared" si="20"/>
        <v>6.7885906236559004</v>
      </c>
      <c r="AA30" s="23">
        <f t="shared" si="30"/>
        <v>11.318130884589179</v>
      </c>
      <c r="AB30" s="23">
        <f t="shared" si="21"/>
        <v>4.5295402609332784</v>
      </c>
      <c r="AC30" s="20">
        <f t="shared" si="22"/>
        <v>1480.8112391512643</v>
      </c>
    </row>
    <row r="31" spans="1:29" ht="14.4" x14ac:dyDescent="0.3">
      <c r="A31" s="1">
        <f t="shared" si="23"/>
        <v>9</v>
      </c>
      <c r="B31" s="7">
        <v>1000</v>
      </c>
      <c r="C31" s="12">
        <f t="shared" si="8"/>
        <v>5.2</v>
      </c>
      <c r="D31" s="15">
        <f t="shared" si="9"/>
        <v>3.5000000000000003E-2</v>
      </c>
      <c r="E31" s="16">
        <v>9.14</v>
      </c>
      <c r="F31" s="17">
        <f t="shared" si="24"/>
        <v>0.75941155621625056</v>
      </c>
      <c r="G31" s="17">
        <f t="shared" si="25"/>
        <v>0.95336332310358718</v>
      </c>
      <c r="H31" s="17">
        <f t="shared" si="10"/>
        <v>0.72399512483759121</v>
      </c>
      <c r="I31" s="17">
        <f>SUM(H31:H$32)/(F31*G31)</f>
        <v>1.957352657004831</v>
      </c>
      <c r="J31" s="17">
        <f t="shared" si="11"/>
        <v>8.7137407731667782</v>
      </c>
      <c r="K31" s="17">
        <f t="shared" si="12"/>
        <v>4.9574892801386534</v>
      </c>
      <c r="L31" s="17">
        <f t="shared" si="13"/>
        <v>6.6173154410155774</v>
      </c>
      <c r="M31" s="17">
        <f t="shared" si="14"/>
        <v>3.7647746491554748</v>
      </c>
      <c r="N31" s="17">
        <f>SUM(L31:L$32)/(F31*G31)</f>
        <v>18.837982415458921</v>
      </c>
      <c r="O31" s="17">
        <f t="shared" si="15"/>
        <v>1.957352657004831</v>
      </c>
      <c r="P31" s="17">
        <f t="shared" si="26"/>
        <v>6.4714423590029826</v>
      </c>
      <c r="Q31" s="17">
        <f t="shared" si="16"/>
        <v>6.1710875194108219</v>
      </c>
      <c r="R31" s="17"/>
      <c r="S31" s="17">
        <f t="shared" si="17"/>
        <v>0.59447161408888705</v>
      </c>
      <c r="T31" s="17">
        <f t="shared" si="27"/>
        <v>5.5766159053219351</v>
      </c>
      <c r="U31" s="17">
        <f t="shared" si="31"/>
        <v>6.775154422315353</v>
      </c>
      <c r="V31" s="17">
        <f t="shared" si="18"/>
        <v>0.25</v>
      </c>
      <c r="W31" s="20">
        <f t="shared" si="28"/>
        <v>250000</v>
      </c>
      <c r="X31" s="21">
        <f t="shared" si="19"/>
        <v>1394.1539763304838</v>
      </c>
      <c r="Y31" s="22">
        <f t="shared" si="29"/>
        <v>5.2</v>
      </c>
      <c r="Z31" s="23">
        <f t="shared" si="20"/>
        <v>5.5766159053219351</v>
      </c>
      <c r="AA31" s="23">
        <f t="shared" si="30"/>
        <v>8.659748599033799</v>
      </c>
      <c r="AB31" s="23">
        <f t="shared" si="21"/>
        <v>3.0831326937118639</v>
      </c>
      <c r="AC31" s="20">
        <f t="shared" si="22"/>
        <v>770.78317342796595</v>
      </c>
    </row>
    <row r="32" spans="1:29" ht="14.4" x14ac:dyDescent="0.3">
      <c r="A32" s="1">
        <f t="shared" si="23"/>
        <v>10</v>
      </c>
      <c r="B32" s="7">
        <v>1000</v>
      </c>
      <c r="C32" s="12">
        <f t="shared" si="8"/>
        <v>5.2</v>
      </c>
      <c r="D32" s="15">
        <f t="shared" si="9"/>
        <v>3.5000000000000003E-2</v>
      </c>
      <c r="E32" s="16">
        <v>10.130000000000001</v>
      </c>
      <c r="F32" s="17">
        <f t="shared" si="24"/>
        <v>0.73373097218961414</v>
      </c>
      <c r="G32" s="17">
        <f t="shared" si="25"/>
        <v>0.9446495823304204</v>
      </c>
      <c r="H32" s="17">
        <f t="shared" si="10"/>
        <v>0.69311865642181225</v>
      </c>
      <c r="I32" s="17">
        <f>SUM(H32:H$32)/(F32*G32)</f>
        <v>1</v>
      </c>
      <c r="J32" s="17">
        <f t="shared" si="11"/>
        <v>9.5693002690071527</v>
      </c>
      <c r="K32" s="17">
        <f t="shared" si="12"/>
        <v>4.9121778281181863</v>
      </c>
      <c r="L32" s="17">
        <f t="shared" si="13"/>
        <v>7.021291989552954</v>
      </c>
      <c r="M32" s="17">
        <f t="shared" si="14"/>
        <v>3.6042170133934239</v>
      </c>
      <c r="N32" s="17">
        <f>SUM(L32:L$32)/(F32*G32)</f>
        <v>10.129999999999994</v>
      </c>
      <c r="O32" s="17">
        <f t="shared" si="15"/>
        <v>1</v>
      </c>
      <c r="P32" s="17">
        <f t="shared" si="26"/>
        <v>6.4714423590029826</v>
      </c>
      <c r="Q32" s="17">
        <f t="shared" si="16"/>
        <v>3.6585576409970111</v>
      </c>
      <c r="R32" s="17"/>
      <c r="S32" s="17">
        <f t="shared" si="17"/>
        <v>0.30371206331237005</v>
      </c>
      <c r="T32" s="17">
        <f t="shared" si="27"/>
        <v>3.3548455776846411</v>
      </c>
      <c r="U32" s="17">
        <f t="shared" si="31"/>
        <v>6.775154422315353</v>
      </c>
      <c r="V32" s="17">
        <f t="shared" si="18"/>
        <v>0.19230769230769232</v>
      </c>
      <c r="W32" s="20">
        <f t="shared" si="28"/>
        <v>192307.69230769231</v>
      </c>
      <c r="X32" s="21">
        <f t="shared" si="19"/>
        <v>645.16261109320033</v>
      </c>
      <c r="Y32" s="22">
        <f t="shared" si="29"/>
        <v>5.2</v>
      </c>
      <c r="Z32" s="23">
        <f t="shared" si="20"/>
        <v>3.3548455776846411</v>
      </c>
      <c r="AA32" s="23">
        <f t="shared" si="30"/>
        <v>4.9299999999999935</v>
      </c>
      <c r="AB32" s="23">
        <f t="shared" si="21"/>
        <v>1.5751544223153524</v>
      </c>
      <c r="AC32" s="20">
        <f t="shared" si="22"/>
        <v>302.91431198372163</v>
      </c>
    </row>
    <row r="33" spans="1:29" x14ac:dyDescent="0.25">
      <c r="A33" s="1">
        <v>11</v>
      </c>
      <c r="G33" s="1">
        <f t="shared" si="25"/>
        <v>0.93508028206141325</v>
      </c>
    </row>
    <row r="35" spans="1:29" s="25" customFormat="1" x14ac:dyDescent="0.25">
      <c r="A35" s="24" t="s">
        <v>59</v>
      </c>
    </row>
    <row r="36" spans="1:29" s="28" customFormat="1" x14ac:dyDescent="0.25">
      <c r="A36" s="27" t="s">
        <v>60</v>
      </c>
      <c r="J36" s="27" t="s">
        <v>61</v>
      </c>
    </row>
    <row r="37" spans="1:29" s="28" customFormat="1" x14ac:dyDescent="0.25">
      <c r="Y37" s="29" t="s">
        <v>30</v>
      </c>
      <c r="Z37" s="27"/>
    </row>
    <row r="38" spans="1:29" s="28" customFormat="1" x14ac:dyDescent="0.25">
      <c r="A38" s="29" t="s">
        <v>7</v>
      </c>
      <c r="B38" s="29" t="s">
        <v>6</v>
      </c>
      <c r="D38" s="29"/>
      <c r="E38" s="29" t="s">
        <v>2</v>
      </c>
      <c r="Q38" s="28" t="s">
        <v>31</v>
      </c>
      <c r="S38" s="29" t="s">
        <v>32</v>
      </c>
      <c r="T38" s="28" t="s">
        <v>31</v>
      </c>
      <c r="U38" s="29" t="s">
        <v>33</v>
      </c>
      <c r="X38" s="29" t="s">
        <v>9</v>
      </c>
      <c r="Y38" s="30" t="s">
        <v>34</v>
      </c>
      <c r="Z38" s="30" t="s">
        <v>35</v>
      </c>
      <c r="AA38" s="30" t="s">
        <v>36</v>
      </c>
      <c r="AB38" s="30" t="s">
        <v>37</v>
      </c>
      <c r="AC38" s="30" t="s">
        <v>9</v>
      </c>
    </row>
    <row r="39" spans="1:29" s="28" customFormat="1" x14ac:dyDescent="0.25">
      <c r="A39" s="29" t="s">
        <v>38</v>
      </c>
      <c r="B39" s="29" t="s">
        <v>15</v>
      </c>
      <c r="C39" s="29" t="s">
        <v>8</v>
      </c>
      <c r="D39" s="29" t="s">
        <v>11</v>
      </c>
      <c r="E39" s="29" t="s">
        <v>13</v>
      </c>
      <c r="F39" s="29"/>
      <c r="G39" s="29"/>
      <c r="H39" s="29" t="s">
        <v>39</v>
      </c>
      <c r="I39" s="29" t="s">
        <v>40</v>
      </c>
      <c r="L39" s="30" t="s">
        <v>39</v>
      </c>
      <c r="M39" s="30" t="s">
        <v>39</v>
      </c>
      <c r="N39" s="30" t="s">
        <v>41</v>
      </c>
      <c r="O39" s="29" t="s">
        <v>40</v>
      </c>
      <c r="Q39" s="30" t="s">
        <v>42</v>
      </c>
      <c r="R39" s="30" t="s">
        <v>43</v>
      </c>
      <c r="S39" s="30" t="s">
        <v>43</v>
      </c>
      <c r="T39" s="30" t="s">
        <v>33</v>
      </c>
      <c r="U39" s="29" t="s">
        <v>44</v>
      </c>
      <c r="V39" s="30" t="s">
        <v>5</v>
      </c>
      <c r="X39" s="30" t="s">
        <v>33</v>
      </c>
      <c r="Y39" s="30" t="s">
        <v>45</v>
      </c>
      <c r="Z39" s="30" t="s">
        <v>27</v>
      </c>
      <c r="AA39" s="30" t="s">
        <v>46</v>
      </c>
      <c r="AB39" s="30" t="s">
        <v>27</v>
      </c>
      <c r="AC39" s="30" t="s">
        <v>37</v>
      </c>
    </row>
    <row r="40" spans="1:29" s="28" customFormat="1" x14ac:dyDescent="0.25">
      <c r="A40" s="29" t="s">
        <v>18</v>
      </c>
      <c r="B40" s="29" t="s">
        <v>26</v>
      </c>
      <c r="C40" s="29" t="s">
        <v>26</v>
      </c>
      <c r="D40" s="29" t="s">
        <v>23</v>
      </c>
      <c r="E40" s="29" t="s">
        <v>23</v>
      </c>
      <c r="F40" s="29" t="s">
        <v>47</v>
      </c>
      <c r="G40" s="29" t="s">
        <v>48</v>
      </c>
      <c r="H40" s="29" t="s">
        <v>49</v>
      </c>
      <c r="I40" s="29" t="s">
        <v>49</v>
      </c>
      <c r="J40" s="29" t="s">
        <v>50</v>
      </c>
      <c r="K40" s="29" t="s">
        <v>51</v>
      </c>
      <c r="L40" s="30" t="s">
        <v>52</v>
      </c>
      <c r="M40" s="30" t="s">
        <v>53</v>
      </c>
      <c r="N40" s="30" t="s">
        <v>54</v>
      </c>
      <c r="O40" s="29" t="s">
        <v>49</v>
      </c>
      <c r="P40" s="29" t="s">
        <v>42</v>
      </c>
      <c r="Q40" s="30" t="s">
        <v>55</v>
      </c>
      <c r="R40" s="30" t="s">
        <v>56</v>
      </c>
      <c r="S40" s="30" t="s">
        <v>56</v>
      </c>
      <c r="T40" s="30" t="s">
        <v>27</v>
      </c>
      <c r="U40" s="30" t="s">
        <v>45</v>
      </c>
      <c r="V40" s="29" t="s">
        <v>48</v>
      </c>
      <c r="W40" s="30" t="s">
        <v>57</v>
      </c>
      <c r="X40" s="30" t="s">
        <v>27</v>
      </c>
      <c r="Y40" s="30" t="s">
        <v>26</v>
      </c>
      <c r="Z40" s="30" t="s">
        <v>58</v>
      </c>
      <c r="AA40" s="30" t="s">
        <v>58</v>
      </c>
      <c r="AB40" s="30" t="s">
        <v>58</v>
      </c>
      <c r="AC40" s="30" t="s">
        <v>27</v>
      </c>
    </row>
    <row r="41" spans="1:29" s="28" customFormat="1" ht="14.4" x14ac:dyDescent="0.3">
      <c r="A41" s="28">
        <v>1</v>
      </c>
      <c r="B41" s="31">
        <v>1000</v>
      </c>
      <c r="C41" s="32">
        <f>1</f>
        <v>1</v>
      </c>
      <c r="D41" s="33">
        <f t="shared" ref="D41:D50" si="32">H7</f>
        <v>0.04</v>
      </c>
      <c r="E41" s="34">
        <f t="shared" ref="E41:E50" si="33">L7</f>
        <v>2.25</v>
      </c>
      <c r="F41" s="35">
        <f>1</f>
        <v>1</v>
      </c>
      <c r="G41" s="35">
        <f>B41/1000</f>
        <v>1</v>
      </c>
      <c r="H41" s="35">
        <f t="shared" ref="H41:H50" si="34">F41*G41</f>
        <v>1</v>
      </c>
      <c r="I41" s="35">
        <f>SUM(H41:H$50)/(F41*G41)</f>
        <v>8.2640546298460986</v>
      </c>
      <c r="J41" s="35">
        <f t="shared" ref="J41:J50" si="35">B41*(G41-G42)</f>
        <v>2.2499999999999742</v>
      </c>
      <c r="K41" s="35">
        <f t="shared" ref="K41:K50" si="36">G41*C41</f>
        <v>1</v>
      </c>
      <c r="L41" s="35">
        <f t="shared" ref="L41:L50" si="37">J41*F41</f>
        <v>2.2499999999999742</v>
      </c>
      <c r="M41" s="35">
        <f t="shared" ref="M41:M50" si="38">C41*F41*G41</f>
        <v>1</v>
      </c>
      <c r="N41" s="35">
        <f t="shared" ref="N41:N50" si="39">SUM(L41:L50)/(F41*G41)</f>
        <v>80.143867474483457</v>
      </c>
      <c r="O41" s="35">
        <f t="shared" ref="O41:O50" si="40">I41</f>
        <v>8.2640546298460986</v>
      </c>
      <c r="P41" s="36">
        <f>N41/O41</f>
        <v>9.6978869409985951</v>
      </c>
      <c r="Q41" s="35">
        <f t="shared" ref="Q41:Q50" si="41">N41-O41*P41*C41/C$41</f>
        <v>0</v>
      </c>
      <c r="R41" s="35">
        <f>(N42/O42)-F41*J41/(1+D41)</f>
        <v>8.5597325237689645</v>
      </c>
      <c r="S41" s="35">
        <f t="shared" ref="S41:S50" si="42">R$41*O41/O$41</f>
        <v>8.5597325237689645</v>
      </c>
      <c r="T41" s="35">
        <f>L41-U41</f>
        <v>8.6538461538460787E-2</v>
      </c>
      <c r="U41" s="35">
        <f>F41*J41/(1+D41)</f>
        <v>2.1634615384615135</v>
      </c>
      <c r="V41" s="35">
        <f t="shared" ref="V41:V50" si="43">B7/B$7</f>
        <v>1</v>
      </c>
      <c r="W41" s="37">
        <f>1000000</f>
        <v>1000000</v>
      </c>
      <c r="X41" s="37">
        <f t="shared" ref="X41:X50" si="44">W41*T41/B41</f>
        <v>86.538461538460794</v>
      </c>
      <c r="Y41" s="32">
        <f>B7/(W41/B41)</f>
        <v>5.2</v>
      </c>
      <c r="Z41" s="38">
        <f>J41-MIN(U41,Y41)</f>
        <v>8.6538461538460787E-2</v>
      </c>
      <c r="AA41" s="35">
        <f t="shared" ref="AA41:AA50" si="45">MAX(U41-Y41,0)*O41</f>
        <v>0</v>
      </c>
      <c r="AB41" s="35">
        <f t="shared" ref="AB41:AB50" si="46">W41/B41*AA41</f>
        <v>0</v>
      </c>
      <c r="AC41" s="35">
        <f t="shared" ref="AC41:AC50" si="47">W41/B41*AA41</f>
        <v>0</v>
      </c>
    </row>
    <row r="42" spans="1:29" s="28" customFormat="1" ht="14.4" x14ac:dyDescent="0.3">
      <c r="A42" s="28">
        <f t="shared" ref="A42:A50" si="48">A41+1</f>
        <v>2</v>
      </c>
      <c r="B42" s="31">
        <v>1000</v>
      </c>
      <c r="C42" s="32">
        <f>1</f>
        <v>1</v>
      </c>
      <c r="D42" s="33">
        <f t="shared" si="32"/>
        <v>0.04</v>
      </c>
      <c r="E42" s="34">
        <f t="shared" si="33"/>
        <v>2.6</v>
      </c>
      <c r="F42" s="35">
        <f t="shared" ref="F42:F50" si="49">F41/(1+D41)</f>
        <v>0.96153846153846145</v>
      </c>
      <c r="G42" s="35">
        <f t="shared" ref="G42:G51" si="50">G41*(1-E41/1000)</f>
        <v>0.99775000000000003</v>
      </c>
      <c r="H42" s="35">
        <f t="shared" si="34"/>
        <v>0.95937499999999998</v>
      </c>
      <c r="I42" s="35">
        <f>SUM(H42:H$50)/(F42*G42)</f>
        <v>7.5716530343672677</v>
      </c>
      <c r="J42" s="35">
        <f t="shared" si="35"/>
        <v>2.5941500000000728</v>
      </c>
      <c r="K42" s="35">
        <f t="shared" si="36"/>
        <v>0.99775000000000003</v>
      </c>
      <c r="L42" s="35">
        <f t="shared" si="37"/>
        <v>2.49437500000007</v>
      </c>
      <c r="M42" s="35">
        <f t="shared" si="38"/>
        <v>0.95937499999999998</v>
      </c>
      <c r="N42" s="35">
        <f t="shared" si="39"/>
        <v>81.192304859396472</v>
      </c>
      <c r="O42" s="35">
        <f t="shared" si="40"/>
        <v>7.5716530343672677</v>
      </c>
      <c r="P42" s="35">
        <f t="shared" ref="P42:P50" si="51">P41</f>
        <v>9.6978869409985951</v>
      </c>
      <c r="Q42" s="35">
        <f t="shared" si="41"/>
        <v>7.7632697756337592</v>
      </c>
      <c r="R42" s="35"/>
      <c r="S42" s="35">
        <f t="shared" si="42"/>
        <v>7.8425576354369335</v>
      </c>
      <c r="T42" s="35">
        <f t="shared" ref="T42:T50" si="52">Q42-S42</f>
        <v>-7.9287859803174321E-2</v>
      </c>
      <c r="U42" s="35">
        <f>P41+R41</f>
        <v>18.257619464767558</v>
      </c>
      <c r="V42" s="35">
        <f t="shared" si="43"/>
        <v>0.96153846153846156</v>
      </c>
      <c r="W42" s="37">
        <f t="shared" ref="W42:W50" si="53">W$41*V42</f>
        <v>961538.46153846162</v>
      </c>
      <c r="X42" s="37">
        <f t="shared" si="44"/>
        <v>-76.238326733821467</v>
      </c>
      <c r="Y42" s="32">
        <f t="shared" ref="Y42:Y50" si="54">Y41</f>
        <v>5.2</v>
      </c>
      <c r="Z42" s="32">
        <f t="shared" ref="Z42:Z50" si="55">N42-MIN(Y42,U42)*O42</f>
        <v>41.819709080686678</v>
      </c>
      <c r="AA42" s="32">
        <f t="shared" si="45"/>
        <v>98.867764042020383</v>
      </c>
      <c r="AB42" s="32">
        <f t="shared" si="46"/>
        <v>95065.157732711916</v>
      </c>
      <c r="AC42" s="39">
        <f t="shared" si="47"/>
        <v>95065.157732711916</v>
      </c>
    </row>
    <row r="43" spans="1:29" s="28" customFormat="1" ht="14.4" x14ac:dyDescent="0.3">
      <c r="A43" s="28">
        <f t="shared" si="48"/>
        <v>3</v>
      </c>
      <c r="B43" s="31">
        <v>1000</v>
      </c>
      <c r="C43" s="32">
        <f>1</f>
        <v>1</v>
      </c>
      <c r="D43" s="33">
        <f t="shared" si="32"/>
        <v>0.04</v>
      </c>
      <c r="E43" s="34">
        <f t="shared" si="33"/>
        <v>3.0978723404255319</v>
      </c>
      <c r="F43" s="35">
        <f t="shared" si="49"/>
        <v>0.92455621301775137</v>
      </c>
      <c r="G43" s="35">
        <f t="shared" si="50"/>
        <v>0.99515584999999995</v>
      </c>
      <c r="H43" s="35">
        <f t="shared" si="34"/>
        <v>0.92007752403846144</v>
      </c>
      <c r="I43" s="35">
        <f>SUM(H43:H$50)/(F43*G43)</f>
        <v>6.8523352273330245</v>
      </c>
      <c r="J43" s="35">
        <f t="shared" si="35"/>
        <v>3.0828657821276861</v>
      </c>
      <c r="K43" s="35">
        <f t="shared" si="36"/>
        <v>0.99515584999999995</v>
      </c>
      <c r="L43" s="35">
        <f t="shared" si="37"/>
        <v>2.8502827127659818</v>
      </c>
      <c r="M43" s="35">
        <f t="shared" si="38"/>
        <v>0.92007752403846144</v>
      </c>
      <c r="N43" s="35">
        <f t="shared" si="39"/>
        <v>81.949064621788921</v>
      </c>
      <c r="O43" s="35">
        <f t="shared" si="40"/>
        <v>6.8523352273330245</v>
      </c>
      <c r="P43" s="35">
        <f t="shared" si="51"/>
        <v>9.6978869409985951</v>
      </c>
      <c r="Q43" s="35">
        <f t="shared" si="41"/>
        <v>15.495892305291349</v>
      </c>
      <c r="R43" s="35"/>
      <c r="S43" s="35">
        <f t="shared" si="42"/>
        <v>7.097503506007512</v>
      </c>
      <c r="T43" s="35">
        <f t="shared" si="52"/>
        <v>8.3983887992838362</v>
      </c>
      <c r="U43" s="35">
        <f t="shared" ref="U43:U50" si="56">U42</f>
        <v>18.257619464767558</v>
      </c>
      <c r="V43" s="35">
        <f t="shared" si="43"/>
        <v>0.90384615384615385</v>
      </c>
      <c r="W43" s="37">
        <f t="shared" si="53"/>
        <v>903846.15384615387</v>
      </c>
      <c r="X43" s="37">
        <f t="shared" si="44"/>
        <v>7590.8514147373144</v>
      </c>
      <c r="Y43" s="32">
        <f t="shared" si="54"/>
        <v>5.2</v>
      </c>
      <c r="Z43" s="32">
        <f t="shared" si="55"/>
        <v>46.316921439657193</v>
      </c>
      <c r="AA43" s="32">
        <f t="shared" si="45"/>
        <v>89.475185843536138</v>
      </c>
      <c r="AB43" s="32">
        <f t="shared" si="46"/>
        <v>80871.802589349973</v>
      </c>
      <c r="AC43" s="39">
        <f t="shared" si="47"/>
        <v>80871.802589349973</v>
      </c>
    </row>
    <row r="44" spans="1:29" s="28" customFormat="1" ht="14.4" x14ac:dyDescent="0.3">
      <c r="A44" s="28">
        <f t="shared" si="48"/>
        <v>4</v>
      </c>
      <c r="B44" s="31">
        <v>1000</v>
      </c>
      <c r="C44" s="32">
        <f>1</f>
        <v>1</v>
      </c>
      <c r="D44" s="33">
        <f t="shared" si="32"/>
        <v>0.04</v>
      </c>
      <c r="E44" s="34">
        <f t="shared" si="33"/>
        <v>3.9</v>
      </c>
      <c r="F44" s="35">
        <f t="shared" si="49"/>
        <v>0.88899635867091475</v>
      </c>
      <c r="G44" s="35">
        <f t="shared" si="50"/>
        <v>0.99207298421787227</v>
      </c>
      <c r="H44" s="35">
        <f t="shared" si="34"/>
        <v>0.88194927050547633</v>
      </c>
      <c r="I44" s="35">
        <f>SUM(H44:H$50)/(F44*G44)</f>
        <v>6.1053422071787979</v>
      </c>
      <c r="J44" s="35">
        <f t="shared" si="35"/>
        <v>3.8690846384497046</v>
      </c>
      <c r="K44" s="35">
        <f t="shared" si="36"/>
        <v>0.99207298421787227</v>
      </c>
      <c r="L44" s="35">
        <f t="shared" si="37"/>
        <v>3.43960215497136</v>
      </c>
      <c r="M44" s="35">
        <f t="shared" si="38"/>
        <v>0.88194927050547633</v>
      </c>
      <c r="N44" s="35">
        <f t="shared" si="39"/>
        <v>82.260071171822517</v>
      </c>
      <c r="O44" s="35">
        <f t="shared" si="40"/>
        <v>6.1053422071787979</v>
      </c>
      <c r="P44" s="35">
        <f t="shared" si="51"/>
        <v>9.6978869409985951</v>
      </c>
      <c r="Q44" s="35">
        <f t="shared" si="41"/>
        <v>23.051152710495714</v>
      </c>
      <c r="R44" s="35"/>
      <c r="S44" s="35">
        <f t="shared" si="42"/>
        <v>6.3237839777568103</v>
      </c>
      <c r="T44" s="35">
        <f t="shared" si="52"/>
        <v>16.727368732738903</v>
      </c>
      <c r="U44" s="35">
        <f t="shared" si="56"/>
        <v>18.257619464767558</v>
      </c>
      <c r="V44" s="35">
        <f t="shared" si="43"/>
        <v>0.80769230769230771</v>
      </c>
      <c r="W44" s="37">
        <f t="shared" si="53"/>
        <v>807692.30769230775</v>
      </c>
      <c r="X44" s="37">
        <f t="shared" si="44"/>
        <v>13510.567053366038</v>
      </c>
      <c r="Y44" s="32">
        <f t="shared" si="54"/>
        <v>5.2</v>
      </c>
      <c r="Z44" s="32">
        <f t="shared" si="55"/>
        <v>50.512291694492767</v>
      </c>
      <c r="AA44" s="32">
        <f t="shared" si="45"/>
        <v>79.721235243524802</v>
      </c>
      <c r="AB44" s="32">
        <f t="shared" si="46"/>
        <v>64390.228465923879</v>
      </c>
      <c r="AC44" s="39">
        <f t="shared" si="47"/>
        <v>64390.228465923879</v>
      </c>
    </row>
    <row r="45" spans="1:29" s="28" customFormat="1" ht="14.4" x14ac:dyDescent="0.3">
      <c r="A45" s="28">
        <f t="shared" si="48"/>
        <v>5</v>
      </c>
      <c r="B45" s="31">
        <v>1000</v>
      </c>
      <c r="C45" s="32">
        <f>1</f>
        <v>1</v>
      </c>
      <c r="D45" s="33">
        <f t="shared" si="32"/>
        <v>0.04</v>
      </c>
      <c r="E45" s="34">
        <f t="shared" si="33"/>
        <v>5.274285714285714</v>
      </c>
      <c r="F45" s="35">
        <f t="shared" si="49"/>
        <v>0.85480419102972571</v>
      </c>
      <c r="G45" s="35">
        <f t="shared" si="50"/>
        <v>0.98820389957942256</v>
      </c>
      <c r="H45" s="35">
        <f t="shared" si="34"/>
        <v>0.84472083495240857</v>
      </c>
      <c r="I45" s="35">
        <f>SUM(H45:H$50)/(F45*G45)</f>
        <v>5.3303442379941277</v>
      </c>
      <c r="J45" s="35">
        <f t="shared" si="35"/>
        <v>5.212069710353151</v>
      </c>
      <c r="K45" s="35">
        <f t="shared" si="36"/>
        <v>0.98820389957942256</v>
      </c>
      <c r="L45" s="35">
        <f t="shared" si="37"/>
        <v>4.4552990323489619</v>
      </c>
      <c r="M45" s="35">
        <f t="shared" si="38"/>
        <v>0.84472083495240857</v>
      </c>
      <c r="N45" s="35">
        <f t="shared" si="39"/>
        <v>81.813546851415936</v>
      </c>
      <c r="O45" s="35">
        <f t="shared" si="40"/>
        <v>5.3303442379941277</v>
      </c>
      <c r="P45" s="35">
        <f t="shared" si="51"/>
        <v>9.6978869409985951</v>
      </c>
      <c r="Q45" s="35">
        <f t="shared" si="41"/>
        <v>30.120471074745581</v>
      </c>
      <c r="R45" s="35"/>
      <c r="S45" s="35">
        <f t="shared" si="42"/>
        <v>5.5210575172217284</v>
      </c>
      <c r="T45" s="35">
        <f t="shared" si="52"/>
        <v>24.599413557523853</v>
      </c>
      <c r="U45" s="35">
        <f t="shared" si="56"/>
        <v>18.257619464767558</v>
      </c>
      <c r="V45" s="35">
        <f t="shared" si="43"/>
        <v>0.67307692307692313</v>
      </c>
      <c r="W45" s="37">
        <f t="shared" si="53"/>
        <v>673076.92307692312</v>
      </c>
      <c r="X45" s="37">
        <f t="shared" si="44"/>
        <v>16557.297586794903</v>
      </c>
      <c r="Y45" s="32">
        <f t="shared" si="54"/>
        <v>5.2</v>
      </c>
      <c r="Z45" s="32">
        <f t="shared" si="55"/>
        <v>54.095756813846471</v>
      </c>
      <c r="AA45" s="32">
        <f t="shared" si="45"/>
        <v>69.601606675943728</v>
      </c>
      <c r="AB45" s="32">
        <f t="shared" si="46"/>
        <v>46847.235262654431</v>
      </c>
      <c r="AC45" s="39">
        <f t="shared" si="47"/>
        <v>46847.235262654431</v>
      </c>
    </row>
    <row r="46" spans="1:29" s="28" customFormat="1" ht="14.4" x14ac:dyDescent="0.3">
      <c r="A46" s="28">
        <f t="shared" si="48"/>
        <v>6</v>
      </c>
      <c r="B46" s="31">
        <v>1000</v>
      </c>
      <c r="C46" s="32">
        <f>1</f>
        <v>1</v>
      </c>
      <c r="D46" s="33">
        <f t="shared" si="32"/>
        <v>0.04</v>
      </c>
      <c r="E46" s="34">
        <f t="shared" si="33"/>
        <v>7.4285714285714297</v>
      </c>
      <c r="F46" s="35">
        <f t="shared" si="49"/>
        <v>0.82192710675935166</v>
      </c>
      <c r="G46" s="35">
        <f t="shared" si="50"/>
        <v>0.98299182986906941</v>
      </c>
      <c r="H46" s="35">
        <f t="shared" si="34"/>
        <v>0.80794763069236508</v>
      </c>
      <c r="I46" s="35">
        <f>SUM(H46:H$50)/(F46*G46)</f>
        <v>4.5274370038254972</v>
      </c>
      <c r="J46" s="35">
        <f t="shared" si="35"/>
        <v>7.3022250218844897</v>
      </c>
      <c r="K46" s="35">
        <f t="shared" si="36"/>
        <v>0.98299182986906941</v>
      </c>
      <c r="L46" s="35">
        <f t="shared" si="37"/>
        <v>6.0018966851432616</v>
      </c>
      <c r="M46" s="35">
        <f t="shared" si="38"/>
        <v>0.80794763069236508</v>
      </c>
      <c r="N46" s="35">
        <f t="shared" si="39"/>
        <v>80.02289519556119</v>
      </c>
      <c r="O46" s="35">
        <f t="shared" si="40"/>
        <v>4.5274370038254972</v>
      </c>
      <c r="P46" s="35">
        <f t="shared" si="51"/>
        <v>9.6978869409985951</v>
      </c>
      <c r="Q46" s="35">
        <f t="shared" si="41"/>
        <v>36.116322999968098</v>
      </c>
      <c r="R46" s="35"/>
      <c r="S46" s="35">
        <f t="shared" si="42"/>
        <v>4.6894232319083704</v>
      </c>
      <c r="T46" s="35">
        <f t="shared" si="52"/>
        <v>31.426899768059727</v>
      </c>
      <c r="U46" s="35">
        <f t="shared" si="56"/>
        <v>18.257619464767558</v>
      </c>
      <c r="V46" s="35">
        <f t="shared" si="43"/>
        <v>0.53846153846153844</v>
      </c>
      <c r="W46" s="37">
        <f t="shared" si="53"/>
        <v>538461.53846153838</v>
      </c>
      <c r="X46" s="37">
        <f t="shared" si="44"/>
        <v>16922.176798186003</v>
      </c>
      <c r="Y46" s="32">
        <f t="shared" si="54"/>
        <v>5.2</v>
      </c>
      <c r="Z46" s="32">
        <f t="shared" si="55"/>
        <v>56.480222775668608</v>
      </c>
      <c r="AA46" s="32">
        <f t="shared" si="45"/>
        <v>59.117549546660726</v>
      </c>
      <c r="AB46" s="32">
        <f t="shared" si="46"/>
        <v>31832.526678971153</v>
      </c>
      <c r="AC46" s="39">
        <f t="shared" si="47"/>
        <v>31832.526678971153</v>
      </c>
    </row>
    <row r="47" spans="1:29" s="28" customFormat="1" ht="14.4" x14ac:dyDescent="0.3">
      <c r="A47" s="28">
        <f t="shared" si="48"/>
        <v>7</v>
      </c>
      <c r="B47" s="31">
        <v>1000</v>
      </c>
      <c r="C47" s="32">
        <f>1</f>
        <v>1</v>
      </c>
      <c r="D47" s="33">
        <f t="shared" si="32"/>
        <v>0.04</v>
      </c>
      <c r="E47" s="34">
        <f t="shared" si="33"/>
        <v>10.636363636363637</v>
      </c>
      <c r="F47" s="35">
        <f t="shared" si="49"/>
        <v>0.79031452573014582</v>
      </c>
      <c r="G47" s="35">
        <f t="shared" si="50"/>
        <v>0.97568960484718492</v>
      </c>
      <c r="H47" s="35">
        <f t="shared" si="34"/>
        <v>0.77110166731463636</v>
      </c>
      <c r="I47" s="35">
        <f>SUM(H47:H$50)/(F47*G47)</f>
        <v>3.695990412759012</v>
      </c>
      <c r="J47" s="35">
        <f t="shared" si="35"/>
        <v>10.377789433374641</v>
      </c>
      <c r="K47" s="35">
        <f t="shared" si="36"/>
        <v>0.97568960484718492</v>
      </c>
      <c r="L47" s="35">
        <f t="shared" si="37"/>
        <v>8.2017177341647987</v>
      </c>
      <c r="M47" s="35">
        <f t="shared" si="38"/>
        <v>0.77110166731463636</v>
      </c>
      <c r="N47" s="35">
        <f t="shared" si="39"/>
        <v>76.063137165182169</v>
      </c>
      <c r="O47" s="35">
        <f t="shared" si="40"/>
        <v>3.695990412759012</v>
      </c>
      <c r="P47" s="35">
        <f t="shared" si="51"/>
        <v>9.6978869409985951</v>
      </c>
      <c r="Q47" s="35">
        <f t="shared" si="41"/>
        <v>40.219840007230538</v>
      </c>
      <c r="R47" s="35"/>
      <c r="S47" s="35">
        <f t="shared" si="42"/>
        <v>3.8282284859751421</v>
      </c>
      <c r="T47" s="35">
        <f t="shared" si="52"/>
        <v>36.391611521255399</v>
      </c>
      <c r="U47" s="35">
        <f t="shared" si="56"/>
        <v>18.257619464767558</v>
      </c>
      <c r="V47" s="35">
        <f t="shared" si="43"/>
        <v>0.42307692307692307</v>
      </c>
      <c r="W47" s="37">
        <f t="shared" si="53"/>
        <v>423076.92307692306</v>
      </c>
      <c r="X47" s="37">
        <f t="shared" si="44"/>
        <v>15396.451028223439</v>
      </c>
      <c r="Y47" s="32">
        <f t="shared" si="54"/>
        <v>5.2</v>
      </c>
      <c r="Z47" s="32">
        <f t="shared" si="55"/>
        <v>56.843987018835307</v>
      </c>
      <c r="AA47" s="32">
        <f t="shared" si="45"/>
        <v>48.260836355236357</v>
      </c>
      <c r="AB47" s="32">
        <f t="shared" si="46"/>
        <v>20418.046150292303</v>
      </c>
      <c r="AC47" s="39">
        <f t="shared" si="47"/>
        <v>20418.046150292303</v>
      </c>
    </row>
    <row r="48" spans="1:29" s="28" customFormat="1" ht="14.4" x14ac:dyDescent="0.3">
      <c r="A48" s="28">
        <f t="shared" si="48"/>
        <v>8</v>
      </c>
      <c r="B48" s="31">
        <v>1000</v>
      </c>
      <c r="C48" s="32">
        <f>1</f>
        <v>1</v>
      </c>
      <c r="D48" s="33">
        <f t="shared" si="32"/>
        <v>0.04</v>
      </c>
      <c r="E48" s="34">
        <f t="shared" si="33"/>
        <v>16.058823529411764</v>
      </c>
      <c r="F48" s="35">
        <f t="shared" si="49"/>
        <v>0.75991781320206331</v>
      </c>
      <c r="G48" s="35">
        <f t="shared" si="50"/>
        <v>0.96531181541381028</v>
      </c>
      <c r="H48" s="35">
        <f t="shared" si="34"/>
        <v>0.73355764382737654</v>
      </c>
      <c r="I48" s="35">
        <f>SUM(H48:H$50)/(F48*G48)</f>
        <v>2.8339731987469539</v>
      </c>
      <c r="J48" s="35">
        <f t="shared" si="35"/>
        <v>15.501772094586475</v>
      </c>
      <c r="K48" s="35">
        <f t="shared" si="36"/>
        <v>0.96531181541381028</v>
      </c>
      <c r="L48" s="35">
        <f t="shared" si="37"/>
        <v>11.780072750874922</v>
      </c>
      <c r="M48" s="35">
        <f t="shared" si="38"/>
        <v>0.73355764382737654</v>
      </c>
      <c r="N48" s="35">
        <f t="shared" si="39"/>
        <v>68.77536425339369</v>
      </c>
      <c r="O48" s="35">
        <f t="shared" si="40"/>
        <v>2.8339731987469539</v>
      </c>
      <c r="P48" s="35">
        <f t="shared" si="51"/>
        <v>9.6978869409985951</v>
      </c>
      <c r="Q48" s="35">
        <f t="shared" si="41"/>
        <v>41.291812578125587</v>
      </c>
      <c r="R48" s="35"/>
      <c r="S48" s="35">
        <f t="shared" si="42"/>
        <v>2.9353693371283565</v>
      </c>
      <c r="T48" s="35">
        <f t="shared" si="52"/>
        <v>38.35644324099723</v>
      </c>
      <c r="U48" s="35">
        <f t="shared" si="56"/>
        <v>18.257619464767558</v>
      </c>
      <c r="V48" s="35">
        <f t="shared" si="43"/>
        <v>0.32692307692307693</v>
      </c>
      <c r="W48" s="37">
        <f t="shared" si="53"/>
        <v>326923.07692307694</v>
      </c>
      <c r="X48" s="37">
        <f t="shared" si="44"/>
        <v>12539.606444172172</v>
      </c>
      <c r="Y48" s="32">
        <f t="shared" si="54"/>
        <v>5.2</v>
      </c>
      <c r="Z48" s="32">
        <f t="shared" si="55"/>
        <v>54.038703619909526</v>
      </c>
      <c r="AA48" s="32">
        <f t="shared" si="45"/>
        <v>37.004943602587808</v>
      </c>
      <c r="AB48" s="32">
        <f t="shared" si="46"/>
        <v>12097.770023922938</v>
      </c>
      <c r="AC48" s="39">
        <f t="shared" si="47"/>
        <v>12097.770023922938</v>
      </c>
    </row>
    <row r="49" spans="1:29" s="28" customFormat="1" ht="14.4" x14ac:dyDescent="0.3">
      <c r="A49" s="28">
        <f t="shared" si="48"/>
        <v>9</v>
      </c>
      <c r="B49" s="31">
        <v>1000</v>
      </c>
      <c r="C49" s="32">
        <f>1</f>
        <v>1</v>
      </c>
      <c r="D49" s="33">
        <f t="shared" si="32"/>
        <v>0.04</v>
      </c>
      <c r="E49" s="34">
        <f t="shared" si="33"/>
        <v>24</v>
      </c>
      <c r="F49" s="35">
        <f t="shared" si="49"/>
        <v>0.73069020500198389</v>
      </c>
      <c r="G49" s="35">
        <f t="shared" si="50"/>
        <v>0.94981004331922381</v>
      </c>
      <c r="H49" s="35">
        <f t="shared" si="34"/>
        <v>0.69401689526586685</v>
      </c>
      <c r="I49" s="35">
        <f>SUM(H49:H$50)/(F49*G49)</f>
        <v>1.9384615384615385</v>
      </c>
      <c r="J49" s="35">
        <f t="shared" si="35"/>
        <v>22.795441039661355</v>
      </c>
      <c r="K49" s="35">
        <f t="shared" si="36"/>
        <v>0.94981004331922381</v>
      </c>
      <c r="L49" s="35">
        <f t="shared" si="37"/>
        <v>16.656405486380791</v>
      </c>
      <c r="M49" s="35">
        <f t="shared" si="38"/>
        <v>0.69401689526586685</v>
      </c>
      <c r="N49" s="35">
        <f t="shared" si="39"/>
        <v>55.720000000000041</v>
      </c>
      <c r="O49" s="35">
        <f t="shared" si="40"/>
        <v>1.9384615384615385</v>
      </c>
      <c r="P49" s="35">
        <f t="shared" si="51"/>
        <v>9.6978869409985951</v>
      </c>
      <c r="Q49" s="35">
        <f t="shared" si="41"/>
        <v>36.921019160525844</v>
      </c>
      <c r="R49" s="35"/>
      <c r="S49" s="35">
        <f t="shared" si="42"/>
        <v>2.0078173511727453</v>
      </c>
      <c r="T49" s="35">
        <f t="shared" si="52"/>
        <v>34.913201809353097</v>
      </c>
      <c r="U49" s="35">
        <f t="shared" si="56"/>
        <v>18.257619464767558</v>
      </c>
      <c r="V49" s="35">
        <f t="shared" si="43"/>
        <v>0.25</v>
      </c>
      <c r="W49" s="37">
        <f t="shared" si="53"/>
        <v>250000</v>
      </c>
      <c r="X49" s="37">
        <f t="shared" si="44"/>
        <v>8728.3004523382751</v>
      </c>
      <c r="Y49" s="32">
        <f t="shared" si="54"/>
        <v>5.2</v>
      </c>
      <c r="Z49" s="32">
        <f t="shared" si="55"/>
        <v>45.640000000000043</v>
      </c>
      <c r="AA49" s="32">
        <f t="shared" si="45"/>
        <v>25.311693116318651</v>
      </c>
      <c r="AB49" s="32">
        <f t="shared" si="46"/>
        <v>6327.9232790796623</v>
      </c>
      <c r="AC49" s="39">
        <f t="shared" si="47"/>
        <v>6327.9232790796623</v>
      </c>
    </row>
    <row r="50" spans="1:29" s="28" customFormat="1" ht="14.4" x14ac:dyDescent="0.3">
      <c r="A50" s="28">
        <f t="shared" si="48"/>
        <v>10</v>
      </c>
      <c r="B50" s="31">
        <v>1000</v>
      </c>
      <c r="C50" s="32">
        <f>1</f>
        <v>1</v>
      </c>
      <c r="D50" s="33">
        <f t="shared" si="32"/>
        <v>0.04</v>
      </c>
      <c r="E50" s="34">
        <f t="shared" si="33"/>
        <v>33.799999999999997</v>
      </c>
      <c r="F50" s="35">
        <f t="shared" si="49"/>
        <v>0.70258673557883067</v>
      </c>
      <c r="G50" s="35">
        <f t="shared" si="50"/>
        <v>0.92701460227956245</v>
      </c>
      <c r="H50" s="35">
        <f t="shared" si="34"/>
        <v>0.6513081632495058</v>
      </c>
      <c r="I50" s="35">
        <f>SUM(H50:H$50)/(F50*G50)</f>
        <v>1</v>
      </c>
      <c r="J50" s="35">
        <f t="shared" si="35"/>
        <v>31.333093557049274</v>
      </c>
      <c r="K50" s="35">
        <f t="shared" si="36"/>
        <v>0.92701460227956245</v>
      </c>
      <c r="L50" s="35">
        <f t="shared" si="37"/>
        <v>22.01421591783334</v>
      </c>
      <c r="M50" s="35">
        <f t="shared" si="38"/>
        <v>0.6513081632495058</v>
      </c>
      <c r="N50" s="35">
        <f t="shared" si="39"/>
        <v>33.800000000000068</v>
      </c>
      <c r="O50" s="35">
        <f t="shared" si="40"/>
        <v>1</v>
      </c>
      <c r="P50" s="35">
        <f t="shared" si="51"/>
        <v>9.6978869409985951</v>
      </c>
      <c r="Q50" s="35">
        <f t="shared" si="41"/>
        <v>24.102113059001475</v>
      </c>
      <c r="R50" s="35"/>
      <c r="S50" s="35">
        <f t="shared" si="42"/>
        <v>1.0357787922716541</v>
      </c>
      <c r="T50" s="35">
        <f t="shared" si="52"/>
        <v>23.066334266729822</v>
      </c>
      <c r="U50" s="35">
        <f t="shared" si="56"/>
        <v>18.257619464767558</v>
      </c>
      <c r="V50" s="35">
        <f t="shared" si="43"/>
        <v>0.19230769230769232</v>
      </c>
      <c r="W50" s="37">
        <f t="shared" si="53"/>
        <v>192307.69230769231</v>
      </c>
      <c r="X50" s="37">
        <f t="shared" si="44"/>
        <v>4435.833512832658</v>
      </c>
      <c r="Y50" s="32">
        <f t="shared" si="54"/>
        <v>5.2</v>
      </c>
      <c r="Z50" s="32">
        <f t="shared" si="55"/>
        <v>28.600000000000069</v>
      </c>
      <c r="AA50" s="32">
        <f t="shared" si="45"/>
        <v>13.057619464767559</v>
      </c>
      <c r="AB50" s="32">
        <f t="shared" si="46"/>
        <v>2511.0806663014537</v>
      </c>
      <c r="AC50" s="39">
        <f t="shared" si="47"/>
        <v>2511.0806663014537</v>
      </c>
    </row>
    <row r="51" spans="1:29" s="28" customFormat="1" ht="14.4" x14ac:dyDescent="0.3">
      <c r="A51" s="28">
        <v>11</v>
      </c>
      <c r="F51" s="35"/>
      <c r="G51" s="35">
        <f t="shared" si="50"/>
        <v>0.89568150872251318</v>
      </c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Q10 Excel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 Zionce</cp:lastModifiedBy>
  <dcterms:created xsi:type="dcterms:W3CDTF">2022-12-09T15:11:36Z</dcterms:created>
  <dcterms:modified xsi:type="dcterms:W3CDTF">2023-01-31T19:47:23Z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dd5db4b-78fb-42ac-8616-2bbd1a698c72_Enabled">
    <vt:lpwstr>true</vt:lpwstr>
  </property>
  <property fmtid="{D5CDD505-2E9C-101B-9397-08002B2CF9AE}" pid="3" name="MSIP_Label_0dd5db4b-78fb-42ac-8616-2bbd1a698c72_SetDate">
    <vt:lpwstr>2023-01-31T19:21:34Z</vt:lpwstr>
  </property>
  <property fmtid="{D5CDD505-2E9C-101B-9397-08002B2CF9AE}" pid="4" name="MSIP_Label_0dd5db4b-78fb-42ac-8616-2bbd1a698c72_Method">
    <vt:lpwstr>Privileged</vt:lpwstr>
  </property>
  <property fmtid="{D5CDD505-2E9C-101B-9397-08002B2CF9AE}" pid="5" name="MSIP_Label_0dd5db4b-78fb-42ac-8616-2bbd1a698c72_Name">
    <vt:lpwstr>EXTERNAL</vt:lpwstr>
  </property>
  <property fmtid="{D5CDD505-2E9C-101B-9397-08002B2CF9AE}" pid="6" name="MSIP_Label_0dd5db4b-78fb-42ac-8616-2bbd1a698c72_SiteId">
    <vt:lpwstr>5d3e2773-e07f-4432-a630-1a0f68a28a05</vt:lpwstr>
  </property>
  <property fmtid="{D5CDD505-2E9C-101B-9397-08002B2CF9AE}" pid="7" name="MSIP_Label_0dd5db4b-78fb-42ac-8616-2bbd1a698c72_ActionId">
    <vt:lpwstr>91936ddc-a1aa-470a-961d-c0e46d5d1c86</vt:lpwstr>
  </property>
  <property fmtid="{D5CDD505-2E9C-101B-9397-08002B2CF9AE}" pid="8" name="MSIP_Label_0dd5db4b-78fb-42ac-8616-2bbd1a698c72_ContentBits">
    <vt:lpwstr>0</vt:lpwstr>
  </property>
</Properties>
</file>