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ocietyofactuaries-my.sharepoint.com/personal/slennox_soa_org/Documents/Documents/SOA GI Track/Exam1/2022 Fall/Model Solutions/"/>
    </mc:Choice>
  </mc:AlternateContent>
  <xr:revisionPtr revIDLastSave="5" documentId="13_ncr:1_{58B80237-CA1D-45DF-8444-04C0AE609150}" xr6:coauthVersionLast="47" xr6:coauthVersionMax="47" xr10:uidLastSave="{BA89E1BA-DEBD-4535-B692-54D8A684ED9A}"/>
  <bookViews>
    <workbookView xWindow="28680" yWindow="-1860" windowWidth="38640" windowHeight="21240" tabRatio="784" xr2:uid="{00000000-000D-0000-FFFF-FFFF00000000}"/>
  </bookViews>
  <sheets>
    <sheet name="Question1" sheetId="39" r:id="rId1"/>
    <sheet name="Question2" sheetId="40" r:id="rId2"/>
    <sheet name="Question3" sheetId="41" r:id="rId3"/>
    <sheet name="Question4" sheetId="42" r:id="rId4"/>
    <sheet name="Question5" sheetId="43" r:id="rId5"/>
    <sheet name="Question6" sheetId="44" r:id="rId6"/>
    <sheet name="Question7" sheetId="45" r:id="rId7"/>
    <sheet name="Question8" sheetId="46" r:id="rId8"/>
    <sheet name="Question9" sheetId="47" r:id="rId9"/>
    <sheet name="Question10" sheetId="48" r:id="rId10"/>
    <sheet name="Question11" sheetId="49" r:id="rId11"/>
    <sheet name="Question12" sheetId="50" r:id="rId12"/>
    <sheet name="Question13" sheetId="51" r:id="rId13"/>
    <sheet name="Question14" sheetId="52" r:id="rId14"/>
    <sheet name="Question15" sheetId="53" r:id="rId15"/>
    <sheet name="Question16" sheetId="54" r:id="rId16"/>
    <sheet name="Question17" sheetId="55" r:id="rId17"/>
    <sheet name="Question18" sheetId="56" r:id="rId18"/>
    <sheet name="Question19" sheetId="57" r:id="rId19"/>
    <sheet name="Question20" sheetId="58" r:id="rId20"/>
  </sheets>
  <definedNames>
    <definedName name="_Hlk111033648" localSheetId="18">Question19!#REF!</definedName>
    <definedName name="OLE_LINK1" localSheetId="11">Question12!$B$25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5" i="56" l="1"/>
  <c r="D125" i="56"/>
  <c r="E82" i="54"/>
  <c r="E81" i="54"/>
  <c r="B53" i="54"/>
  <c r="B52" i="54"/>
  <c r="B51" i="54"/>
  <c r="B50" i="54"/>
  <c r="B49" i="54"/>
  <c r="B48" i="54"/>
  <c r="B47" i="54"/>
  <c r="B46" i="54"/>
  <c r="B45" i="54"/>
  <c r="B44" i="54"/>
  <c r="B43" i="54"/>
  <c r="B42" i="54"/>
  <c r="B41" i="54"/>
  <c r="B40" i="54"/>
  <c r="B39" i="54"/>
  <c r="B38" i="54"/>
  <c r="B37" i="54"/>
  <c r="B36" i="54"/>
  <c r="B35" i="54"/>
  <c r="D40" i="54"/>
  <c r="F40" i="54"/>
  <c r="D41" i="54"/>
  <c r="D42" i="54"/>
  <c r="D43" i="54"/>
  <c r="F43" i="54"/>
  <c r="D44" i="54"/>
  <c r="D45" i="54"/>
  <c r="D46" i="54"/>
  <c r="D47" i="54"/>
  <c r="D48" i="54"/>
  <c r="D49" i="54"/>
  <c r="F49" i="54"/>
  <c r="D50" i="54"/>
  <c r="D51" i="54"/>
  <c r="D52" i="54"/>
  <c r="D53" i="54"/>
  <c r="D39" i="54"/>
  <c r="C53" i="54"/>
  <c r="C52" i="54"/>
  <c r="E52" i="54"/>
  <c r="C51" i="54"/>
  <c r="C50" i="54"/>
  <c r="C49" i="54"/>
  <c r="C48" i="54"/>
  <c r="C47" i="54"/>
  <c r="C46" i="54"/>
  <c r="C45" i="54"/>
  <c r="E45" i="54"/>
  <c r="C44" i="54"/>
  <c r="C43" i="54"/>
  <c r="E44" i="54"/>
  <c r="C42" i="54"/>
  <c r="C41" i="54"/>
  <c r="C40" i="54"/>
  <c r="C39" i="54"/>
  <c r="C38" i="54"/>
  <c r="C37" i="54"/>
  <c r="E38" i="54"/>
  <c r="C36" i="54"/>
  <c r="E53" i="54"/>
  <c r="F51" i="54"/>
  <c r="E39" i="54"/>
  <c r="E47" i="54"/>
  <c r="F46" i="54"/>
  <c r="F50" i="54"/>
  <c r="E42" i="54"/>
  <c r="E49" i="54"/>
  <c r="E40" i="54"/>
  <c r="E48" i="54"/>
  <c r="F52" i="54"/>
  <c r="F45" i="54"/>
  <c r="F42" i="54"/>
  <c r="E50" i="54"/>
  <c r="E41" i="54"/>
  <c r="F44" i="54"/>
  <c r="E43" i="54"/>
  <c r="F48" i="54"/>
  <c r="E51" i="54"/>
  <c r="E46" i="54"/>
  <c r="F41" i="54"/>
  <c r="F53" i="54"/>
  <c r="F47" i="54"/>
  <c r="E37" i="54"/>
  <c r="E60" i="54"/>
  <c r="E61" i="54"/>
  <c r="E64" i="54"/>
  <c r="E65" i="54"/>
  <c r="E84" i="54"/>
  <c r="E62" i="54"/>
  <c r="D62" i="54"/>
  <c r="D61" i="54"/>
  <c r="D60" i="54"/>
  <c r="B126" i="53"/>
  <c r="E126" i="53"/>
  <c r="B125" i="53"/>
  <c r="E125" i="53"/>
  <c r="B124" i="53"/>
  <c r="E124" i="53"/>
  <c r="B123" i="53"/>
  <c r="E123" i="53"/>
  <c r="B122" i="53"/>
  <c r="E122" i="53"/>
  <c r="B121" i="53"/>
  <c r="C121" i="53"/>
  <c r="B120" i="53"/>
  <c r="E120" i="53"/>
  <c r="B119" i="53"/>
  <c r="E119" i="53"/>
  <c r="B52" i="53"/>
  <c r="E52" i="53"/>
  <c r="B51" i="53"/>
  <c r="E51" i="53"/>
  <c r="B50" i="53"/>
  <c r="E50" i="53"/>
  <c r="B49" i="53"/>
  <c r="C49" i="53"/>
  <c r="B48" i="53"/>
  <c r="E48" i="53"/>
  <c r="B47" i="53"/>
  <c r="E47" i="53"/>
  <c r="B46" i="53"/>
  <c r="E46" i="53"/>
  <c r="B45" i="53"/>
  <c r="E45" i="53"/>
  <c r="C119" i="53"/>
  <c r="D119" i="53" s="1"/>
  <c r="C120" i="53"/>
  <c r="E121" i="53"/>
  <c r="C122" i="53"/>
  <c r="C123" i="53"/>
  <c r="C124" i="53"/>
  <c r="C125" i="53"/>
  <c r="C126" i="53"/>
  <c r="C45" i="53"/>
  <c r="D45" i="53" s="1"/>
  <c r="C46" i="53"/>
  <c r="C47" i="53"/>
  <c r="C48" i="53"/>
  <c r="E49" i="53"/>
  <c r="C50" i="53"/>
  <c r="C51" i="53"/>
  <c r="C52" i="53"/>
  <c r="F127" i="52"/>
  <c r="F123" i="52"/>
  <c r="F120" i="52"/>
  <c r="F118" i="52"/>
  <c r="F112" i="52"/>
  <c r="F111" i="52"/>
  <c r="F110" i="52"/>
  <c r="D112" i="52"/>
  <c r="C112" i="52"/>
  <c r="D111" i="52"/>
  <c r="C111" i="52"/>
  <c r="D110" i="52"/>
  <c r="C110" i="52"/>
  <c r="B121" i="52"/>
  <c r="F126" i="52"/>
  <c r="F125" i="52"/>
  <c r="F124" i="52"/>
  <c r="F122" i="52"/>
  <c r="F119" i="52"/>
  <c r="F117" i="52"/>
  <c r="F116" i="52"/>
  <c r="B111" i="52"/>
  <c r="B112" i="52"/>
  <c r="B68" i="52"/>
  <c r="B69" i="52"/>
  <c r="B70" i="52"/>
  <c r="B71" i="52"/>
  <c r="B72" i="52"/>
  <c r="B73" i="52"/>
  <c r="B74" i="52"/>
  <c r="B75" i="52"/>
  <c r="B76" i="52"/>
  <c r="B77" i="52"/>
  <c r="B78" i="52"/>
  <c r="C52" i="52"/>
  <c r="C51" i="52"/>
  <c r="C50" i="52"/>
  <c r="C49" i="52"/>
  <c r="C48" i="52"/>
  <c r="C47" i="52"/>
  <c r="C46" i="52"/>
  <c r="C45" i="52"/>
  <c r="C44" i="52"/>
  <c r="C43" i="52"/>
  <c r="C42" i="52"/>
  <c r="C41" i="52"/>
  <c r="B42" i="52"/>
  <c r="B43" i="52"/>
  <c r="B44" i="52"/>
  <c r="B45" i="52"/>
  <c r="B46" i="52"/>
  <c r="B47" i="52"/>
  <c r="B48" i="52"/>
  <c r="B49" i="52"/>
  <c r="B50" i="52"/>
  <c r="B51" i="52"/>
  <c r="B52" i="52"/>
  <c r="D64" i="52"/>
  <c r="C78" i="52"/>
  <c r="E111" i="52"/>
  <c r="E112" i="52"/>
  <c r="D48" i="52"/>
  <c r="E110" i="52"/>
  <c r="E113" i="52"/>
  <c r="D44" i="52"/>
  <c r="D47" i="52"/>
  <c r="D43" i="52"/>
  <c r="D51" i="52"/>
  <c r="D52" i="52"/>
  <c r="C77" i="52"/>
  <c r="D50" i="52"/>
  <c r="D46" i="52"/>
  <c r="D45" i="52"/>
  <c r="D42" i="52"/>
  <c r="D49" i="52"/>
  <c r="D53" i="52"/>
  <c r="D54" i="52"/>
  <c r="C76" i="52"/>
  <c r="D55" i="52"/>
  <c r="D57" i="52"/>
  <c r="D78" i="52"/>
  <c r="E78" i="52"/>
  <c r="D77" i="52"/>
  <c r="E77" i="52"/>
  <c r="D76" i="52"/>
  <c r="E76" i="52"/>
  <c r="C75" i="52"/>
  <c r="D75" i="52"/>
  <c r="E75" i="52"/>
  <c r="E81" i="52"/>
  <c r="E83" i="52"/>
  <c r="F115" i="52"/>
  <c r="C74" i="52"/>
  <c r="D74" i="52"/>
  <c r="E74" i="52"/>
  <c r="C73" i="52"/>
  <c r="D73" i="52"/>
  <c r="E73" i="52"/>
  <c r="E80" i="52"/>
  <c r="C72" i="52"/>
  <c r="D72" i="52"/>
  <c r="E72" i="52"/>
  <c r="C71" i="52"/>
  <c r="D71" i="52"/>
  <c r="E71" i="52"/>
  <c r="C70" i="52"/>
  <c r="D70" i="52"/>
  <c r="E70" i="52"/>
  <c r="C69" i="52"/>
  <c r="D69" i="52"/>
  <c r="E69" i="52"/>
  <c r="C68" i="52"/>
  <c r="D68" i="52"/>
  <c r="E68" i="52"/>
  <c r="C67" i="52"/>
  <c r="D67" i="52"/>
  <c r="E67" i="52"/>
  <c r="E79" i="52"/>
  <c r="C196" i="44"/>
  <c r="C197" i="44"/>
  <c r="C198" i="44"/>
  <c r="C199" i="44"/>
  <c r="C200" i="44"/>
  <c r="C201" i="44"/>
  <c r="C195" i="44"/>
  <c r="D163" i="44"/>
  <c r="E163" i="44"/>
  <c r="D196" i="44"/>
  <c r="D164" i="44"/>
  <c r="D165" i="44"/>
  <c r="D166" i="44"/>
  <c r="D167" i="44"/>
  <c r="D168" i="44"/>
  <c r="D162" i="44"/>
  <c r="C163" i="44"/>
  <c r="C164" i="44"/>
  <c r="C165" i="44"/>
  <c r="C166" i="44"/>
  <c r="C167" i="44"/>
  <c r="C168" i="44"/>
  <c r="C162" i="44"/>
  <c r="B168" i="44"/>
  <c r="C184" i="44"/>
  <c r="B201" i="44"/>
  <c r="B167" i="44"/>
  <c r="C183" i="44"/>
  <c r="B200" i="44"/>
  <c r="B166" i="44"/>
  <c r="C182" i="44"/>
  <c r="B199" i="44"/>
  <c r="B165" i="44"/>
  <c r="C181" i="44"/>
  <c r="B198" i="44"/>
  <c r="B164" i="44"/>
  <c r="C180" i="44"/>
  <c r="B197" i="44"/>
  <c r="B163" i="44"/>
  <c r="C179" i="44"/>
  <c r="B196" i="44"/>
  <c r="B162" i="44"/>
  <c r="C178" i="44"/>
  <c r="B195" i="44"/>
  <c r="C142" i="44"/>
  <c r="D142" i="44"/>
  <c r="C141" i="44"/>
  <c r="C140" i="44"/>
  <c r="C139" i="44"/>
  <c r="C138" i="44"/>
  <c r="C137" i="44"/>
  <c r="C136" i="44"/>
  <c r="I110" i="44"/>
  <c r="H111" i="44"/>
  <c r="G112" i="44"/>
  <c r="F113" i="44"/>
  <c r="E114" i="44"/>
  <c r="D115" i="44"/>
  <c r="C116" i="44"/>
  <c r="I100" i="44"/>
  <c r="H101" i="44"/>
  <c r="H100" i="44"/>
  <c r="H110" i="44"/>
  <c r="G102" i="44"/>
  <c r="G101" i="44"/>
  <c r="F103" i="44"/>
  <c r="F102" i="44"/>
  <c r="E104" i="44"/>
  <c r="E103" i="44"/>
  <c r="D105" i="44"/>
  <c r="D104" i="44"/>
  <c r="C106" i="44"/>
  <c r="C105" i="44"/>
  <c r="C115" i="44"/>
  <c r="D42" i="44"/>
  <c r="D41" i="44"/>
  <c r="D40" i="44"/>
  <c r="D39" i="44"/>
  <c r="D38" i="44"/>
  <c r="D37" i="44"/>
  <c r="C43" i="44"/>
  <c r="E43" i="44"/>
  <c r="C42" i="44"/>
  <c r="C41" i="44"/>
  <c r="C40" i="44"/>
  <c r="C39" i="44"/>
  <c r="C38" i="44"/>
  <c r="C37" i="44"/>
  <c r="F30" i="44"/>
  <c r="F29" i="44"/>
  <c r="D31" i="44"/>
  <c r="C31" i="44"/>
  <c r="D30" i="44"/>
  <c r="C30" i="44"/>
  <c r="D29" i="44"/>
  <c r="C29" i="44"/>
  <c r="D28" i="44"/>
  <c r="C28" i="44"/>
  <c r="D27" i="44"/>
  <c r="C27" i="44"/>
  <c r="D26" i="44"/>
  <c r="C26" i="44"/>
  <c r="D25" i="44"/>
  <c r="C25" i="44"/>
  <c r="B31" i="44"/>
  <c r="B43" i="44"/>
  <c r="B30" i="44"/>
  <c r="B42" i="44"/>
  <c r="B29" i="44"/>
  <c r="B41" i="44"/>
  <c r="B28" i="44"/>
  <c r="B40" i="44"/>
  <c r="B27" i="44"/>
  <c r="B39" i="44"/>
  <c r="B26" i="44"/>
  <c r="B38" i="44"/>
  <c r="B25" i="44"/>
  <c r="B37" i="44"/>
  <c r="D138" i="44"/>
  <c r="E165" i="44"/>
  <c r="D198" i="44"/>
  <c r="E166" i="44"/>
  <c r="D199" i="44"/>
  <c r="E199" i="44"/>
  <c r="E198" i="44"/>
  <c r="E196" i="44"/>
  <c r="E167" i="44"/>
  <c r="D200" i="44"/>
  <c r="E200" i="44"/>
  <c r="E168" i="44"/>
  <c r="D140" i="44"/>
  <c r="E164" i="44"/>
  <c r="D197" i="44"/>
  <c r="E197" i="44"/>
  <c r="E162" i="44"/>
  <c r="D195" i="44"/>
  <c r="E195" i="44"/>
  <c r="D137" i="44"/>
  <c r="D141" i="44"/>
  <c r="D139" i="44"/>
  <c r="F112" i="44"/>
  <c r="F101" i="44"/>
  <c r="G111" i="44"/>
  <c r="G100" i="44"/>
  <c r="G110" i="44"/>
  <c r="E102" i="44"/>
  <c r="E113" i="44"/>
  <c r="D103" i="44"/>
  <c r="D114" i="44"/>
  <c r="C104" i="44"/>
  <c r="E27" i="44"/>
  <c r="E31" i="44"/>
  <c r="G31" i="44"/>
  <c r="E26" i="44"/>
  <c r="E28" i="44"/>
  <c r="E29" i="44"/>
  <c r="G29" i="44"/>
  <c r="E30" i="44"/>
  <c r="G30" i="44"/>
  <c r="F28" i="44"/>
  <c r="F27" i="44"/>
  <c r="F26" i="44"/>
  <c r="F25" i="44"/>
  <c r="E25" i="44"/>
  <c r="E42" i="44"/>
  <c r="E184" i="44"/>
  <c r="D201" i="44"/>
  <c r="E201" i="44"/>
  <c r="D145" i="44"/>
  <c r="D144" i="44"/>
  <c r="D146" i="44"/>
  <c r="F175" i="44"/>
  <c r="D183" i="44"/>
  <c r="D143" i="44"/>
  <c r="D102" i="44"/>
  <c r="D113" i="44"/>
  <c r="C103" i="44"/>
  <c r="C114" i="44"/>
  <c r="E101" i="44"/>
  <c r="E112" i="44"/>
  <c r="F100" i="44"/>
  <c r="F110" i="44"/>
  <c r="F111" i="44"/>
  <c r="E41" i="44"/>
  <c r="G28" i="44"/>
  <c r="E183" i="44"/>
  <c r="D182" i="44"/>
  <c r="E100" i="44"/>
  <c r="E110" i="44"/>
  <c r="E111" i="44"/>
  <c r="C102" i="44"/>
  <c r="C113" i="44"/>
  <c r="D101" i="44"/>
  <c r="D112" i="44"/>
  <c r="G27" i="44"/>
  <c r="E40" i="44"/>
  <c r="D181" i="44"/>
  <c r="E182" i="44"/>
  <c r="C101" i="44"/>
  <c r="C112" i="44"/>
  <c r="D100" i="44"/>
  <c r="D110" i="44"/>
  <c r="D111" i="44"/>
  <c r="E39" i="44"/>
  <c r="E45" i="44"/>
  <c r="E46" i="44"/>
  <c r="G26" i="44"/>
  <c r="D180" i="44"/>
  <c r="E181" i="44"/>
  <c r="C100" i="44"/>
  <c r="C110" i="44"/>
  <c r="C111" i="44"/>
  <c r="F43" i="44"/>
  <c r="F38" i="44"/>
  <c r="F42" i="44"/>
  <c r="F39" i="44"/>
  <c r="F41" i="44"/>
  <c r="F40" i="44"/>
  <c r="F37" i="44"/>
  <c r="G25" i="44"/>
  <c r="G32" i="44"/>
  <c r="G33" i="44"/>
  <c r="E38" i="44"/>
  <c r="D179" i="44"/>
  <c r="E180" i="44"/>
  <c r="H31" i="44"/>
  <c r="G43" i="44"/>
  <c r="H30" i="44"/>
  <c r="G42" i="44"/>
  <c r="H29" i="44"/>
  <c r="G41" i="44"/>
  <c r="H28" i="44"/>
  <c r="G40" i="44"/>
  <c r="H25" i="44"/>
  <c r="H27" i="44"/>
  <c r="G39" i="44"/>
  <c r="H26" i="44"/>
  <c r="G38" i="44"/>
  <c r="E37" i="44"/>
  <c r="E44" i="44"/>
  <c r="D178" i="44"/>
  <c r="E178" i="44"/>
  <c r="E179" i="44"/>
  <c r="G37" i="44"/>
  <c r="G44" i="44"/>
  <c r="E185" i="44"/>
  <c r="E186" i="44"/>
  <c r="E187" i="44"/>
  <c r="F179" i="44"/>
  <c r="F196" i="44"/>
  <c r="G196" i="44"/>
  <c r="F180" i="44"/>
  <c r="F197" i="44"/>
  <c r="G197" i="44"/>
  <c r="F182" i="44"/>
  <c r="F199" i="44"/>
  <c r="G199" i="44"/>
  <c r="F178" i="44"/>
  <c r="F181" i="44"/>
  <c r="F198" i="44"/>
  <c r="G198" i="44"/>
  <c r="F183" i="44"/>
  <c r="F200" i="44"/>
  <c r="G200" i="44"/>
  <c r="F184" i="44"/>
  <c r="F201" i="44"/>
  <c r="G201" i="44"/>
  <c r="F212" i="44"/>
  <c r="F185" i="44"/>
  <c r="F195" i="44"/>
  <c r="G195" i="44"/>
  <c r="G202" i="44"/>
  <c r="E48" i="43"/>
  <c r="D54" i="43"/>
  <c r="C24" i="43"/>
  <c r="C23" i="43"/>
  <c r="C22" i="43"/>
  <c r="C21" i="43"/>
  <c r="C20" i="43"/>
  <c r="C19" i="43"/>
  <c r="B24" i="43"/>
  <c r="B54" i="43"/>
  <c r="C54" i="43"/>
  <c r="B23" i="43"/>
  <c r="B53" i="43"/>
  <c r="C53" i="43"/>
  <c r="B22" i="43"/>
  <c r="B52" i="43"/>
  <c r="C52" i="43"/>
  <c r="B21" i="43"/>
  <c r="B20" i="43"/>
  <c r="B19" i="43"/>
  <c r="I54" i="40"/>
  <c r="G27" i="40"/>
  <c r="G53" i="40"/>
  <c r="F27" i="40"/>
  <c r="F53" i="40"/>
  <c r="E27" i="40"/>
  <c r="E53" i="40"/>
  <c r="D27" i="40"/>
  <c r="D53" i="40"/>
  <c r="C27" i="40"/>
  <c r="D26" i="40"/>
  <c r="D52" i="40"/>
  <c r="G26" i="40"/>
  <c r="G52" i="40"/>
  <c r="F26" i="40"/>
  <c r="F52" i="40"/>
  <c r="E26" i="40"/>
  <c r="E52" i="40"/>
  <c r="C26" i="40"/>
  <c r="C52" i="40"/>
  <c r="I29" i="40"/>
  <c r="I28" i="40"/>
  <c r="D24" i="43"/>
  <c r="D52" i="43"/>
  <c r="E52" i="43"/>
  <c r="D53" i="43"/>
  <c r="D20" i="43"/>
  <c r="E53" i="43"/>
  <c r="E54" i="43"/>
  <c r="D22" i="43"/>
  <c r="D23" i="43"/>
  <c r="D21" i="43"/>
  <c r="H31" i="40"/>
  <c r="C53" i="40"/>
  <c r="I55" i="40"/>
  <c r="I56" i="40"/>
  <c r="H32" i="40"/>
  <c r="H29" i="40"/>
  <c r="H30" i="40"/>
  <c r="H28" i="40"/>
  <c r="I30" i="40"/>
  <c r="I31" i="40"/>
  <c r="D31" i="43"/>
  <c r="D30" i="43"/>
  <c r="H54" i="43"/>
  <c r="F54" i="43"/>
  <c r="G54" i="43"/>
  <c r="H53" i="43"/>
  <c r="F53" i="43"/>
  <c r="G53" i="43"/>
  <c r="I53" i="43"/>
  <c r="F52" i="43"/>
  <c r="G52" i="43"/>
  <c r="H52" i="43"/>
  <c r="H57" i="40"/>
  <c r="H56" i="40"/>
  <c r="H55" i="40"/>
  <c r="H54" i="40"/>
  <c r="H58" i="40"/>
  <c r="H59" i="40"/>
  <c r="H33" i="40"/>
  <c r="H34" i="40"/>
  <c r="H35" i="40"/>
  <c r="C38" i="57"/>
  <c r="C37" i="57"/>
  <c r="C36" i="57"/>
  <c r="C35" i="57"/>
  <c r="E49" i="57"/>
  <c r="G38" i="57"/>
  <c r="G37" i="57"/>
  <c r="G36" i="57"/>
  <c r="G35" i="57"/>
  <c r="F38" i="57"/>
  <c r="F37" i="57"/>
  <c r="F36" i="57"/>
  <c r="F35" i="57"/>
  <c r="B29" i="57"/>
  <c r="B28" i="57"/>
  <c r="B37" i="57"/>
  <c r="B35" i="57"/>
  <c r="D38" i="57"/>
  <c r="E38" i="57"/>
  <c r="D37" i="57"/>
  <c r="E37" i="57"/>
  <c r="D36" i="57"/>
  <c r="E36" i="57"/>
  <c r="D35" i="57"/>
  <c r="E35" i="57"/>
  <c r="E29" i="57"/>
  <c r="E28" i="57"/>
  <c r="D29" i="57"/>
  <c r="D28" i="57"/>
  <c r="C29" i="57"/>
  <c r="C28" i="57"/>
  <c r="I54" i="43"/>
  <c r="I52" i="43"/>
  <c r="C30" i="57"/>
  <c r="E51" i="57"/>
  <c r="H37" i="57"/>
  <c r="H38" i="57"/>
  <c r="F29" i="57"/>
  <c r="F28" i="57"/>
  <c r="H35" i="57"/>
  <c r="H36" i="57"/>
  <c r="I55" i="43"/>
  <c r="E45" i="57"/>
  <c r="H39" i="57"/>
  <c r="F30" i="57"/>
  <c r="E41" i="57"/>
  <c r="E43" i="57"/>
  <c r="E47" i="57"/>
  <c r="E53" i="57"/>
  <c r="E50" i="42"/>
  <c r="G69" i="42"/>
  <c r="G68" i="42"/>
  <c r="F69" i="42"/>
  <c r="F68" i="42"/>
  <c r="E70" i="42"/>
  <c r="E69" i="42"/>
  <c r="D70" i="42"/>
  <c r="D69" i="42"/>
  <c r="D68" i="42"/>
  <c r="C70" i="42"/>
  <c r="C69" i="42"/>
  <c r="C68" i="42"/>
  <c r="E56" i="42"/>
  <c r="E55" i="42"/>
  <c r="E51" i="42"/>
  <c r="E49" i="42"/>
  <c r="E68" i="42"/>
  <c r="E45" i="42"/>
  <c r="E44" i="42"/>
  <c r="D45" i="42"/>
  <c r="F45" i="42"/>
  <c r="F56" i="42"/>
  <c r="F55" i="42"/>
  <c r="F57" i="42"/>
  <c r="D44" i="42"/>
  <c r="F44" i="42"/>
  <c r="D51" i="42"/>
  <c r="F51" i="42"/>
  <c r="F46" i="42"/>
  <c r="D46" i="42"/>
  <c r="D50" i="42"/>
  <c r="F50" i="42"/>
  <c r="F52" i="42"/>
  <c r="D52" i="42"/>
  <c r="E27" i="47"/>
  <c r="F27" i="47"/>
  <c r="F50" i="47"/>
  <c r="F25" i="47"/>
  <c r="F30" i="47"/>
  <c r="F53" i="47"/>
  <c r="E25" i="47"/>
  <c r="E31" i="47"/>
  <c r="C39" i="41"/>
  <c r="C38" i="41"/>
  <c r="D38" i="41"/>
  <c r="C37" i="41"/>
  <c r="D37" i="41"/>
  <c r="C36" i="41"/>
  <c r="D36" i="41"/>
  <c r="C35" i="41"/>
  <c r="D35" i="41"/>
  <c r="D39" i="41"/>
  <c r="F48" i="47"/>
  <c r="F51" i="47"/>
  <c r="E28" i="47"/>
  <c r="E29" i="47"/>
  <c r="F52" i="47"/>
  <c r="F31" i="47"/>
  <c r="F54" i="47"/>
  <c r="F28" i="47"/>
  <c r="E37" i="41"/>
  <c r="F37" i="41"/>
  <c r="E39" i="41"/>
  <c r="F39" i="41"/>
  <c r="E35" i="41"/>
  <c r="F35" i="41"/>
  <c r="E36" i="41"/>
  <c r="F36" i="41"/>
  <c r="E38" i="41"/>
  <c r="F38" i="41"/>
  <c r="C52" i="46"/>
  <c r="D49" i="46"/>
  <c r="D48" i="46"/>
  <c r="C49" i="46"/>
  <c r="C48" i="46"/>
  <c r="D44" i="46"/>
  <c r="D43" i="46"/>
  <c r="C44" i="46"/>
  <c r="C43" i="46"/>
  <c r="E50" i="46"/>
  <c r="E45" i="46"/>
  <c r="D59" i="39"/>
  <c r="E59" i="39"/>
  <c r="D58" i="39"/>
  <c r="E58" i="39"/>
  <c r="D57" i="39"/>
  <c r="E57" i="39"/>
  <c r="C59" i="39"/>
  <c r="C58" i="39"/>
  <c r="C57" i="39"/>
  <c r="F26" i="39"/>
  <c r="F27" i="39"/>
  <c r="F28" i="39"/>
  <c r="F24" i="39"/>
  <c r="F22" i="39"/>
  <c r="F29" i="47"/>
  <c r="F56" i="47"/>
  <c r="F58" i="47"/>
  <c r="F33" i="47"/>
  <c r="F35" i="47"/>
  <c r="E33" i="47"/>
  <c r="E49" i="46"/>
  <c r="E44" i="46"/>
  <c r="E48" i="46"/>
  <c r="E43" i="46"/>
  <c r="F57" i="39"/>
  <c r="G57" i="39"/>
  <c r="F59" i="39"/>
  <c r="G59" i="39"/>
  <c r="F58" i="39"/>
  <c r="G58" i="39"/>
  <c r="F44" i="46"/>
  <c r="F49" i="46"/>
  <c r="E53" i="46"/>
  <c r="D79" i="58"/>
  <c r="C79" i="58"/>
  <c r="C78" i="58"/>
  <c r="C45" i="58"/>
  <c r="C44" i="58"/>
  <c r="C43" i="58"/>
  <c r="C42" i="58"/>
  <c r="C41" i="58"/>
  <c r="C40" i="58"/>
  <c r="C39" i="58"/>
  <c r="C38" i="58"/>
  <c r="C37" i="58"/>
  <c r="C36" i="58"/>
  <c r="C22" i="58"/>
  <c r="D42" i="58"/>
  <c r="D43" i="58"/>
  <c r="D38" i="58"/>
  <c r="D41" i="58"/>
  <c r="D36" i="58"/>
  <c r="D44" i="58"/>
  <c r="D37" i="58"/>
  <c r="D45" i="58"/>
  <c r="D39" i="58"/>
  <c r="D40" i="58"/>
  <c r="D46" i="58"/>
  <c r="D47" i="58"/>
  <c r="E49" i="58"/>
  <c r="E50" i="58"/>
  <c r="E51" i="58"/>
  <c r="H125" i="50"/>
  <c r="H124" i="50"/>
  <c r="H123" i="50"/>
  <c r="H122" i="50"/>
  <c r="H121" i="50"/>
  <c r="F62" i="50"/>
  <c r="F63" i="50"/>
  <c r="F61" i="50"/>
  <c r="E125" i="50"/>
  <c r="E124" i="50"/>
  <c r="E123" i="50"/>
  <c r="E122" i="50"/>
  <c r="E121" i="50"/>
  <c r="C125" i="50"/>
  <c r="C124" i="50"/>
  <c r="C123" i="50"/>
  <c r="C122" i="50"/>
  <c r="C121" i="50"/>
  <c r="H119" i="50"/>
  <c r="F99" i="50"/>
  <c r="E99" i="50"/>
  <c r="D99" i="50"/>
  <c r="C97" i="50"/>
  <c r="C96" i="50"/>
  <c r="C95" i="50"/>
  <c r="C94" i="50"/>
  <c r="J97" i="50"/>
  <c r="H85" i="50"/>
  <c r="H84" i="50"/>
  <c r="G84" i="50"/>
  <c r="H83" i="50"/>
  <c r="G83" i="50"/>
  <c r="F83" i="50"/>
  <c r="H82" i="50"/>
  <c r="G82" i="50"/>
  <c r="F82" i="50"/>
  <c r="E82" i="50"/>
  <c r="H81" i="50"/>
  <c r="G81" i="50"/>
  <c r="F81" i="50"/>
  <c r="E81" i="50"/>
  <c r="D81" i="50"/>
  <c r="H80" i="50"/>
  <c r="G80" i="50"/>
  <c r="F80" i="50"/>
  <c r="E80" i="50"/>
  <c r="D80" i="50"/>
  <c r="C80" i="50"/>
  <c r="C86" i="50"/>
  <c r="C87" i="50"/>
  <c r="C79" i="50"/>
  <c r="D79" i="50"/>
  <c r="E79" i="50"/>
  <c r="F79" i="50"/>
  <c r="G79" i="50"/>
  <c r="H79" i="50"/>
  <c r="H74" i="50"/>
  <c r="H73" i="50"/>
  <c r="G73" i="50"/>
  <c r="H72" i="50"/>
  <c r="G72" i="50"/>
  <c r="F72" i="50"/>
  <c r="H71" i="50"/>
  <c r="G71" i="50"/>
  <c r="F71" i="50"/>
  <c r="E71" i="50"/>
  <c r="H70" i="50"/>
  <c r="G70" i="50"/>
  <c r="F70" i="50"/>
  <c r="E70" i="50"/>
  <c r="D70" i="50"/>
  <c r="H69" i="50"/>
  <c r="G69" i="50"/>
  <c r="F69" i="50"/>
  <c r="E69" i="50"/>
  <c r="D69" i="50"/>
  <c r="C69" i="50"/>
  <c r="C75" i="50"/>
  <c r="C76" i="50"/>
  <c r="C68" i="50"/>
  <c r="D68" i="50"/>
  <c r="E68" i="50"/>
  <c r="F68" i="50"/>
  <c r="G68" i="50"/>
  <c r="H68" i="50"/>
  <c r="I38" i="49"/>
  <c r="G25" i="49"/>
  <c r="D75" i="50"/>
  <c r="D76" i="50"/>
  <c r="F86" i="50"/>
  <c r="F95" i="50"/>
  <c r="E75" i="50"/>
  <c r="D94" i="50"/>
  <c r="D86" i="50"/>
  <c r="D87" i="50"/>
  <c r="G86" i="50"/>
  <c r="F96" i="50"/>
  <c r="F75" i="50"/>
  <c r="D95" i="50"/>
  <c r="H86" i="50"/>
  <c r="F97" i="50"/>
  <c r="G75" i="50"/>
  <c r="D96" i="50"/>
  <c r="H75" i="50"/>
  <c r="D97" i="50"/>
  <c r="E86" i="50"/>
  <c r="J94" i="50"/>
  <c r="J95" i="50"/>
  <c r="J96" i="50"/>
  <c r="F125" i="56"/>
  <c r="D102" i="56"/>
  <c r="E102" i="56"/>
  <c r="F102" i="56"/>
  <c r="G102" i="56"/>
  <c r="H102" i="56"/>
  <c r="I102" i="56"/>
  <c r="D96" i="56"/>
  <c r="E96" i="56"/>
  <c r="E95" i="56"/>
  <c r="F95" i="56"/>
  <c r="D91" i="56"/>
  <c r="E91" i="56"/>
  <c r="F91" i="56"/>
  <c r="G91" i="56"/>
  <c r="H91" i="56"/>
  <c r="I91" i="56"/>
  <c r="G70" i="56"/>
  <c r="E70" i="56"/>
  <c r="D33" i="56"/>
  <c r="D44" i="56"/>
  <c r="C44" i="56"/>
  <c r="D55" i="56"/>
  <c r="E55" i="56"/>
  <c r="F55" i="56"/>
  <c r="G55" i="56"/>
  <c r="H55" i="56"/>
  <c r="I55" i="56"/>
  <c r="I40" i="56"/>
  <c r="H40" i="56"/>
  <c r="H51" i="56"/>
  <c r="G40" i="56"/>
  <c r="G51" i="56"/>
  <c r="F40" i="56"/>
  <c r="F51" i="56"/>
  <c r="E40" i="56"/>
  <c r="E51" i="56"/>
  <c r="D40" i="56"/>
  <c r="D51" i="56"/>
  <c r="C40" i="56"/>
  <c r="C51" i="56"/>
  <c r="I39" i="56"/>
  <c r="H39" i="56"/>
  <c r="G39" i="56"/>
  <c r="G50" i="56"/>
  <c r="F39" i="56"/>
  <c r="F50" i="56"/>
  <c r="E39" i="56"/>
  <c r="E50" i="56"/>
  <c r="D39" i="56"/>
  <c r="D50" i="56"/>
  <c r="C39" i="56"/>
  <c r="C50" i="56"/>
  <c r="I38" i="56"/>
  <c r="H38" i="56"/>
  <c r="H49" i="56"/>
  <c r="G38" i="56"/>
  <c r="G49" i="56"/>
  <c r="F38" i="56"/>
  <c r="F49" i="56"/>
  <c r="E38" i="56"/>
  <c r="E49" i="56"/>
  <c r="D38" i="56"/>
  <c r="D49" i="56"/>
  <c r="C38" i="56"/>
  <c r="C49" i="56"/>
  <c r="I37" i="56"/>
  <c r="I48" i="56"/>
  <c r="H37" i="56"/>
  <c r="H48" i="56"/>
  <c r="G37" i="56"/>
  <c r="F37" i="56"/>
  <c r="E37" i="56"/>
  <c r="E48" i="56"/>
  <c r="D37" i="56"/>
  <c r="D48" i="56"/>
  <c r="C37" i="56"/>
  <c r="C48" i="56"/>
  <c r="I36" i="56"/>
  <c r="H36" i="56"/>
  <c r="G36" i="56"/>
  <c r="G47" i="56"/>
  <c r="F36" i="56"/>
  <c r="F47" i="56"/>
  <c r="E36" i="56"/>
  <c r="E47" i="56"/>
  <c r="D36" i="56"/>
  <c r="D47" i="56"/>
  <c r="C36" i="56"/>
  <c r="C47" i="56"/>
  <c r="I35" i="56"/>
  <c r="I46" i="56"/>
  <c r="H35" i="56"/>
  <c r="H46" i="56"/>
  <c r="G35" i="56"/>
  <c r="F35" i="56"/>
  <c r="E35" i="56"/>
  <c r="D35" i="56"/>
  <c r="C35" i="56"/>
  <c r="C46" i="56"/>
  <c r="I34" i="56"/>
  <c r="I45" i="56"/>
  <c r="H34" i="56"/>
  <c r="H45" i="56"/>
  <c r="G34" i="56"/>
  <c r="G45" i="56"/>
  <c r="F34" i="56"/>
  <c r="F45" i="56"/>
  <c r="E34" i="56"/>
  <c r="D34" i="56"/>
  <c r="C34" i="56"/>
  <c r="B94" i="55"/>
  <c r="B93" i="55"/>
  <c r="B92" i="55"/>
  <c r="B91" i="55"/>
  <c r="B90" i="55"/>
  <c r="B89" i="55"/>
  <c r="B88" i="55"/>
  <c r="B87" i="55"/>
  <c r="E49" i="55"/>
  <c r="E48" i="55"/>
  <c r="E47" i="55"/>
  <c r="E46" i="55"/>
  <c r="E50" i="55"/>
  <c r="E51" i="55"/>
  <c r="C42" i="55"/>
  <c r="D52" i="55"/>
  <c r="F52" i="55"/>
  <c r="F53" i="55"/>
  <c r="B53" i="55"/>
  <c r="C53" i="55"/>
  <c r="B52" i="55"/>
  <c r="C52" i="55"/>
  <c r="B51" i="55"/>
  <c r="C51" i="55"/>
  <c r="B50" i="55"/>
  <c r="C50" i="55"/>
  <c r="B49" i="55"/>
  <c r="C49" i="55"/>
  <c r="B48" i="55"/>
  <c r="C48" i="55"/>
  <c r="B47" i="55"/>
  <c r="C47" i="55"/>
  <c r="B46" i="55"/>
  <c r="C46" i="55"/>
  <c r="E76" i="50"/>
  <c r="E87" i="50"/>
  <c r="F87" i="50"/>
  <c r="G87" i="50"/>
  <c r="H87" i="50"/>
  <c r="F94" i="50"/>
  <c r="F76" i="50"/>
  <c r="I70" i="56"/>
  <c r="F56" i="56"/>
  <c r="F103" i="56"/>
  <c r="G57" i="56"/>
  <c r="G104" i="56"/>
  <c r="E33" i="56"/>
  <c r="E44" i="56"/>
  <c r="D46" i="56"/>
  <c r="C57" i="56"/>
  <c r="C104" i="56"/>
  <c r="E58" i="56"/>
  <c r="E105" i="56"/>
  <c r="D58" i="56"/>
  <c r="D105" i="56"/>
  <c r="D60" i="56"/>
  <c r="D107" i="56"/>
  <c r="D45" i="56"/>
  <c r="D56" i="56"/>
  <c r="D103" i="56"/>
  <c r="F46" i="56"/>
  <c r="E57" i="56"/>
  <c r="E104" i="56"/>
  <c r="I47" i="56"/>
  <c r="G58" i="56"/>
  <c r="G105" i="56"/>
  <c r="H50" i="56"/>
  <c r="C61" i="56"/>
  <c r="C108" i="56"/>
  <c r="C45" i="56"/>
  <c r="C56" i="56"/>
  <c r="C103" i="56"/>
  <c r="E46" i="56"/>
  <c r="D57" i="56"/>
  <c r="D104" i="56"/>
  <c r="H47" i="56"/>
  <c r="F58" i="56"/>
  <c r="F105" i="56"/>
  <c r="I49" i="56"/>
  <c r="E60" i="56"/>
  <c r="E107" i="56"/>
  <c r="E45" i="56"/>
  <c r="E56" i="56"/>
  <c r="E103" i="56"/>
  <c r="G46" i="56"/>
  <c r="F57" i="56"/>
  <c r="F104" i="56"/>
  <c r="F48" i="56"/>
  <c r="C59" i="56"/>
  <c r="C106" i="56"/>
  <c r="I50" i="56"/>
  <c r="D61" i="56"/>
  <c r="D108" i="56"/>
  <c r="G48" i="56"/>
  <c r="D59" i="56"/>
  <c r="D106" i="56"/>
  <c r="I51" i="56"/>
  <c r="C62" i="56"/>
  <c r="C109" i="56"/>
  <c r="E59" i="56"/>
  <c r="E106" i="56"/>
  <c r="F59" i="56"/>
  <c r="F106" i="56"/>
  <c r="G56" i="56"/>
  <c r="G103" i="56"/>
  <c r="I56" i="56"/>
  <c r="I103" i="56"/>
  <c r="H56" i="56"/>
  <c r="H103" i="56"/>
  <c r="H57" i="56"/>
  <c r="H104" i="56"/>
  <c r="C58" i="56"/>
  <c r="C105" i="56"/>
  <c r="C60" i="56"/>
  <c r="C107" i="56"/>
  <c r="B95" i="55"/>
  <c r="C73" i="55"/>
  <c r="C74" i="55"/>
  <c r="C71" i="55"/>
  <c r="C75" i="55"/>
  <c r="C70" i="55"/>
  <c r="C72" i="55"/>
  <c r="C76" i="55"/>
  <c r="C77" i="55"/>
  <c r="D51" i="55"/>
  <c r="F51" i="55"/>
  <c r="G51" i="55"/>
  <c r="G52" i="55"/>
  <c r="C54" i="55"/>
  <c r="G53" i="55"/>
  <c r="E89" i="50"/>
  <c r="E94" i="50"/>
  <c r="G94" i="50"/>
  <c r="H94" i="50"/>
  <c r="K94" i="50"/>
  <c r="F89" i="50"/>
  <c r="E95" i="50"/>
  <c r="G95" i="50"/>
  <c r="H95" i="50"/>
  <c r="K95" i="50"/>
  <c r="G76" i="50"/>
  <c r="F33" i="56"/>
  <c r="G33" i="56"/>
  <c r="D50" i="55"/>
  <c r="D49" i="55"/>
  <c r="G89" i="50"/>
  <c r="E96" i="50"/>
  <c r="G96" i="50"/>
  <c r="H96" i="50"/>
  <c r="K96" i="50"/>
  <c r="H76" i="50"/>
  <c r="H89" i="50"/>
  <c r="E97" i="50"/>
  <c r="F44" i="56"/>
  <c r="H33" i="56"/>
  <c r="G44" i="56"/>
  <c r="F50" i="55"/>
  <c r="G50" i="55"/>
  <c r="F49" i="55"/>
  <c r="G49" i="55"/>
  <c r="D48" i="55"/>
  <c r="G97" i="50"/>
  <c r="H97" i="50"/>
  <c r="K97" i="50"/>
  <c r="K100" i="50"/>
  <c r="D121" i="50"/>
  <c r="I33" i="56"/>
  <c r="I44" i="56"/>
  <c r="H44" i="56"/>
  <c r="F48" i="55"/>
  <c r="G48" i="55"/>
  <c r="D47" i="55"/>
  <c r="I123" i="50"/>
  <c r="I121" i="50"/>
  <c r="I125" i="50"/>
  <c r="I124" i="50"/>
  <c r="I122" i="50"/>
  <c r="D122" i="50"/>
  <c r="F121" i="50"/>
  <c r="J121" i="50"/>
  <c r="F47" i="55"/>
  <c r="G47" i="55"/>
  <c r="D46" i="55"/>
  <c r="F46" i="55"/>
  <c r="D123" i="50"/>
  <c r="F122" i="50"/>
  <c r="J122" i="50"/>
  <c r="F54" i="55"/>
  <c r="G54" i="55"/>
  <c r="G46" i="55"/>
  <c r="D124" i="50"/>
  <c r="F123" i="50"/>
  <c r="J123" i="50"/>
  <c r="B77" i="55"/>
  <c r="B73" i="55"/>
  <c r="B75" i="55"/>
  <c r="B70" i="55"/>
  <c r="B71" i="55"/>
  <c r="B74" i="55"/>
  <c r="B76" i="55"/>
  <c r="B72" i="55"/>
  <c r="F124" i="50"/>
  <c r="J124" i="50"/>
  <c r="D125" i="50"/>
  <c r="F125" i="50"/>
  <c r="J125" i="50"/>
  <c r="D76" i="55"/>
  <c r="E76" i="55"/>
  <c r="D74" i="55"/>
  <c r="E74" i="55"/>
  <c r="C91" i="55"/>
  <c r="D91" i="55"/>
  <c r="E91" i="55"/>
  <c r="D71" i="55"/>
  <c r="E71" i="55"/>
  <c r="D75" i="55"/>
  <c r="E75" i="55"/>
  <c r="D73" i="55"/>
  <c r="E73" i="55"/>
  <c r="D72" i="55"/>
  <c r="E72" i="55"/>
  <c r="D77" i="55"/>
  <c r="E77" i="55"/>
  <c r="D70" i="55"/>
  <c r="C87" i="55"/>
  <c r="B78" i="55"/>
  <c r="J126" i="50"/>
  <c r="C92" i="55"/>
  <c r="D92" i="55"/>
  <c r="E92" i="55"/>
  <c r="C89" i="55"/>
  <c r="D89" i="55"/>
  <c r="E89" i="55"/>
  <c r="C94" i="55"/>
  <c r="D94" i="55"/>
  <c r="E94" i="55"/>
  <c r="C93" i="55"/>
  <c r="D93" i="55"/>
  <c r="E93" i="55"/>
  <c r="C90" i="55"/>
  <c r="D90" i="55"/>
  <c r="E90" i="55"/>
  <c r="D87" i="55"/>
  <c r="E87" i="55"/>
  <c r="C88" i="55"/>
  <c r="D88" i="55"/>
  <c r="E88" i="55"/>
  <c r="D78" i="55"/>
  <c r="E70" i="55"/>
  <c r="E78" i="55"/>
  <c r="C95" i="55"/>
  <c r="D95" i="55"/>
  <c r="E95" i="55"/>
  <c r="C94" i="52"/>
  <c r="F121" i="52"/>
  <c r="D94" i="52"/>
  <c r="E94" i="52"/>
  <c r="F94" i="52"/>
  <c r="G94" i="52"/>
  <c r="H94" i="52"/>
  <c r="Q25" i="49"/>
  <c r="U25" i="49"/>
  <c r="Y25" i="49"/>
  <c r="Q37" i="49"/>
  <c r="U37" i="49"/>
  <c r="Y37" i="49"/>
  <c r="Y41" i="40"/>
  <c r="AK41" i="40"/>
  <c r="Y23" i="40"/>
  <c r="AK23" i="40"/>
  <c r="F45" i="53" l="1"/>
  <c r="E53" i="53"/>
  <c r="F119" i="53"/>
  <c r="D120" i="53"/>
  <c r="D121" i="53" s="1"/>
  <c r="D46" i="53"/>
  <c r="E127" i="53"/>
  <c r="F120" i="53" l="1"/>
  <c r="D122" i="53"/>
  <c r="F121" i="53"/>
  <c r="D47" i="53"/>
  <c r="F46" i="53"/>
  <c r="F47" i="53" l="1"/>
  <c r="D48" i="53"/>
  <c r="D123" i="53"/>
  <c r="F122" i="53"/>
  <c r="F123" i="53" l="1"/>
  <c r="D124" i="53"/>
  <c r="D49" i="53"/>
  <c r="F48" i="53"/>
  <c r="F49" i="53" l="1"/>
  <c r="D50" i="53"/>
  <c r="F124" i="53"/>
  <c r="D125" i="53"/>
  <c r="D126" i="53" l="1"/>
  <c r="F126" i="53" s="1"/>
  <c r="F125" i="53"/>
  <c r="F50" i="53"/>
  <c r="D51" i="53"/>
  <c r="F51" i="53" l="1"/>
  <c r="D52" i="53"/>
  <c r="F52" i="53" s="1"/>
  <c r="F53" i="53" s="1"/>
  <c r="F127" i="53"/>
</calcChain>
</file>

<file path=xl/sharedStrings.xml><?xml version="1.0" encoding="utf-8"?>
<sst xmlns="http://schemas.openxmlformats.org/spreadsheetml/2006/main" count="1113" uniqueCount="724">
  <si>
    <t>(c)</t>
  </si>
  <si>
    <t>ANSWER:</t>
  </si>
  <si>
    <t>(d)</t>
  </si>
  <si>
    <t>(e)</t>
  </si>
  <si>
    <t>(a)</t>
  </si>
  <si>
    <t>(b)</t>
  </si>
  <si>
    <t xml:space="preserve">(2.5 points)  Calculate.  </t>
  </si>
  <si>
    <t>(f)</t>
  </si>
  <si>
    <t>(g)</t>
  </si>
  <si>
    <t>(h)</t>
  </si>
  <si>
    <t>The response for part (a) is to be provided in the Word document.</t>
  </si>
  <si>
    <r>
      <t>(</t>
    </r>
    <r>
      <rPr>
        <i/>
        <sz val="12"/>
        <color rgb="FF002060"/>
        <rFont val="Times New Roman"/>
        <family val="1"/>
      </rPr>
      <t>4 points</t>
    </r>
    <r>
      <rPr>
        <sz val="12"/>
        <color rgb="FF002060"/>
        <rFont val="Times New Roman"/>
        <family val="1"/>
      </rPr>
      <t>)</t>
    </r>
  </si>
  <si>
    <t>Question 1</t>
  </si>
  <si>
    <r>
      <t>(</t>
    </r>
    <r>
      <rPr>
        <i/>
        <sz val="12"/>
        <color rgb="FF002060"/>
        <rFont val="Times New Roman"/>
        <family val="1"/>
      </rPr>
      <t>5 points</t>
    </r>
    <r>
      <rPr>
        <sz val="12"/>
        <color rgb="FF002060"/>
        <rFont val="Times New Roman"/>
        <family val="1"/>
      </rPr>
      <t>)</t>
    </r>
  </si>
  <si>
    <t>(i)</t>
  </si>
  <si>
    <t>(ii)</t>
  </si>
  <si>
    <t>(iii)</t>
  </si>
  <si>
    <t xml:space="preserve">Diminishing deductible per event where: </t>
  </si>
  <si>
    <r>
      <t>·</t>
    </r>
    <r>
      <rPr>
        <sz val="7"/>
        <color rgb="FF002060"/>
        <rFont val="Times New Roman"/>
        <family val="1"/>
      </rPr>
      <t xml:space="preserve">       </t>
    </r>
    <r>
      <rPr>
        <sz val="12"/>
        <color rgb="FF002060"/>
        <rFont val="Times New Roman"/>
        <family val="1"/>
      </rPr>
      <t>Losses with a total value between 50,000 and 100,000 would be proportionately shared between the garage owner and the insurer.</t>
    </r>
  </si>
  <si>
    <r>
      <t>(</t>
    </r>
    <r>
      <rPr>
        <i/>
        <sz val="12"/>
        <color rgb="FF002060"/>
        <rFont val="Times New Roman"/>
        <family val="1"/>
      </rPr>
      <t>0.5 points</t>
    </r>
    <r>
      <rPr>
        <sz val="12"/>
        <color rgb="FF002060"/>
        <rFont val="Times New Roman"/>
        <family val="1"/>
      </rPr>
      <t>)  State one advantage of a deductible from an insurer’s perspective.</t>
    </r>
  </si>
  <si>
    <r>
      <t>(</t>
    </r>
    <r>
      <rPr>
        <i/>
        <sz val="12"/>
        <color rgb="FF002060"/>
        <rFont val="Times New Roman"/>
        <family val="1"/>
      </rPr>
      <t>1.5 points</t>
    </r>
    <r>
      <rPr>
        <sz val="12"/>
        <color rgb="FF002060"/>
        <rFont val="Times New Roman"/>
        <family val="1"/>
      </rPr>
      <t>)  Calculate the claims paid by the insurer under each of the following scenarios:</t>
    </r>
  </si>
  <si>
    <r>
      <t>(</t>
    </r>
    <r>
      <rPr>
        <i/>
        <sz val="12"/>
        <color rgb="FF002060"/>
        <rFont val="Times New Roman"/>
        <family val="1"/>
      </rPr>
      <t>0.5 points</t>
    </r>
    <r>
      <rPr>
        <sz val="12"/>
        <color rgb="FF002060"/>
        <rFont val="Times New Roman"/>
        <family val="1"/>
      </rPr>
      <t>)  State one reason why insurers favor including a coinsurance requirement in property policies.</t>
    </r>
  </si>
  <si>
    <t>Question 2</t>
  </si>
  <si>
    <t>You are conducting a ratemaking analysis for a personal automobile line of business.  You are given the following information:</t>
  </si>
  <si>
    <t>The following rate changes have occurred since 2017:</t>
  </si>
  <si>
    <t>Effective Date</t>
  </si>
  <si>
    <t>Rate Change</t>
  </si>
  <si>
    <r>
      <t>·</t>
    </r>
    <r>
      <rPr>
        <sz val="7"/>
        <color rgb="FF002060"/>
        <rFont val="Times New Roman"/>
        <family val="1"/>
      </rPr>
      <t xml:space="preserve">       </t>
    </r>
    <r>
      <rPr>
        <sz val="12"/>
        <color rgb="FF002060"/>
        <rFont val="Times New Roman"/>
        <family val="1"/>
      </rPr>
      <t>All policies are written for twelve-month policy terms.</t>
    </r>
  </si>
  <si>
    <r>
      <t>·</t>
    </r>
    <r>
      <rPr>
        <sz val="7"/>
        <color rgb="FF002060"/>
        <rFont val="Times New Roman"/>
        <family val="1"/>
      </rPr>
      <t xml:space="preserve">       </t>
    </r>
    <r>
      <rPr>
        <sz val="12"/>
        <color rgb="FF002060"/>
        <rFont val="Times New Roman"/>
        <family val="1"/>
      </rPr>
      <t>All policies are assumed to be written uniformly throughout a calendar year.</t>
    </r>
  </si>
  <si>
    <r>
      <t>·</t>
    </r>
    <r>
      <rPr>
        <sz val="7"/>
        <color rgb="FF002060"/>
        <rFont val="Times New Roman"/>
        <family val="1"/>
      </rPr>
      <t xml:space="preserve">       </t>
    </r>
    <r>
      <rPr>
        <sz val="12"/>
        <color rgb="FF002060"/>
        <rFont val="Times New Roman"/>
        <family val="1"/>
      </rPr>
      <t xml:space="preserve">There was a regulatory change where all premiums in force on </t>
    </r>
  </si>
  <si>
    <t xml:space="preserve"> were reduced by </t>
  </si>
  <si>
    <r>
      <t>·</t>
    </r>
    <r>
      <rPr>
        <sz val="7"/>
        <color rgb="FF002060"/>
        <rFont val="Times New Roman"/>
        <family val="1"/>
      </rPr>
      <t xml:space="preserve">       </t>
    </r>
    <r>
      <rPr>
        <sz val="12"/>
        <color rgb="FF002060"/>
        <rFont val="Times New Roman"/>
        <family val="1"/>
      </rPr>
      <t xml:space="preserve">Calendar year 2019 earned premium is </t>
    </r>
  </si>
  <si>
    <r>
      <t>(</t>
    </r>
    <r>
      <rPr>
        <i/>
        <sz val="12"/>
        <color rgb="FF002060"/>
        <rFont val="Times New Roman"/>
        <family val="1"/>
      </rPr>
      <t>2 points</t>
    </r>
    <r>
      <rPr>
        <sz val="12"/>
        <color rgb="FF002060"/>
        <rFont val="Times New Roman"/>
        <family val="1"/>
      </rPr>
      <t>)  Calculate the 2019 earned premium adjusted to current rate levels for ratemaking purposes.</t>
    </r>
  </si>
  <si>
    <r>
      <t>(</t>
    </r>
    <r>
      <rPr>
        <i/>
        <sz val="12"/>
        <color rgb="FF002060"/>
        <rFont val="Times New Roman"/>
        <family val="1"/>
      </rPr>
      <t>1 point</t>
    </r>
    <r>
      <rPr>
        <sz val="12"/>
        <color rgb="FF002060"/>
        <rFont val="Times New Roman"/>
        <family val="1"/>
      </rPr>
      <t>)  Explain why the answer to part (a) would be higher if all policies were six-month policies instead of twelve-month policies.</t>
    </r>
  </si>
  <si>
    <t>The regulator is considering an increase to the state-mandated minimum policy limits effective January 1, 2023.  Premiums will change to reflect this policy limits change.</t>
  </si>
  <si>
    <r>
      <t>(</t>
    </r>
    <r>
      <rPr>
        <i/>
        <sz val="12"/>
        <color rgb="FF002060"/>
        <rFont val="Times New Roman"/>
        <family val="1"/>
      </rPr>
      <t>1 point</t>
    </r>
    <r>
      <rPr>
        <sz val="12"/>
        <color rgb="FF002060"/>
        <rFont val="Times New Roman"/>
        <family val="1"/>
      </rPr>
      <t>)  Explain what affect this change would have on the on-level calculation from part (a).</t>
    </r>
  </si>
  <si>
    <t>Question 3</t>
  </si>
  <si>
    <t>The response for part (b) is to be provided in the Word document.</t>
  </si>
  <si>
    <t xml:space="preserve">Insurer I purchases a per risk excess of loss reinsurance contract from Reinsurer R with a 5 million excess of 3 million limit.  The reinsurance contract also includes a 10 million annual aggregate deductible. </t>
  </si>
  <si>
    <t>Insurer I experiences the following claims covered by the policy:</t>
  </si>
  <si>
    <t>Claim</t>
  </si>
  <si>
    <t>Number</t>
  </si>
  <si>
    <t>Ultimate</t>
  </si>
  <si>
    <t>Claims</t>
  </si>
  <si>
    <r>
      <t>(</t>
    </r>
    <r>
      <rPr>
        <i/>
        <sz val="12"/>
        <color rgb="FF002060"/>
        <rFont val="Times New Roman"/>
        <family val="1"/>
      </rPr>
      <t>2 points</t>
    </r>
    <r>
      <rPr>
        <sz val="12"/>
        <color rgb="FF002060"/>
        <rFont val="Times New Roman"/>
        <family val="1"/>
      </rPr>
      <t>)  Calculate the amount paid by I and R for each claim.</t>
    </r>
  </si>
  <si>
    <t>Question 4</t>
  </si>
  <si>
    <t>You are estimating accident year (AY) 2021 ultimate claims by layer for a liability line of business. You are given the following information evaluated as of December 31, 2021:</t>
  </si>
  <si>
    <t xml:space="preserve">Selected Age-to-Age Factors </t>
  </si>
  <si>
    <t>for Reported Claims at Alternative Limits</t>
  </si>
  <si>
    <t>Limit</t>
  </si>
  <si>
    <t>24-36</t>
  </si>
  <si>
    <t>36-48</t>
  </si>
  <si>
    <t>48-60</t>
  </si>
  <si>
    <t>60-72</t>
  </si>
  <si>
    <t xml:space="preserve">  </t>
  </si>
  <si>
    <r>
      <t>Severity Relativity (</t>
    </r>
    <r>
      <rPr>
        <b/>
        <i/>
        <sz val="12"/>
        <color rgb="FF002060"/>
        <rFont val="Times New Roman"/>
        <family val="1"/>
      </rPr>
      <t>R</t>
    </r>
    <r>
      <rPr>
        <b/>
        <i/>
        <vertAlign val="subscript"/>
        <sz val="12"/>
        <color rgb="FF002060"/>
        <rFont val="Times New Roman"/>
        <family val="1"/>
      </rPr>
      <t>t</t>
    </r>
    <r>
      <rPr>
        <b/>
        <sz val="12"/>
        <color rgb="FF002060"/>
        <rFont val="Times New Roman"/>
        <family val="1"/>
      </rPr>
      <t>) to 2 Million Limit</t>
    </r>
  </si>
  <si>
    <r>
      <t>·</t>
    </r>
    <r>
      <rPr>
        <sz val="7"/>
        <color rgb="FF002060"/>
        <rFont val="Times New Roman"/>
        <family val="1"/>
      </rPr>
      <t xml:space="preserve">       </t>
    </r>
    <r>
      <rPr>
        <sz val="12"/>
        <color rgb="FF002060"/>
        <rFont val="Times New Roman"/>
        <family val="1"/>
      </rPr>
      <t>There is no claim development beyond 72 months.</t>
    </r>
  </si>
  <si>
    <r>
      <t>·</t>
    </r>
    <r>
      <rPr>
        <sz val="7"/>
        <color rgb="FF002060"/>
        <rFont val="Times New Roman"/>
        <family val="1"/>
      </rPr>
      <t xml:space="preserve">       </t>
    </r>
    <r>
      <rPr>
        <sz val="12"/>
        <color rgb="FF002060"/>
        <rFont val="Times New Roman"/>
        <family val="1"/>
      </rPr>
      <t xml:space="preserve">No claim for this line of business can exceed </t>
    </r>
  </si>
  <si>
    <r>
      <t>(</t>
    </r>
    <r>
      <rPr>
        <i/>
        <sz val="12"/>
        <color rgb="FF002060"/>
        <rFont val="Times New Roman"/>
        <family val="1"/>
      </rPr>
      <t>3 points</t>
    </r>
    <r>
      <rPr>
        <sz val="12"/>
        <color rgb="FF002060"/>
        <rFont val="Times New Roman"/>
        <family val="1"/>
      </rPr>
      <t>)  Calculate the ultimate claims for AY 2021 in the layer 500,000 excess of 500,000 using each of the following approaches:</t>
    </r>
  </si>
  <si>
    <r>
      <t>(i)</t>
    </r>
    <r>
      <rPr>
        <sz val="7"/>
        <color rgb="FF002060"/>
        <rFont val="Times New Roman"/>
        <family val="1"/>
      </rPr>
      <t xml:space="preserve">              </t>
    </r>
    <r>
      <rPr>
        <sz val="12"/>
        <color rgb="FF002060"/>
        <rFont val="Times New Roman"/>
        <family val="1"/>
      </rPr>
      <t>Selected development factors</t>
    </r>
  </si>
  <si>
    <r>
      <t>(ii)</t>
    </r>
    <r>
      <rPr>
        <sz val="7"/>
        <color rgb="FF002060"/>
        <rFont val="Times New Roman"/>
        <family val="1"/>
      </rPr>
      <t xml:space="preserve">            </t>
    </r>
    <r>
      <rPr>
        <sz val="12"/>
        <color rgb="FF002060"/>
        <rFont val="Times New Roman"/>
        <family val="1"/>
      </rPr>
      <t xml:space="preserve">Theoretical development factors based upon Siewert’s formulas  </t>
    </r>
  </si>
  <si>
    <r>
      <t>(iii)</t>
    </r>
    <r>
      <rPr>
        <sz val="7"/>
        <color rgb="FF002060"/>
        <rFont val="Times New Roman"/>
        <family val="1"/>
      </rPr>
      <t xml:space="preserve">          </t>
    </r>
    <r>
      <rPr>
        <sz val="12"/>
        <color rgb="FF002060"/>
        <rFont val="Times New Roman"/>
        <family val="1"/>
      </rPr>
      <t>Industry ILFs</t>
    </r>
  </si>
  <si>
    <r>
      <t>(</t>
    </r>
    <r>
      <rPr>
        <i/>
        <sz val="12"/>
        <color rgb="FF002060"/>
        <rFont val="Times New Roman"/>
        <family val="1"/>
      </rPr>
      <t>1 point</t>
    </r>
    <r>
      <rPr>
        <sz val="12"/>
        <color rgb="FF002060"/>
        <rFont val="Times New Roman"/>
        <family val="1"/>
      </rPr>
      <t>)  Calculate ILFs for 2,000,000 and 1,000,000, assuming a basic limit of 500,000, using each of the following approaches:</t>
    </r>
  </si>
  <si>
    <t>Question 5</t>
  </si>
  <si>
    <t>You are conducting an expense analysis to be used in ratemaking for a line of business, and are given the following information:</t>
  </si>
  <si>
    <t>Calendar Year</t>
  </si>
  <si>
    <t>Earned Premiums</t>
  </si>
  <si>
    <t>Earned Premiums at Current Rate Level</t>
  </si>
  <si>
    <t>Fixed Expenses</t>
  </si>
  <si>
    <r>
      <t>(</t>
    </r>
    <r>
      <rPr>
        <i/>
        <sz val="12"/>
        <color rgb="FF002060"/>
        <rFont val="Times New Roman"/>
        <family val="1"/>
      </rPr>
      <t>0.5 points</t>
    </r>
    <r>
      <rPr>
        <sz val="12"/>
        <color rgb="FF002060"/>
        <rFont val="Times New Roman"/>
        <family val="1"/>
      </rPr>
      <t>)  Recommend the annual fixed expense trend.  Justify your recommendation.</t>
    </r>
  </si>
  <si>
    <t>You are given the following additional information:</t>
  </si>
  <si>
    <r>
      <t>·</t>
    </r>
    <r>
      <rPr>
        <sz val="7"/>
        <color rgb="FF002060"/>
        <rFont val="Times New Roman"/>
        <family val="1"/>
      </rPr>
      <t xml:space="preserve">       </t>
    </r>
    <r>
      <rPr>
        <sz val="12"/>
        <color rgb="FF002060"/>
        <rFont val="Times New Roman"/>
        <family val="1"/>
      </rPr>
      <t>All policies are written as 12-month policies.</t>
    </r>
  </si>
  <si>
    <r>
      <t>·</t>
    </r>
    <r>
      <rPr>
        <sz val="7"/>
        <color rgb="FF002060"/>
        <rFont val="Times New Roman"/>
        <family val="1"/>
      </rPr>
      <t xml:space="preserve">       </t>
    </r>
    <r>
      <rPr>
        <sz val="12"/>
        <color rgb="FF002060"/>
        <rFont val="Times New Roman"/>
        <family val="1"/>
      </rPr>
      <t>The annual premium trend is</t>
    </r>
  </si>
  <si>
    <t xml:space="preserve"> for one year.</t>
  </si>
  <si>
    <r>
      <t>·</t>
    </r>
    <r>
      <rPr>
        <sz val="7"/>
        <color rgb="FF002060"/>
        <rFont val="Times New Roman"/>
        <family val="1"/>
      </rPr>
      <t xml:space="preserve">       </t>
    </r>
    <r>
      <rPr>
        <sz val="12"/>
        <color rgb="FF002060"/>
        <rFont val="Times New Roman"/>
        <family val="1"/>
      </rPr>
      <t>New rates will be effective</t>
    </r>
  </si>
  <si>
    <r>
      <t>(</t>
    </r>
    <r>
      <rPr>
        <i/>
        <sz val="12"/>
        <color rgb="FF002060"/>
        <rFont val="Times New Roman"/>
        <family val="1"/>
      </rPr>
      <t>2.5 points</t>
    </r>
    <r>
      <rPr>
        <sz val="12"/>
        <color rgb="FF002060"/>
        <rFont val="Times New Roman"/>
        <family val="1"/>
      </rPr>
      <t>)  Calculate the fixed expense ratio to be used in ratemaking, using a simple average from calendar years 2019, 2020 and 2021.</t>
    </r>
  </si>
  <si>
    <t>Question 6</t>
  </si>
  <si>
    <r>
      <t>(</t>
    </r>
    <r>
      <rPr>
        <i/>
        <sz val="12"/>
        <color rgb="FF002060"/>
        <rFont val="Times New Roman"/>
        <family val="1"/>
      </rPr>
      <t>12 points</t>
    </r>
    <r>
      <rPr>
        <sz val="12"/>
        <color rgb="FF002060"/>
        <rFont val="Times New Roman"/>
        <family val="1"/>
      </rPr>
      <t>)</t>
    </r>
  </si>
  <si>
    <t xml:space="preserve">You are estimating ultimate claims for a long-tailed line of business, and are given the following information: </t>
  </si>
  <si>
    <t>Accident Year</t>
  </si>
  <si>
    <t>Earned Exposures</t>
  </si>
  <si>
    <t>Counts</t>
  </si>
  <si>
    <t>Severity</t>
  </si>
  <si>
    <t>Total</t>
  </si>
  <si>
    <r>
      <t>·</t>
    </r>
    <r>
      <rPr>
        <sz val="7"/>
        <color rgb="FF002060"/>
        <rFont val="Times New Roman"/>
        <family val="1"/>
      </rPr>
      <t xml:space="preserve">       </t>
    </r>
    <r>
      <rPr>
        <sz val="12"/>
        <color rgb="FF002060"/>
        <rFont val="Times New Roman"/>
        <family val="1"/>
      </rPr>
      <t>The annual claim frequency trend is</t>
    </r>
  </si>
  <si>
    <r>
      <t>·</t>
    </r>
    <r>
      <rPr>
        <sz val="7"/>
        <color rgb="FF002060"/>
        <rFont val="Times New Roman"/>
        <family val="1"/>
      </rPr>
      <t xml:space="preserve">       </t>
    </r>
    <r>
      <rPr>
        <sz val="12"/>
        <color rgb="FF002060"/>
        <rFont val="Times New Roman"/>
        <family val="1"/>
      </rPr>
      <t>The annual claim severity trend is</t>
    </r>
  </si>
  <si>
    <r>
      <t>(</t>
    </r>
    <r>
      <rPr>
        <i/>
        <sz val="12"/>
        <color rgb="FF002060"/>
        <rFont val="Times New Roman"/>
        <family val="1"/>
      </rPr>
      <t>3 points</t>
    </r>
    <r>
      <rPr>
        <sz val="12"/>
        <color rgb="FF002060"/>
        <rFont val="Times New Roman"/>
        <family val="1"/>
      </rPr>
      <t>)  Calculate ultimate claims using the development-based frequency-severity method.</t>
    </r>
  </si>
  <si>
    <t>Reported Claims</t>
  </si>
  <si>
    <t>Paid Claims</t>
  </si>
  <si>
    <t>Reported Counts</t>
  </si>
  <si>
    <t>Closed Counts</t>
  </si>
  <si>
    <t>You are provided with the following average ultimate reported severities, adjusted for the change in case adequacy:</t>
  </si>
  <si>
    <t>Ultimate Reported Severities</t>
  </si>
  <si>
    <r>
      <t>(</t>
    </r>
    <r>
      <rPr>
        <i/>
        <sz val="12"/>
        <color rgb="FF002060"/>
        <rFont val="Times New Roman"/>
        <family val="1"/>
      </rPr>
      <t>1.5 points</t>
    </r>
    <r>
      <rPr>
        <sz val="12"/>
        <color rgb="FF002060"/>
        <rFont val="Times New Roman"/>
        <family val="1"/>
      </rPr>
      <t>)  Recommend the revised annual claim severity trend.  Justify your recommendation.</t>
    </r>
  </si>
  <si>
    <r>
      <t>(</t>
    </r>
    <r>
      <rPr>
        <i/>
        <sz val="12"/>
        <color rgb="FF002060"/>
        <rFont val="Times New Roman"/>
        <family val="1"/>
      </rPr>
      <t>1 point</t>
    </r>
    <r>
      <rPr>
        <sz val="12"/>
        <color rgb="FF002060"/>
        <rFont val="Times New Roman"/>
        <family val="1"/>
      </rPr>
      <t>)  Explain why you might expect the answer to part (c) to be lower than the original annual severity trend of 6.5%.</t>
    </r>
  </si>
  <si>
    <r>
      <t>(</t>
    </r>
    <r>
      <rPr>
        <i/>
        <sz val="12"/>
        <color rgb="FF002060"/>
        <rFont val="Times New Roman"/>
        <family val="1"/>
      </rPr>
      <t>2 points</t>
    </r>
    <r>
      <rPr>
        <sz val="12"/>
        <color rgb="FF002060"/>
        <rFont val="Times New Roman"/>
        <family val="1"/>
      </rPr>
      <t>)  Calculate expected claims for all accident years using the expected method and your recommended annual claim severity trend from part (c).  Justify any selections.</t>
    </r>
  </si>
  <si>
    <r>
      <t>(</t>
    </r>
    <r>
      <rPr>
        <i/>
        <sz val="12"/>
        <color rgb="FF002060"/>
        <rFont val="Times New Roman"/>
        <family val="1"/>
      </rPr>
      <t>1 point</t>
    </r>
    <r>
      <rPr>
        <sz val="12"/>
        <color rgb="FF002060"/>
        <rFont val="Times New Roman"/>
        <family val="1"/>
      </rPr>
      <t xml:space="preserve">)  Calculate ultimate claims for all accident years using the Bornhuetter Ferguson method. </t>
    </r>
  </si>
  <si>
    <t>You projected ultimate claims using several methods above.</t>
  </si>
  <si>
    <r>
      <t>(</t>
    </r>
    <r>
      <rPr>
        <i/>
        <sz val="12"/>
        <color rgb="FF002060"/>
        <rFont val="Times New Roman"/>
        <family val="1"/>
      </rPr>
      <t>1 point</t>
    </r>
    <r>
      <rPr>
        <sz val="12"/>
        <color rgb="FF002060"/>
        <rFont val="Times New Roman"/>
        <family val="1"/>
      </rPr>
      <t>)  Recommend the selected ultimate claims for accident year 2021 for this line of business.  Justify your recommendation.</t>
    </r>
  </si>
  <si>
    <t>Question 7</t>
  </si>
  <si>
    <t> Accident Year</t>
  </si>
  <si>
    <t>Reported Claim Frequency</t>
  </si>
  <si>
    <t>Ratios of Paid Claims to Reported Claims</t>
  </si>
  <si>
    <t>The following data triangles are provided here for your reference, but the response for question 7 is to be provided in the Word document.</t>
  </si>
  <si>
    <t>Question 8</t>
  </si>
  <si>
    <t>DSI provides insurance that covers the replacement of an electric vehicle’s battery when it is damaged in an accident.  You are given the following DSI claims experience for this product:</t>
  </si>
  <si>
    <t>Age Group</t>
  </si>
  <si>
    <t>Sex</t>
  </si>
  <si>
    <t>Number of Vehicles</t>
  </si>
  <si>
    <t>Estimated Ultimate</t>
  </si>
  <si>
    <t>25 and over</t>
  </si>
  <si>
    <t>Male</t>
  </si>
  <si>
    <t>Female</t>
  </si>
  <si>
    <t>Under 25</t>
  </si>
  <si>
    <r>
      <t>(</t>
    </r>
    <r>
      <rPr>
        <i/>
        <sz val="12"/>
        <color rgb="FF002060"/>
        <rFont val="Times New Roman"/>
        <family val="1"/>
      </rPr>
      <t>6 points</t>
    </r>
    <r>
      <rPr>
        <sz val="12"/>
        <color rgb="FF002060"/>
        <rFont val="Times New Roman"/>
        <family val="1"/>
      </rPr>
      <t>)</t>
    </r>
  </si>
  <si>
    <t xml:space="preserve">The company is using an underlying pure premium of </t>
  </si>
  <si>
    <t>Your colleague recommends increasing the pure premium to</t>
  </si>
  <si>
    <r>
      <t>(</t>
    </r>
    <r>
      <rPr>
        <i/>
        <sz val="12"/>
        <color rgb="FF002060"/>
        <rFont val="Times New Roman"/>
        <family val="1"/>
      </rPr>
      <t>1 point</t>
    </r>
    <r>
      <rPr>
        <sz val="12"/>
        <color rgb="FF002060"/>
        <rFont val="Times New Roman"/>
        <family val="1"/>
      </rPr>
      <t>)  Critique your colleague’s recommendation.</t>
    </r>
  </si>
  <si>
    <t>, where</t>
  </si>
  <si>
    <t xml:space="preserve"> is the overall average pure premium underlying the experience of all insureds with given risk characteristics,</t>
  </si>
  <si>
    <t xml:space="preserve">Another colleague proposes a single variable risk classification analysis for each of the variables, age group and sex.  </t>
  </si>
  <si>
    <t xml:space="preserve">The new premium for each combination of age group and sex is determined as </t>
  </si>
  <si>
    <r>
      <t>·</t>
    </r>
    <r>
      <rPr>
        <sz val="7"/>
        <color rgb="FF002060"/>
        <rFont val="Times New Roman"/>
        <family val="1"/>
      </rPr>
      <t xml:space="preserve">       </t>
    </r>
  </si>
  <si>
    <r>
      <t>(</t>
    </r>
    <r>
      <rPr>
        <i/>
        <sz val="12"/>
        <color rgb="FF002060"/>
        <rFont val="Times New Roman"/>
        <family val="1"/>
      </rPr>
      <t>i</t>
    </r>
    <r>
      <rPr>
        <sz val="12"/>
        <color rgb="FF002060"/>
        <rFont val="Times New Roman"/>
        <family val="1"/>
      </rPr>
      <t xml:space="preserve"> = 1 for 25 and over, </t>
    </r>
    <r>
      <rPr>
        <i/>
        <sz val="12"/>
        <color rgb="FF002060"/>
        <rFont val="Times New Roman"/>
        <family val="1"/>
      </rPr>
      <t>i</t>
    </r>
    <r>
      <rPr>
        <sz val="12"/>
        <color rgb="FF002060"/>
        <rFont val="Times New Roman"/>
        <family val="1"/>
      </rPr>
      <t xml:space="preserve"> = 2 for under 25)</t>
    </r>
  </si>
  <si>
    <r>
      <t>·</t>
    </r>
    <r>
      <rPr>
        <sz val="7"/>
        <color rgb="FF002060"/>
        <rFont val="Times New Roman"/>
        <family val="1"/>
      </rPr>
      <t xml:space="preserve">       </t>
    </r>
    <r>
      <rPr>
        <i/>
        <sz val="12"/>
        <color rgb="FF002060"/>
        <rFont val="Times New Roman"/>
        <family val="1"/>
      </rPr>
      <t>S</t>
    </r>
    <r>
      <rPr>
        <i/>
        <vertAlign val="subscript"/>
        <sz val="12"/>
        <color rgb="FF002060"/>
        <rFont val="Times New Roman"/>
        <family val="1"/>
      </rPr>
      <t>j</t>
    </r>
    <r>
      <rPr>
        <sz val="12"/>
        <color rgb="FF002060"/>
        <rFont val="Times New Roman"/>
        <family val="1"/>
      </rPr>
      <t xml:space="preserve"> is the relativity for an insured in risk class </t>
    </r>
    <r>
      <rPr>
        <i/>
        <sz val="12"/>
        <color rgb="FF002060"/>
        <rFont val="Times New Roman"/>
        <family val="1"/>
      </rPr>
      <t>j</t>
    </r>
    <r>
      <rPr>
        <sz val="12"/>
        <color rgb="FF002060"/>
        <rFont val="Times New Roman"/>
        <family val="1"/>
      </rPr>
      <t>, sex.</t>
    </r>
  </si>
  <si>
    <r>
      <t>(</t>
    </r>
    <r>
      <rPr>
        <i/>
        <sz val="12"/>
        <color rgb="FF002060"/>
        <rFont val="Times New Roman"/>
        <family val="1"/>
      </rPr>
      <t>j</t>
    </r>
    <r>
      <rPr>
        <sz val="12"/>
        <color rgb="FF002060"/>
        <rFont val="Times New Roman"/>
        <family val="1"/>
      </rPr>
      <t xml:space="preserve"> = 1 for male,  </t>
    </r>
    <r>
      <rPr>
        <i/>
        <sz val="12"/>
        <color rgb="FF002060"/>
        <rFont val="Times New Roman"/>
        <family val="1"/>
      </rPr>
      <t>j</t>
    </r>
    <r>
      <rPr>
        <sz val="12"/>
        <color rgb="FF002060"/>
        <rFont val="Times New Roman"/>
        <family val="1"/>
      </rPr>
      <t xml:space="preserve"> = 2 for female)</t>
    </r>
  </si>
  <si>
    <t xml:space="preserve">with the single variable risk classification analysis, </t>
  </si>
  <si>
    <r>
      <t>(</t>
    </r>
    <r>
      <rPr>
        <i/>
        <sz val="12"/>
        <color rgb="FF002060"/>
        <rFont val="Times New Roman"/>
        <family val="1"/>
      </rPr>
      <t>1.5 points</t>
    </r>
    <r>
      <rPr>
        <sz val="12"/>
        <color rgb="FF002060"/>
        <rFont val="Times New Roman"/>
        <family val="1"/>
      </rPr>
      <t xml:space="preserve">)  Calculate </t>
    </r>
    <r>
      <rPr>
        <i/>
        <sz val="12"/>
        <color rgb="FF002060"/>
        <rFont val="Times New Roman"/>
        <family val="1"/>
      </rPr>
      <t>A</t>
    </r>
    <r>
      <rPr>
        <i/>
        <vertAlign val="subscript"/>
        <sz val="12"/>
        <color rgb="FF002060"/>
        <rFont val="Times New Roman"/>
        <family val="1"/>
      </rPr>
      <t>2</t>
    </r>
    <r>
      <rPr>
        <sz val="12"/>
        <color rgb="FF002060"/>
        <rFont val="Times New Roman"/>
        <family val="1"/>
      </rPr>
      <t xml:space="preserve">, </t>
    </r>
    <r>
      <rPr>
        <i/>
        <sz val="12"/>
        <color rgb="FF002060"/>
        <rFont val="Times New Roman"/>
        <family val="1"/>
      </rPr>
      <t>S</t>
    </r>
    <r>
      <rPr>
        <i/>
        <vertAlign val="subscript"/>
        <sz val="12"/>
        <color rgb="FF002060"/>
        <rFont val="Times New Roman"/>
        <family val="1"/>
      </rPr>
      <t>2</t>
    </r>
    <r>
      <rPr>
        <sz val="12"/>
        <color rgb="FF002060"/>
        <rFont val="Times New Roman"/>
        <family val="1"/>
      </rPr>
      <t xml:space="preserve">, and </t>
    </r>
  </si>
  <si>
    <r>
      <t>(</t>
    </r>
    <r>
      <rPr>
        <i/>
        <sz val="12"/>
        <color rgb="FF002060"/>
        <rFont val="Times New Roman"/>
        <family val="1"/>
      </rPr>
      <t>1.5 points</t>
    </r>
    <r>
      <rPr>
        <sz val="12"/>
        <color rgb="FF002060"/>
        <rFont val="Times New Roman"/>
        <family val="1"/>
      </rPr>
      <t>)  Describe two approaches that address the issues identified in part (c).</t>
    </r>
  </si>
  <si>
    <r>
      <t xml:space="preserve">Credibility and homogeneity </t>
    </r>
    <r>
      <rPr>
        <sz val="12"/>
        <color rgb="FF002060"/>
        <rFont val="TimesNewRomanPSMT"/>
      </rPr>
      <t xml:space="preserve">frequently present conflicting objectives in the actuarial work supporting risk classification systems. </t>
    </r>
  </si>
  <si>
    <r>
      <t>(</t>
    </r>
    <r>
      <rPr>
        <i/>
        <sz val="12"/>
        <color rgb="FF002060"/>
        <rFont val="Times New Roman"/>
        <family val="1"/>
      </rPr>
      <t>0.5 points</t>
    </r>
    <r>
      <rPr>
        <sz val="12"/>
        <color rgb="FF002060"/>
        <rFont val="Times New Roman"/>
        <family val="1"/>
      </rPr>
      <t>)  Describe this conflict.</t>
    </r>
  </si>
  <si>
    <t>Question 9</t>
  </si>
  <si>
    <t>You are calculating premium liabilities as of December 31, 2021 for ABC Insurance.  You are given the following information:</t>
  </si>
  <si>
    <t>Gross Unearned Premium</t>
  </si>
  <si>
    <t>Selected Ultimate Claims Ratio, including ALAE</t>
  </si>
  <si>
    <r>
      <t>·</t>
    </r>
    <r>
      <rPr>
        <sz val="7"/>
        <color rgb="FF002060"/>
        <rFont val="Times New Roman"/>
        <family val="1"/>
      </rPr>
      <t xml:space="preserve">       </t>
    </r>
    <r>
      <rPr>
        <sz val="12"/>
        <color rgb="FF002060"/>
        <rFont val="Times New Roman"/>
        <family val="1"/>
      </rPr>
      <t>Policies are annual and are written uniformly throughout the year.</t>
    </r>
  </si>
  <si>
    <r>
      <t>·</t>
    </r>
    <r>
      <rPr>
        <sz val="7"/>
        <color rgb="FF002060"/>
        <rFont val="Times New Roman"/>
        <family val="1"/>
      </rPr>
      <t xml:space="preserve">       </t>
    </r>
    <r>
      <rPr>
        <sz val="12"/>
        <color rgb="FF002060"/>
        <rFont val="Times New Roman"/>
        <family val="1"/>
      </rPr>
      <t>Reinsurance does not cover ULAE or general expenses.</t>
    </r>
  </si>
  <si>
    <t>quota share treaty covering policies written in 2021.</t>
  </si>
  <si>
    <r>
      <t>·</t>
    </r>
    <r>
      <rPr>
        <sz val="7"/>
        <color rgb="FF002060"/>
        <rFont val="Times New Roman"/>
        <family val="1"/>
      </rPr>
      <t xml:space="preserve">       </t>
    </r>
    <r>
      <rPr>
        <sz val="12"/>
        <color rgb="FF002060"/>
        <rFont val="Times New Roman"/>
        <family val="1"/>
      </rPr>
      <t>The only reinsurance in force during 2021 was a</t>
    </r>
  </si>
  <si>
    <t>of gross claims including ALAE.</t>
  </si>
  <si>
    <r>
      <t>·</t>
    </r>
    <r>
      <rPr>
        <sz val="7"/>
        <color rgb="FF002060"/>
        <rFont val="Times New Roman"/>
        <family val="1"/>
      </rPr>
      <t xml:space="preserve">       </t>
    </r>
    <r>
      <rPr>
        <sz val="12"/>
        <color rgb="FF002060"/>
        <rFont val="Times New Roman"/>
        <family val="1"/>
      </rPr>
      <t xml:space="preserve">ULAE is estimated at </t>
    </r>
  </si>
  <si>
    <t>of gross premium.</t>
  </si>
  <si>
    <r>
      <t>·</t>
    </r>
    <r>
      <rPr>
        <sz val="7"/>
        <color rgb="FF002060"/>
        <rFont val="Times New Roman"/>
        <family val="1"/>
      </rPr>
      <t xml:space="preserve">       </t>
    </r>
    <r>
      <rPr>
        <sz val="12"/>
        <color rgb="FF002060"/>
        <rFont val="Times New Roman"/>
        <family val="1"/>
      </rPr>
      <t>The general expense ratio is</t>
    </r>
  </si>
  <si>
    <r>
      <t>·</t>
    </r>
    <r>
      <rPr>
        <sz val="7"/>
        <color rgb="FF002060"/>
        <rFont val="Times New Roman"/>
        <family val="1"/>
      </rPr>
      <t xml:space="preserve">       </t>
    </r>
    <r>
      <rPr>
        <sz val="12"/>
        <color rgb="FF002060"/>
        <rFont val="Times New Roman"/>
        <family val="1"/>
      </rPr>
      <t xml:space="preserve">The proportion of general expense applicable to unearned premium is </t>
    </r>
  </si>
  <si>
    <t xml:space="preserve"> of net earned premium.  The impact on the claim ratio is expected to be negligible. </t>
  </si>
  <si>
    <t>A new catastrophe excess of loss reinsurance policy will be added effective January 1, 2022.  This will cover claims incurred</t>
  </si>
  <si>
    <t xml:space="preserve"> in 2022 and apply after the quota share treaty.  The cost of the catastrophe reinsurance will be </t>
  </si>
  <si>
    <r>
      <t>(</t>
    </r>
    <r>
      <rPr>
        <i/>
        <sz val="12"/>
        <color rgb="FF002060"/>
        <rFont val="Times New Roman"/>
        <family val="1"/>
      </rPr>
      <t>3 points</t>
    </r>
    <r>
      <rPr>
        <sz val="12"/>
        <color rgb="FF002060"/>
        <rFont val="Times New Roman"/>
        <family val="1"/>
      </rPr>
      <t>)  Calculate the premium deficiency reserve or equity in the unearned premium as of December 31, 2021.</t>
    </r>
  </si>
  <si>
    <t xml:space="preserve">Recent legislative changes will increase the cost of all claims incurred after December 31, 2021 by </t>
  </si>
  <si>
    <r>
      <t>(</t>
    </r>
    <r>
      <rPr>
        <i/>
        <sz val="12"/>
        <color rgb="FF002060"/>
        <rFont val="Times New Roman"/>
        <family val="1"/>
      </rPr>
      <t>1 point</t>
    </r>
    <r>
      <rPr>
        <sz val="12"/>
        <color rgb="FF002060"/>
        <rFont val="Times New Roman"/>
        <family val="1"/>
      </rPr>
      <t>)  Recalculate the premium deficiency reserve or equity in the unearned premium as of December 31, 2021, incorporating this legislative change.</t>
    </r>
  </si>
  <si>
    <t>Question 10</t>
  </si>
  <si>
    <t>The response for question 10 is to be provided in the Word document.</t>
  </si>
  <si>
    <t>Question 11</t>
  </si>
  <si>
    <r>
      <t>(</t>
    </r>
    <r>
      <rPr>
        <i/>
        <sz val="12"/>
        <color rgb="FF002060"/>
        <rFont val="Times New Roman"/>
        <family val="1"/>
      </rPr>
      <t>1 point</t>
    </r>
    <r>
      <rPr>
        <sz val="12"/>
        <color rgb="FF002060"/>
        <rFont val="Times New Roman"/>
        <family val="1"/>
      </rPr>
      <t>)  Describe the option(s) for recognizing written exposures on each policy.</t>
    </r>
  </si>
  <si>
    <t>You are estimating unpaid unallocated loss adjustment expenses (ULAE) as of</t>
  </si>
  <si>
    <t>December 31, 2021 using the Wendy Johnson count-based method, and are given the following weights for three different claim types:</t>
  </si>
  <si>
    <t>Newly Reported Counts</t>
  </si>
  <si>
    <t>Open Counts</t>
  </si>
  <si>
    <r>
      <t>(</t>
    </r>
    <r>
      <rPr>
        <i/>
        <sz val="12"/>
        <color rgb="FF002060"/>
        <rFont val="Times New Roman"/>
        <family val="1"/>
      </rPr>
      <t>0.5 points</t>
    </r>
    <r>
      <rPr>
        <sz val="12"/>
        <color rgb="FF002060"/>
        <rFont val="Times New Roman"/>
        <family val="1"/>
      </rPr>
      <t>)  Describe one such special study.</t>
    </r>
  </si>
  <si>
    <t>Incremental Reported Counts</t>
  </si>
  <si>
    <t>Incremental Closed Counts</t>
  </si>
  <si>
    <t>Paid ULAE</t>
  </si>
  <si>
    <r>
      <t>·</t>
    </r>
    <r>
      <rPr>
        <sz val="7"/>
        <color rgb="FF002060"/>
        <rFont val="Times New Roman"/>
        <family val="1"/>
      </rPr>
      <t xml:space="preserve">       </t>
    </r>
    <r>
      <rPr>
        <sz val="12"/>
        <color rgb="FF002060"/>
        <rFont val="Times New Roman"/>
        <family val="1"/>
      </rPr>
      <t>The annual claim trend is 2%.</t>
    </r>
  </si>
  <si>
    <r>
      <t>(</t>
    </r>
    <r>
      <rPr>
        <i/>
        <sz val="12"/>
        <color rgb="FF002060"/>
        <rFont val="Times New Roman"/>
        <family val="1"/>
      </rPr>
      <t>3 points</t>
    </r>
    <r>
      <rPr>
        <sz val="12"/>
        <color rgb="FF002060"/>
        <rFont val="Times New Roman"/>
        <family val="1"/>
      </rPr>
      <t>)  Recommend an average ULAE per weighted count.  Justify your recommendation.</t>
    </r>
  </si>
  <si>
    <r>
      <t>(</t>
    </r>
    <r>
      <rPr>
        <i/>
        <sz val="12"/>
        <color rgb="FF002060"/>
        <rFont val="Times New Roman"/>
        <family val="1"/>
      </rPr>
      <t>1.5 points</t>
    </r>
    <r>
      <rPr>
        <sz val="12"/>
        <color rgb="FF002060"/>
        <rFont val="Times New Roman"/>
        <family val="1"/>
      </rPr>
      <t>)  Calculate estimated unpaid ULAE as of December 31, 2021.</t>
    </r>
  </si>
  <si>
    <t>Question 13</t>
  </si>
  <si>
    <t>The response for question 13 is to be provided in the Word document.</t>
  </si>
  <si>
    <t>Question 14</t>
  </si>
  <si>
    <t>You are performing a ratemaking analysis of a homeowners book of business for State Q.  As part of the analysis, you are reviewing loadings for catastrophes and large claims.</t>
  </si>
  <si>
    <t>You are given the following State Q ultimate pure premium for non-hurricane weather excluding hail (referred to as weather claims below) per 100 earned house years (EHY):</t>
  </si>
  <si>
    <t xml:space="preserve">Pure Premium per 100 EHY </t>
  </si>
  <si>
    <r>
      <t>·</t>
    </r>
    <r>
      <rPr>
        <sz val="7"/>
        <color rgb="FF002060"/>
        <rFont val="Times New Roman"/>
        <family val="1"/>
      </rPr>
      <t xml:space="preserve">       </t>
    </r>
    <r>
      <rPr>
        <sz val="12"/>
        <color rgb="FF002060"/>
        <rFont val="Times New Roman"/>
        <family val="1"/>
      </rPr>
      <t>All policies are written for 12-month policy terms.</t>
    </r>
  </si>
  <si>
    <t>for one year.</t>
  </si>
  <si>
    <r>
      <t>·</t>
    </r>
    <r>
      <rPr>
        <sz val="7"/>
        <color rgb="FF002060"/>
        <rFont val="Times New Roman"/>
        <family val="1"/>
      </rPr>
      <t xml:space="preserve">       </t>
    </r>
    <r>
      <rPr>
        <sz val="12"/>
        <color rgb="FF002060"/>
        <rFont val="Times New Roman"/>
        <family val="1"/>
      </rPr>
      <t xml:space="preserve">The new rates are to be effective </t>
    </r>
  </si>
  <si>
    <r>
      <t>(</t>
    </r>
    <r>
      <rPr>
        <i/>
        <sz val="12"/>
        <color rgb="FF002060"/>
        <rFont val="Times New Roman"/>
        <family val="1"/>
      </rPr>
      <t>1 point</t>
    </r>
    <r>
      <rPr>
        <sz val="12"/>
        <color rgb="FF002060"/>
        <rFont val="Times New Roman"/>
        <family val="1"/>
      </rPr>
      <t>)  Recommend the annual pure premium trend for weather claims.  Justify your recommendation.</t>
    </r>
  </si>
  <si>
    <r>
      <t>(</t>
    </r>
    <r>
      <rPr>
        <i/>
        <sz val="12"/>
        <color rgb="FF002060"/>
        <rFont val="Times New Roman"/>
        <family val="1"/>
      </rPr>
      <t>1.5 points</t>
    </r>
    <r>
      <rPr>
        <sz val="12"/>
        <color rgb="FF002060"/>
        <rFont val="Times New Roman"/>
        <family val="1"/>
      </rPr>
      <t>)  Recommend the trended ultimate pure premium for weather claims per 100 EHY to use in ratemaking.  Justify your recommendation.</t>
    </r>
  </si>
  <si>
    <t>Earned House Years</t>
  </si>
  <si>
    <t>Trended Earned Premiums at Current Rate Level</t>
  </si>
  <si>
    <t>Trended Ultimate Claims</t>
  </si>
  <si>
    <t>Accident Year Weights</t>
  </si>
  <si>
    <r>
      <t>·</t>
    </r>
    <r>
      <rPr>
        <sz val="7"/>
        <color rgb="FF002060"/>
        <rFont val="Times New Roman"/>
        <family val="1"/>
      </rPr>
      <t xml:space="preserve">       </t>
    </r>
    <r>
      <rPr>
        <sz val="12"/>
        <color rgb="FF002060"/>
        <rFont val="Times New Roman"/>
        <family val="1"/>
      </rPr>
      <t>The square root rule is used for partial credibility.</t>
    </r>
  </si>
  <si>
    <t xml:space="preserve"> EHY.</t>
  </si>
  <si>
    <r>
      <t>·</t>
    </r>
    <r>
      <rPr>
        <sz val="7"/>
        <color rgb="FF002060"/>
        <rFont val="Times New Roman"/>
        <family val="1"/>
      </rPr>
      <t xml:space="preserve">       </t>
    </r>
    <r>
      <rPr>
        <sz val="12"/>
        <color rgb="FF002060"/>
        <rFont val="Times New Roman"/>
        <family val="1"/>
      </rPr>
      <t xml:space="preserve">The full credibility standard is </t>
    </r>
  </si>
  <si>
    <r>
      <t>·</t>
    </r>
    <r>
      <rPr>
        <sz val="7"/>
        <color rgb="FF002060"/>
        <rFont val="Times New Roman"/>
        <family val="1"/>
      </rPr>
      <t xml:space="preserve">       </t>
    </r>
    <r>
      <rPr>
        <sz val="12"/>
        <color rgb="FF002060"/>
        <rFont val="Times New Roman"/>
        <family val="1"/>
      </rPr>
      <t xml:space="preserve">The trended adjusted country-wide ultimate claim ratio (including ULAE) is </t>
    </r>
  </si>
  <si>
    <r>
      <t>·</t>
    </r>
    <r>
      <rPr>
        <sz val="7"/>
        <color rgb="FF002060"/>
        <rFont val="Times New Roman"/>
        <family val="1"/>
      </rPr>
      <t xml:space="preserve">       </t>
    </r>
    <r>
      <rPr>
        <sz val="12"/>
        <color rgb="FF002060"/>
        <rFont val="Times New Roman"/>
        <family val="1"/>
      </rPr>
      <t xml:space="preserve">The ULAE to claim ratio is </t>
    </r>
  </si>
  <si>
    <t xml:space="preserve"> of premiums.</t>
  </si>
  <si>
    <r>
      <t>·</t>
    </r>
    <r>
      <rPr>
        <sz val="7"/>
        <color rgb="FF002060"/>
        <rFont val="Times New Roman"/>
        <family val="1"/>
      </rPr>
      <t xml:space="preserve">       </t>
    </r>
    <r>
      <rPr>
        <sz val="12"/>
        <color rgb="FF002060"/>
        <rFont val="Times New Roman"/>
        <family val="1"/>
      </rPr>
      <t>The selected fixed expenses are</t>
    </r>
  </si>
  <si>
    <r>
      <t>·</t>
    </r>
    <r>
      <rPr>
        <sz val="7"/>
        <color rgb="FF002060"/>
        <rFont val="Times New Roman"/>
        <family val="1"/>
      </rPr>
      <t xml:space="preserve">       </t>
    </r>
    <r>
      <rPr>
        <sz val="12"/>
        <color rgb="FF002060"/>
        <rFont val="Times New Roman"/>
        <family val="1"/>
      </rPr>
      <t>The selected variable expenses are</t>
    </r>
  </si>
  <si>
    <r>
      <t>·</t>
    </r>
    <r>
      <rPr>
        <sz val="7"/>
        <color rgb="FF002060"/>
        <rFont val="Times New Roman"/>
        <family val="1"/>
      </rPr>
      <t xml:space="preserve">       </t>
    </r>
    <r>
      <rPr>
        <sz val="12"/>
        <color rgb="FF002060"/>
        <rFont val="Times New Roman"/>
        <family val="1"/>
      </rPr>
      <t xml:space="preserve">The selected profit and contingencies are </t>
    </r>
  </si>
  <si>
    <r>
      <t>(</t>
    </r>
    <r>
      <rPr>
        <i/>
        <sz val="12"/>
        <color rgb="FF002060"/>
        <rFont val="Times New Roman"/>
        <family val="1"/>
      </rPr>
      <t>3 points</t>
    </r>
    <r>
      <rPr>
        <sz val="12"/>
        <color rgb="FF002060"/>
        <rFont val="Times New Roman"/>
        <family val="1"/>
      </rPr>
      <t>)  Calculate the indicated rate level change, including a loading for weather claims.</t>
    </r>
  </si>
  <si>
    <t>Question 15</t>
  </si>
  <si>
    <t>You are analyzing ultimate claims for a long-tailed line of business, and are given the following information:</t>
  </si>
  <si>
    <t>Accident</t>
  </si>
  <si>
    <t>Cumulative Paid Claims</t>
  </si>
  <si>
    <t>Year</t>
  </si>
  <si>
    <t>Paid Claims Age-to-Age Development Factors</t>
  </si>
  <si>
    <t>72-84</t>
  </si>
  <si>
    <t>84-96</t>
  </si>
  <si>
    <t>96-Ult.</t>
  </si>
  <si>
    <t>Selected</t>
  </si>
  <si>
    <t>The selected age-to-age development factors were recommended by your colleague as the simple average of all years.</t>
  </si>
  <si>
    <r>
      <t>(</t>
    </r>
    <r>
      <rPr>
        <i/>
        <sz val="12"/>
        <color rgb="FF002060"/>
        <rFont val="Times New Roman"/>
        <family val="1"/>
      </rPr>
      <t>0.5 points</t>
    </r>
    <r>
      <rPr>
        <sz val="12"/>
        <color rgb="FF002060"/>
        <rFont val="Times New Roman"/>
        <family val="1"/>
      </rPr>
      <t>)  Estimate ultimate claims using paid claims and your colleague’s selected age-to-age factors.</t>
    </r>
  </si>
  <si>
    <r>
      <t>(</t>
    </r>
    <r>
      <rPr>
        <i/>
        <sz val="12"/>
        <color rgb="FF002060"/>
        <rFont val="Times New Roman"/>
        <family val="1"/>
      </rPr>
      <t>1 point</t>
    </r>
    <r>
      <rPr>
        <sz val="12"/>
        <color rgb="FF002060"/>
        <rFont val="Times New Roman"/>
        <family val="1"/>
      </rPr>
      <t xml:space="preserve">)  Explain your rationale for each of the concerns identified in part (b). </t>
    </r>
  </si>
  <si>
    <r>
      <t>(</t>
    </r>
    <r>
      <rPr>
        <i/>
        <sz val="12"/>
        <color rgb="FF002060"/>
        <rFont val="Times New Roman"/>
        <family val="1"/>
      </rPr>
      <t>1 point</t>
    </r>
    <r>
      <rPr>
        <sz val="12"/>
        <color rgb="FF002060"/>
        <rFont val="Times New Roman"/>
        <family val="1"/>
      </rPr>
      <t>)  Recommend alternative selected age-to-age factors for the following. Justify your recommendations.</t>
    </r>
  </si>
  <si>
    <r>
      <t>(i)</t>
    </r>
    <r>
      <rPr>
        <sz val="7"/>
        <color rgb="FF002060"/>
        <rFont val="Times New Roman"/>
        <family val="1"/>
      </rPr>
      <t xml:space="preserve">              </t>
    </r>
    <r>
      <rPr>
        <sz val="12"/>
        <color rgb="FF002060"/>
        <rFont val="Times New Roman"/>
        <family val="1"/>
      </rPr>
      <t>12-24</t>
    </r>
  </si>
  <si>
    <r>
      <t>(ii)</t>
    </r>
    <r>
      <rPr>
        <sz val="7"/>
        <color rgb="FF002060"/>
        <rFont val="Times New Roman"/>
        <family val="1"/>
      </rPr>
      <t xml:space="preserve">            </t>
    </r>
    <r>
      <rPr>
        <sz val="12"/>
        <color rgb="FF002060"/>
        <rFont val="Times New Roman"/>
        <family val="1"/>
      </rPr>
      <t>36-48</t>
    </r>
  </si>
  <si>
    <t>Reported Claims Age-to-Age Development Factors</t>
  </si>
  <si>
    <r>
      <t>(</t>
    </r>
    <r>
      <rPr>
        <i/>
        <sz val="12"/>
        <color rgb="FF002060"/>
        <rFont val="Times New Roman"/>
        <family val="1"/>
      </rPr>
      <t>0.5 points</t>
    </r>
    <r>
      <rPr>
        <sz val="12"/>
        <color rgb="FF002060"/>
        <rFont val="Times New Roman"/>
        <family val="1"/>
      </rPr>
      <t>)  Estimate ultimate claims using reported claims and your colleague’s selected age-to-age factors.</t>
    </r>
  </si>
  <si>
    <r>
      <t>(</t>
    </r>
    <r>
      <rPr>
        <i/>
        <sz val="12"/>
        <color rgb="FF002060"/>
        <rFont val="Times New Roman"/>
        <family val="1"/>
      </rPr>
      <t>1 point</t>
    </r>
    <r>
      <rPr>
        <sz val="12"/>
        <color rgb="FF002060"/>
        <rFont val="Times New Roman"/>
        <family val="1"/>
      </rPr>
      <t>)  Provide two reasons why the ultimate claims from part (e) are higher than the ultimate claims from part (a).</t>
    </r>
  </si>
  <si>
    <t>Your colleague has noted that the latest diagonal of the reported age-to-age development factors triangle has increased significantly and has concluded that there has been an increase in the rate of claim settlement.</t>
  </si>
  <si>
    <r>
      <t>(</t>
    </r>
    <r>
      <rPr>
        <i/>
        <sz val="12"/>
        <color rgb="FF002060"/>
        <rFont val="Times New Roman"/>
        <family val="1"/>
      </rPr>
      <t>1.5 points</t>
    </r>
    <r>
      <rPr>
        <sz val="12"/>
        <color rgb="FF002060"/>
        <rFont val="Times New Roman"/>
        <family val="1"/>
      </rPr>
      <t>)  Evaluate your colleague’s conclusion.</t>
    </r>
  </si>
  <si>
    <t>Question 16</t>
  </si>
  <si>
    <t>Experience Period Calendar Quarter Ending</t>
  </si>
  <si>
    <t>Written Exposures</t>
  </si>
  <si>
    <t>Actual Written Premiums</t>
  </si>
  <si>
    <t>On-Level Written Premiums</t>
  </si>
  <si>
    <t>2018-1</t>
  </si>
  <si>
    <t>2018-2</t>
  </si>
  <si>
    <t>2018-3</t>
  </si>
  <si>
    <t>2018-4</t>
  </si>
  <si>
    <t>2019-1</t>
  </si>
  <si>
    <t>2019-2</t>
  </si>
  <si>
    <t>2019-3</t>
  </si>
  <si>
    <t>2019-4</t>
  </si>
  <si>
    <t>2020-1</t>
  </si>
  <si>
    <t>2020-2</t>
  </si>
  <si>
    <t>2020-3</t>
  </si>
  <si>
    <t>2020-4</t>
  </si>
  <si>
    <t>2021-1</t>
  </si>
  <si>
    <t>2021-2</t>
  </si>
  <si>
    <t>2021-3</t>
  </si>
  <si>
    <t>2021-4</t>
  </si>
  <si>
    <t>2022-1</t>
  </si>
  <si>
    <t>2022-2</t>
  </si>
  <si>
    <r>
      <t>(</t>
    </r>
    <r>
      <rPr>
        <i/>
        <sz val="12"/>
        <color rgb="FF002060"/>
        <rFont val="Times New Roman"/>
        <family val="1"/>
      </rPr>
      <t>2 points</t>
    </r>
    <r>
      <rPr>
        <sz val="12"/>
        <color rgb="FF002060"/>
        <rFont val="Times New Roman"/>
        <family val="1"/>
      </rPr>
      <t>)  Calculate the quarterly change in average written premiums using:</t>
    </r>
  </si>
  <si>
    <r>
      <t>(i)</t>
    </r>
    <r>
      <rPr>
        <sz val="7"/>
        <color rgb="FF002060"/>
        <rFont val="Times New Roman"/>
        <family val="1"/>
      </rPr>
      <t xml:space="preserve">              </t>
    </r>
    <r>
      <rPr>
        <sz val="12"/>
        <color rgb="FF002060"/>
        <rFont val="Times New Roman"/>
        <family val="1"/>
      </rPr>
      <t>Change in quarter-to-quarter averages</t>
    </r>
  </si>
  <si>
    <r>
      <t>(ii)</t>
    </r>
    <r>
      <rPr>
        <sz val="7"/>
        <color rgb="FF002060"/>
        <rFont val="Times New Roman"/>
        <family val="1"/>
      </rPr>
      <t xml:space="preserve">            </t>
    </r>
    <r>
      <rPr>
        <sz val="12"/>
        <color rgb="FF002060"/>
        <rFont val="Times New Roman"/>
        <family val="1"/>
      </rPr>
      <t>Change in rolling 4-quarter volume-weighted averages</t>
    </r>
  </si>
  <si>
    <r>
      <t>(</t>
    </r>
    <r>
      <rPr>
        <i/>
        <sz val="12"/>
        <color rgb="FF002060"/>
        <rFont val="Times New Roman"/>
        <family val="1"/>
      </rPr>
      <t>1 point</t>
    </r>
    <r>
      <rPr>
        <sz val="12"/>
        <color rgb="FF002060"/>
        <rFont val="Times New Roman"/>
        <family val="1"/>
      </rPr>
      <t>)  Recommend the annual premium trend.  Justify your recommendation.</t>
    </r>
  </si>
  <si>
    <r>
      <t>·</t>
    </r>
    <r>
      <rPr>
        <sz val="7"/>
        <color rgb="FF002060"/>
        <rFont val="Times New Roman"/>
        <family val="1"/>
      </rPr>
      <t xml:space="preserve">       </t>
    </r>
    <r>
      <rPr>
        <sz val="12"/>
        <color rgb="FF002060"/>
        <rFont val="Times New Roman"/>
        <family val="1"/>
      </rPr>
      <t>All policies are written for annual terms and are written and earned evenly throughout the year.</t>
    </r>
  </si>
  <si>
    <r>
      <t>·</t>
    </r>
    <r>
      <rPr>
        <sz val="7"/>
        <color rgb="FF002060"/>
        <rFont val="Times New Roman"/>
        <family val="1"/>
      </rPr>
      <t xml:space="preserve">       </t>
    </r>
    <r>
      <rPr>
        <sz val="12"/>
        <color rgb="FF002060"/>
        <rFont val="Times New Roman"/>
        <family val="1"/>
      </rPr>
      <t xml:space="preserve">First quarter 2022 on-level earned premiums are </t>
    </r>
  </si>
  <si>
    <r>
      <t>(</t>
    </r>
    <r>
      <rPr>
        <i/>
        <sz val="12"/>
        <color rgb="FF002060"/>
        <rFont val="Times New Roman"/>
        <family val="1"/>
      </rPr>
      <t>1 point</t>
    </r>
    <r>
      <rPr>
        <sz val="12"/>
        <color rgb="FF002060"/>
        <rFont val="Times New Roman"/>
        <family val="1"/>
      </rPr>
      <t>)  Calculate the first quarter 2022 on-level earned premiums trended to the future rating period.</t>
    </r>
  </si>
  <si>
    <t>Question 17</t>
  </si>
  <si>
    <r>
      <t>(7</t>
    </r>
    <r>
      <rPr>
        <i/>
        <sz val="12"/>
        <color rgb="FF002060"/>
        <rFont val="Times New Roman"/>
        <family val="1"/>
      </rPr>
      <t xml:space="preserve"> points</t>
    </r>
    <r>
      <rPr>
        <sz val="12"/>
        <color rgb="FF002060"/>
        <rFont val="Times New Roman"/>
        <family val="1"/>
      </rPr>
      <t>)</t>
    </r>
  </si>
  <si>
    <r>
      <t>(</t>
    </r>
    <r>
      <rPr>
        <i/>
        <sz val="12"/>
        <color rgb="FF002060"/>
        <rFont val="Times New Roman"/>
        <family val="1"/>
      </rPr>
      <t>0.5 points</t>
    </r>
    <r>
      <rPr>
        <sz val="12"/>
        <color rgb="FF002060"/>
        <rFont val="Times New Roman"/>
        <family val="1"/>
      </rPr>
      <t>)  Provide two reasons an actuary may want to estimate ultimate ALAE separate from ultimate indemnity.</t>
    </r>
  </si>
  <si>
    <t>You are asked to project ultimate ALAE evaluated as of December 31, 2021 using the Cape Cod method.  You are given the following information:</t>
  </si>
  <si>
    <t>Reported ALAE as of Dec. 31, 2021</t>
  </si>
  <si>
    <t>Reported ALAE Cumulative Development Factors</t>
  </si>
  <si>
    <r>
      <t> </t>
    </r>
    <r>
      <rPr>
        <b/>
        <sz val="12"/>
        <color rgb="FF002060"/>
        <rFont val="Times New Roman"/>
        <family val="1"/>
      </rPr>
      <t>Total</t>
    </r>
  </si>
  <si>
    <r>
      <t>·</t>
    </r>
    <r>
      <rPr>
        <sz val="7"/>
        <color rgb="FF002060"/>
        <rFont val="Times New Roman"/>
        <family val="1"/>
      </rPr>
      <t xml:space="preserve">       </t>
    </r>
    <r>
      <rPr>
        <sz val="12"/>
        <color rgb="FF002060"/>
        <rFont val="Times New Roman"/>
        <family val="1"/>
      </rPr>
      <t xml:space="preserve">The annual frequency trend is </t>
    </r>
  </si>
  <si>
    <r>
      <t>·</t>
    </r>
    <r>
      <rPr>
        <sz val="7"/>
        <color rgb="FF002060"/>
        <rFont val="Times New Roman"/>
        <family val="1"/>
      </rPr>
      <t xml:space="preserve">       </t>
    </r>
    <r>
      <rPr>
        <sz val="12"/>
        <color rgb="FF002060"/>
        <rFont val="Times New Roman"/>
        <family val="1"/>
      </rPr>
      <t xml:space="preserve">The annual severity trend is </t>
    </r>
  </si>
  <si>
    <t xml:space="preserve"> for all claims occurring on or after July 1, 2019.</t>
  </si>
  <si>
    <r>
      <t>·</t>
    </r>
    <r>
      <rPr>
        <sz val="7"/>
        <color rgb="FF002060"/>
        <rFont val="Times New Roman"/>
        <family val="1"/>
      </rPr>
      <t xml:space="preserve">       </t>
    </r>
    <r>
      <rPr>
        <sz val="12"/>
        <color rgb="FF002060"/>
        <rFont val="Times New Roman"/>
        <family val="1"/>
      </rPr>
      <t>Tort reform resulted in an estimated claim decrease of</t>
    </r>
  </si>
  <si>
    <r>
      <t>(</t>
    </r>
    <r>
      <rPr>
        <i/>
        <sz val="12"/>
        <color rgb="FF002060"/>
        <rFont val="Times New Roman"/>
        <family val="1"/>
      </rPr>
      <t>2.5 points</t>
    </r>
    <r>
      <rPr>
        <sz val="12"/>
        <color rgb="FF002060"/>
        <rFont val="Times New Roman"/>
        <family val="1"/>
      </rPr>
      <t>)  Calculate the adjusted expected pure premium for ALAE (i.e., ALAE cost per exposure) by accident year and in total using the Cape Cod method.</t>
    </r>
  </si>
  <si>
    <r>
      <t>(</t>
    </r>
    <r>
      <rPr>
        <i/>
        <sz val="12"/>
        <color rgb="FF002060"/>
        <rFont val="Times New Roman"/>
        <family val="1"/>
      </rPr>
      <t>0.5 points</t>
    </r>
    <r>
      <rPr>
        <sz val="12"/>
        <color rgb="FF002060"/>
        <rFont val="Times New Roman"/>
        <family val="1"/>
      </rPr>
      <t>)  Comment on whether or not the results from part (b) are consistent with the key assumption of the Cape Cod method.</t>
    </r>
  </si>
  <si>
    <r>
      <t>(</t>
    </r>
    <r>
      <rPr>
        <i/>
        <sz val="12"/>
        <color rgb="FF002060"/>
        <rFont val="Times New Roman"/>
        <family val="1"/>
      </rPr>
      <t>1.5 points</t>
    </r>
    <r>
      <rPr>
        <sz val="12"/>
        <color rgb="FF002060"/>
        <rFont val="Times New Roman"/>
        <family val="1"/>
      </rPr>
      <t>)  Calculate the projected ultimate ALAE by accident year using the Cape Cod method.</t>
    </r>
  </si>
  <si>
    <r>
      <t>(</t>
    </r>
    <r>
      <rPr>
        <i/>
        <sz val="12"/>
        <color rgb="FF002060"/>
        <rFont val="Times New Roman"/>
        <family val="1"/>
      </rPr>
      <t>1</t>
    </r>
    <r>
      <rPr>
        <sz val="12"/>
        <color rgb="FF002060"/>
        <rFont val="Times New Roman"/>
        <family val="1"/>
      </rPr>
      <t xml:space="preserve"> </t>
    </r>
    <r>
      <rPr>
        <i/>
        <sz val="12"/>
        <color rgb="FF002060"/>
        <rFont val="Times New Roman"/>
        <family val="1"/>
      </rPr>
      <t>point</t>
    </r>
    <r>
      <rPr>
        <sz val="12"/>
        <color rgb="FF002060"/>
        <rFont val="Times New Roman"/>
        <family val="1"/>
      </rPr>
      <t>)  Compare actual ALAE as of December 31, 2021 to expected ALAE from the Cape Cod method.</t>
    </r>
  </si>
  <si>
    <r>
      <t>(</t>
    </r>
    <r>
      <rPr>
        <i/>
        <sz val="12"/>
        <color rgb="FF002060"/>
        <rFont val="Times New Roman"/>
        <family val="1"/>
      </rPr>
      <t>0.5 points</t>
    </r>
    <r>
      <rPr>
        <sz val="12"/>
        <color rgb="FF002060"/>
        <rFont val="Times New Roman"/>
        <family val="1"/>
      </rPr>
      <t>)  Describe a scenario where an actuary would likely choose to apply the Generalized Cape Cod method over the Cape Cod method.</t>
    </r>
  </si>
  <si>
    <t>Question 18</t>
  </si>
  <si>
    <t>Nurses - Professional Liability</t>
  </si>
  <si>
    <t>Report Year</t>
  </si>
  <si>
    <t>Incremental Paid Claims (000) During Calendar Year</t>
  </si>
  <si>
    <t> Report Year</t>
  </si>
  <si>
    <t>Case Estimates (000) at Evaluation Date</t>
  </si>
  <si>
    <t>Dec. 31, 2015</t>
  </si>
  <si>
    <t>Dec. 31, 2016</t>
  </si>
  <si>
    <t>Dec. 31, 2017</t>
  </si>
  <si>
    <t>Dec. 31, 2018</t>
  </si>
  <si>
    <t>Dec. 31, 2019</t>
  </si>
  <si>
    <t>Dec. 31, 2020</t>
  </si>
  <si>
    <t>Dec. 31, 2021</t>
  </si>
  <si>
    <r>
      <t>(</t>
    </r>
    <r>
      <rPr>
        <i/>
        <sz val="12"/>
        <color rgb="FF002060"/>
        <rFont val="Times New Roman"/>
        <family val="1"/>
      </rPr>
      <t>1 point</t>
    </r>
    <r>
      <rPr>
        <sz val="12"/>
        <color rgb="FF002060"/>
        <rFont val="Times New Roman"/>
        <family val="1"/>
      </rPr>
      <t>)  Construct a cumulative reported claim development triangle by report year.</t>
    </r>
  </si>
  <si>
    <r>
      <t>(</t>
    </r>
    <r>
      <rPr>
        <i/>
        <sz val="12"/>
        <color rgb="FF002060"/>
        <rFont val="Times New Roman"/>
        <family val="1"/>
      </rPr>
      <t>0.5 points</t>
    </r>
    <r>
      <rPr>
        <sz val="12"/>
        <color rgb="FF002060"/>
        <rFont val="Times New Roman"/>
        <family val="1"/>
      </rPr>
      <t>)  Calculate the calendar year 2020 reported claims for the coverage above.</t>
    </r>
  </si>
  <si>
    <t xml:space="preserve">You are subsequently informed that the following six claim transactions were not captured in the previous dataset.  </t>
  </si>
  <si>
    <t>Trans. #</t>
  </si>
  <si>
    <t>Transaction Date</t>
  </si>
  <si>
    <t>Transaction Description</t>
  </si>
  <si>
    <t>Occurrence Date</t>
  </si>
  <si>
    <t>Report Date</t>
  </si>
  <si>
    <t>Change in Case Estimate (000)</t>
  </si>
  <si>
    <t>Indemnity Payment (000)</t>
  </si>
  <si>
    <t>subrogation recovery</t>
  </si>
  <si>
    <t>payment on reported claim file</t>
  </si>
  <si>
    <t>open and close new claim file</t>
  </si>
  <si>
    <t>payment &amp; change in case estimate</t>
  </si>
  <si>
    <t>open new claim file</t>
  </si>
  <si>
    <t>payment on reported claim file with no change in case estimate</t>
  </si>
  <si>
    <t>You are given the following carried IBNR reserves for the Nurses coverage above:</t>
  </si>
  <si>
    <t>IBNR Reserves (000)</t>
  </si>
  <si>
    <t>Question 19</t>
  </si>
  <si>
    <r>
      <t>(</t>
    </r>
    <r>
      <rPr>
        <i/>
        <sz val="12"/>
        <color rgb="FF002060"/>
        <rFont val="Times New Roman"/>
        <family val="1"/>
      </rPr>
      <t>3 points</t>
    </r>
    <r>
      <rPr>
        <sz val="12"/>
        <color rgb="FF002060"/>
        <rFont val="Times New Roman"/>
        <family val="1"/>
      </rPr>
      <t>)</t>
    </r>
  </si>
  <si>
    <t>You are calculating the experience rating modification for a commercial general liability policy.  You are given the following information:</t>
  </si>
  <si>
    <t>Reported Claims as of July 1, 2022</t>
  </si>
  <si>
    <t>Policy Year</t>
  </si>
  <si>
    <t>Claim ID</t>
  </si>
  <si>
    <t>Total Limits Indemnity</t>
  </si>
  <si>
    <t>ALAE</t>
  </si>
  <si>
    <t>July 1, 2019 – June 30, 2020</t>
  </si>
  <si>
    <t>July 1, 2020 – June 30, 2021</t>
  </si>
  <si>
    <t>Basic Limits Premiums Subject to Experience Rating</t>
  </si>
  <si>
    <t>Percentage of Claims Expected to be Unreported as of July 1, 2022</t>
  </si>
  <si>
    <r>
      <t>·</t>
    </r>
    <r>
      <rPr>
        <sz val="7"/>
        <color rgb="FF002060"/>
        <rFont val="Times New Roman"/>
        <family val="1"/>
      </rPr>
      <t xml:space="preserve">       </t>
    </r>
    <r>
      <rPr>
        <sz val="12"/>
        <color rgb="FF002060"/>
        <rFont val="Times New Roman"/>
        <family val="1"/>
      </rPr>
      <t xml:space="preserve">Partial credibility is assigned to claims using </t>
    </r>
    <r>
      <rPr>
        <i/>
        <sz val="12"/>
        <color rgb="FF002060"/>
        <rFont val="Times New Roman"/>
        <family val="1"/>
      </rPr>
      <t>basic limits premiums subject to</t>
    </r>
  </si>
  <si>
    <r>
      <t>·</t>
    </r>
    <r>
      <rPr>
        <sz val="7"/>
        <color rgb="FF002060"/>
        <rFont val="Times New Roman"/>
        <family val="1"/>
      </rPr>
      <t xml:space="preserve">       </t>
    </r>
    <r>
      <rPr>
        <sz val="12"/>
        <color rgb="FF002060"/>
        <rFont val="Times New Roman"/>
        <family val="1"/>
      </rPr>
      <t xml:space="preserve">The basic limit for indemnity is </t>
    </r>
  </si>
  <si>
    <r>
      <t>·</t>
    </r>
    <r>
      <rPr>
        <sz val="7"/>
        <color rgb="FF002060"/>
        <rFont val="Times New Roman"/>
        <family val="1"/>
      </rPr>
      <t xml:space="preserve">       </t>
    </r>
    <r>
      <rPr>
        <sz val="12"/>
        <color rgb="FF002060"/>
        <rFont val="Times New Roman"/>
        <family val="1"/>
      </rPr>
      <t xml:space="preserve">The Maximum Single Limit (MSL) is </t>
    </r>
  </si>
  <si>
    <r>
      <t>·</t>
    </r>
    <r>
      <rPr>
        <sz val="7"/>
        <color rgb="FF002060"/>
        <rFont val="Times New Roman"/>
        <family val="1"/>
      </rPr>
      <t xml:space="preserve">       </t>
    </r>
    <r>
      <rPr>
        <sz val="12"/>
        <color rgb="FF002060"/>
        <rFont val="Times New Roman"/>
        <family val="1"/>
      </rPr>
      <t>The Adjusted Expected Loss Ratio (AELR) is</t>
    </r>
  </si>
  <si>
    <r>
      <t>experience rating</t>
    </r>
    <r>
      <rPr>
        <sz val="12"/>
        <color rgb="FF002060"/>
        <rFont val="Times New Roman"/>
        <family val="1"/>
      </rPr>
      <t xml:space="preserve">, the square root rule and a full credibility standard of </t>
    </r>
  </si>
  <si>
    <t>Question 20</t>
  </si>
  <si>
    <t>Event #</t>
  </si>
  <si>
    <r>
      <t>Annual Probability of Hurricane (</t>
    </r>
    <r>
      <rPr>
        <b/>
        <i/>
        <sz val="12"/>
        <color rgb="FF002060"/>
        <rFont val="Times New Roman"/>
        <family val="1"/>
      </rPr>
      <t>p</t>
    </r>
    <r>
      <rPr>
        <b/>
        <sz val="12"/>
        <color rgb="FF002060"/>
        <rFont val="Times New Roman"/>
        <family val="1"/>
      </rPr>
      <t>)</t>
    </r>
  </si>
  <si>
    <r>
      <t>Expected Loss (</t>
    </r>
    <r>
      <rPr>
        <b/>
        <i/>
        <sz val="12"/>
        <color rgb="FF002060"/>
        <rFont val="Times New Roman"/>
        <family val="1"/>
      </rPr>
      <t>L</t>
    </r>
    <r>
      <rPr>
        <b/>
        <sz val="12"/>
        <color rgb="FF002060"/>
        <rFont val="Times New Roman"/>
        <family val="1"/>
      </rPr>
      <t>) Per $1,000 of Building Coverage</t>
    </r>
  </si>
  <si>
    <r>
      <t>(</t>
    </r>
    <r>
      <rPr>
        <i/>
        <sz val="12"/>
        <color rgb="FF002060"/>
        <rFont val="Times New Roman"/>
        <family val="1"/>
      </rPr>
      <t>0.5 points</t>
    </r>
    <r>
      <rPr>
        <sz val="12"/>
        <color rgb="FF002060"/>
        <rFont val="Times New Roman"/>
        <family val="1"/>
      </rPr>
      <t>)  Calculate the expected Average Annual Loss (AAL) per $1,000 of building coverage.</t>
    </r>
  </si>
  <si>
    <r>
      <t>·</t>
    </r>
    <r>
      <rPr>
        <sz val="7"/>
        <color rgb="FF002060"/>
        <rFont val="Times New Roman"/>
        <family val="1"/>
      </rPr>
      <t xml:space="preserve">       </t>
    </r>
    <r>
      <rPr>
        <sz val="12"/>
        <color rgb="FF002060"/>
        <rFont val="Times New Roman"/>
        <family val="1"/>
      </rPr>
      <t xml:space="preserve">The annual expense load is </t>
    </r>
  </si>
  <si>
    <r>
      <t>·</t>
    </r>
    <r>
      <rPr>
        <sz val="7"/>
        <color rgb="FF002060"/>
        <rFont val="Times New Roman"/>
        <family val="1"/>
      </rPr>
      <t xml:space="preserve">       </t>
    </r>
    <r>
      <rPr>
        <sz val="12"/>
        <color rgb="FF002060"/>
        <rFont val="Times New Roman"/>
        <family val="1"/>
      </rPr>
      <t xml:space="preserve">The average building coverage limit is </t>
    </r>
  </si>
  <si>
    <r>
      <t>(</t>
    </r>
    <r>
      <rPr>
        <i/>
        <sz val="12"/>
        <color rgb="FF002060"/>
        <rFont val="Times New Roman"/>
        <family val="1"/>
      </rPr>
      <t>2 points</t>
    </r>
    <r>
      <rPr>
        <sz val="12"/>
        <color rgb="FF002060"/>
        <rFont val="Times New Roman"/>
        <family val="1"/>
      </rPr>
      <t>)  Calculate Hurricane Wind Premium for the average building in the zip code using the method described in the American Academy of Actuaries monograph, Uses of Catastrophe Model Output.</t>
    </r>
  </si>
  <si>
    <t>Hurricane insurance costs can vary significantly by location within a state.</t>
  </si>
  <si>
    <t>Zip Code</t>
  </si>
  <si>
    <t>AAL</t>
  </si>
  <si>
    <t>250-year PML</t>
  </si>
  <si>
    <t>A</t>
  </si>
  <si>
    <t>B</t>
  </si>
  <si>
    <r>
      <t xml:space="preserve">You are given the expected AAL and </t>
    </r>
    <r>
      <rPr>
        <sz val="11"/>
        <color rgb="FF002060"/>
        <rFont val="Times New Roman"/>
        <family val="1"/>
      </rPr>
      <t>Probable Maximum Losses (PML)</t>
    </r>
    <r>
      <rPr>
        <sz val="12"/>
        <color rgb="FF002060"/>
        <rFont val="Times New Roman"/>
        <family val="1"/>
      </rPr>
      <t xml:space="preserve"> for hurricane events for two different zip codes in Florida.</t>
    </r>
  </si>
  <si>
    <r>
      <t>(</t>
    </r>
    <r>
      <rPr>
        <i/>
        <sz val="12"/>
        <color rgb="FF002060"/>
        <rFont val="Times New Roman"/>
        <family val="1"/>
      </rPr>
      <t>1 point</t>
    </r>
    <r>
      <rPr>
        <sz val="12"/>
        <color rgb="FF002060"/>
        <rFont val="Times New Roman"/>
        <family val="1"/>
      </rPr>
      <t>)  Identify which zip code has the highest potential for loss from hurricane events.  Justify your selection.</t>
    </r>
  </si>
  <si>
    <t xml:space="preserve">Straight deductible of </t>
  </si>
  <si>
    <t xml:space="preserve"> of the garage owner’s liability </t>
  </si>
  <si>
    <t xml:space="preserve"> per vehicle</t>
  </si>
  <si>
    <r>
      <t>·</t>
    </r>
    <r>
      <rPr>
        <sz val="7"/>
        <color rgb="FF002060"/>
        <rFont val="Times New Roman"/>
        <family val="1"/>
      </rPr>
      <t xml:space="preserve">       </t>
    </r>
    <r>
      <rPr>
        <sz val="12"/>
        <color rgb="FF002060"/>
        <rFont val="Times New Roman"/>
        <family val="1"/>
      </rPr>
      <t xml:space="preserve">The garage owner would fully retain any losses less than </t>
    </r>
  </si>
  <si>
    <t xml:space="preserve">vehicle owner for </t>
  </si>
  <si>
    <t xml:space="preserve"> and</t>
  </si>
  <si>
    <r>
      <t>·</t>
    </r>
    <r>
      <rPr>
        <sz val="7"/>
        <color rgb="FF002060"/>
        <rFont val="Times New Roman"/>
        <family val="1"/>
      </rPr>
      <t xml:space="preserve">       </t>
    </r>
    <r>
      <rPr>
        <sz val="12"/>
        <color rgb="FF002060"/>
        <rFont val="Times New Roman"/>
        <family val="1"/>
      </rPr>
      <t>The insurer would pay the total value of any covered loss greater than</t>
    </r>
  </si>
  <si>
    <t xml:space="preserve"> coinsurance requirement.</t>
  </si>
  <si>
    <r>
      <t>(i)</t>
    </r>
    <r>
      <rPr>
        <sz val="7"/>
        <color rgb="FF002060"/>
        <rFont val="Times New Roman"/>
        <family val="1"/>
      </rPr>
      <t xml:space="preserve">              </t>
    </r>
    <r>
      <rPr>
        <sz val="12"/>
        <color rgb="FF002060"/>
        <rFont val="Times New Roman"/>
        <family val="1"/>
      </rPr>
      <t>The insured purchased coverage of</t>
    </r>
  </si>
  <si>
    <r>
      <t>(ii)</t>
    </r>
    <r>
      <rPr>
        <sz val="7"/>
        <color rgb="FF002060"/>
        <rFont val="Times New Roman"/>
        <family val="1"/>
      </rPr>
      <t xml:space="preserve">            </t>
    </r>
    <r>
      <rPr>
        <sz val="12"/>
        <color rgb="FF002060"/>
        <rFont val="Times New Roman"/>
        <family val="1"/>
      </rPr>
      <t>The insured purchased coverage of</t>
    </r>
  </si>
  <si>
    <r>
      <t>(iii)</t>
    </r>
    <r>
      <rPr>
        <sz val="7"/>
        <color rgb="FF002060"/>
        <rFont val="Times New Roman"/>
        <family val="1"/>
      </rPr>
      <t xml:space="preserve">          </t>
    </r>
    <r>
      <rPr>
        <sz val="12"/>
        <color rgb="FF002060"/>
        <rFont val="Times New Roman"/>
        <family val="1"/>
      </rPr>
      <t xml:space="preserve">The insured purchased coverage of </t>
    </r>
  </si>
  <si>
    <t xml:space="preserve"> with a</t>
  </si>
  <si>
    <t>You may choose to draw on this diagram to assist you in responding to this question. Use of this diagram is not required for full credit.</t>
  </si>
  <si>
    <t>Industry-Based Increased Limit Factor (ILF)</t>
  </si>
  <si>
    <r>
      <t>·</t>
    </r>
    <r>
      <rPr>
        <sz val="7"/>
        <color rgb="FF002060"/>
        <rFont val="Times New Roman"/>
        <family val="1"/>
      </rPr>
      <t xml:space="preserve">       </t>
    </r>
    <r>
      <rPr>
        <sz val="12"/>
        <color rgb="FF002060"/>
        <rFont val="Times New Roman"/>
        <family val="1"/>
      </rPr>
      <t>The industry-based ILFs are applicable to claims.</t>
    </r>
  </si>
  <si>
    <r>
      <t>(</t>
    </r>
    <r>
      <rPr>
        <i/>
        <sz val="12"/>
        <color rgb="FF002060"/>
        <rFont val="Times New Roman"/>
        <family val="1"/>
      </rPr>
      <t>1 point</t>
    </r>
    <r>
      <rPr>
        <sz val="12"/>
        <color rgb="FF002060"/>
        <rFont val="Times New Roman"/>
        <family val="1"/>
      </rPr>
      <t>)  Calculate the historical annual trend in fixed expenses.</t>
    </r>
  </si>
  <si>
    <t>Projected Ultimate Based on Reported Claims Development Method</t>
  </si>
  <si>
    <t>Diagnostic testing revealed that this line of business has had strengthening of case estimates in calendar year 2021.  You are provided with the following additional information:</t>
  </si>
  <si>
    <r>
      <t>(</t>
    </r>
    <r>
      <rPr>
        <i/>
        <sz val="12"/>
        <color rgb="FF002060"/>
        <rFont val="Times New Roman"/>
        <family val="1"/>
      </rPr>
      <t>0.5 points</t>
    </r>
    <r>
      <rPr>
        <sz val="12"/>
        <color rgb="FF002060"/>
        <rFont val="Times New Roman"/>
        <family val="1"/>
      </rPr>
      <t>)  Calculate ultimate claims using the ultimate counts provided and ultimate reported severities adjusted for the change in case adequacy.</t>
    </r>
  </si>
  <si>
    <r>
      <t>(</t>
    </r>
    <r>
      <rPr>
        <i/>
        <sz val="12"/>
        <color rgb="FF002060"/>
        <rFont val="Times New Roman"/>
        <family val="1"/>
      </rPr>
      <t>1.5 points</t>
    </r>
    <r>
      <rPr>
        <sz val="12"/>
        <color rgb="FF002060"/>
        <rFont val="Times New Roman"/>
        <family val="1"/>
      </rPr>
      <t>)  Describe two possible issues, in general, with the use of a single variable risk classification analysis.</t>
    </r>
  </si>
  <si>
    <r>
      <rPr>
        <sz val="12"/>
        <color rgb="FF002060"/>
        <rFont val="Symbol"/>
        <family val="1"/>
        <charset val="2"/>
      </rPr>
      <t>·</t>
    </r>
    <r>
      <rPr>
        <i/>
        <sz val="12"/>
        <color rgb="FF002060"/>
        <rFont val="Times New Roman"/>
        <family val="1"/>
      </rPr>
      <t>    A</t>
    </r>
    <r>
      <rPr>
        <i/>
        <vertAlign val="subscript"/>
        <sz val="12"/>
        <color rgb="FF002060"/>
        <rFont val="Times New Roman"/>
        <family val="1"/>
      </rPr>
      <t>i</t>
    </r>
    <r>
      <rPr>
        <sz val="12"/>
        <color rgb="FF002060"/>
        <rFont val="Times New Roman"/>
        <family val="1"/>
      </rPr>
      <t xml:space="preserve"> is the relativity for an insured in risk class </t>
    </r>
    <r>
      <rPr>
        <i/>
        <sz val="12"/>
        <color rgb="FF002060"/>
        <rFont val="Times New Roman"/>
        <family val="1"/>
      </rPr>
      <t>i</t>
    </r>
    <r>
      <rPr>
        <sz val="12"/>
        <color rgb="FF002060"/>
        <rFont val="Times New Roman"/>
        <family val="1"/>
      </rPr>
      <t>, age group,</t>
    </r>
  </si>
  <si>
    <t xml:space="preserve">State Q Property excluding Weather Claims </t>
  </si>
  <si>
    <t>You are given the following additional information, where the selected age-to-age development factors were also recommended by your colleague as the simple average of all years.</t>
  </si>
  <si>
    <r>
      <t>·</t>
    </r>
    <r>
      <rPr>
        <sz val="7"/>
        <color rgb="FF002060"/>
        <rFont val="Times New Roman"/>
        <family val="1"/>
      </rPr>
      <t xml:space="preserve">       </t>
    </r>
    <r>
      <rPr>
        <sz val="12"/>
        <color rgb="FF002060"/>
        <rFont val="Times New Roman"/>
        <family val="1"/>
      </rPr>
      <t xml:space="preserve">New rates will be effective </t>
    </r>
  </si>
  <si>
    <r>
      <t>(</t>
    </r>
    <r>
      <rPr>
        <i/>
        <sz val="12"/>
        <color rgb="FF002060"/>
        <rFont val="Times New Roman"/>
        <family val="1"/>
      </rPr>
      <t>3 points</t>
    </r>
    <r>
      <rPr>
        <sz val="12"/>
        <color rgb="FF002060"/>
        <rFont val="Times New Roman"/>
        <family val="1"/>
      </rPr>
      <t>)  Update the reported claim development triangle from part (a) to include the missing claim transactions.</t>
    </r>
  </si>
  <si>
    <t>Your catastrophe model produces the following annual probabilities of hurricane events and expected loss for a portfolio of policies in a zip code in Florida:</t>
  </si>
  <si>
    <r>
      <t>(</t>
    </r>
    <r>
      <rPr>
        <i/>
        <sz val="12"/>
        <color rgb="FF002060"/>
        <rFont val="Times New Roman"/>
        <family val="1"/>
      </rPr>
      <t>0.5 points</t>
    </r>
    <r>
      <rPr>
        <sz val="12"/>
        <color rgb="FF002060"/>
        <rFont val="Times New Roman"/>
        <family val="1"/>
      </rPr>
      <t>)  Describe why hurricane deductibles tend to be larger in inland areas compared to coastal regions.</t>
    </r>
  </si>
  <si>
    <t xml:space="preserve"> per year for every vehicle in the rating plan.  </t>
  </si>
  <si>
    <t xml:space="preserve"> for all vehicles. </t>
  </si>
  <si>
    <t xml:space="preserve"> for one year. </t>
  </si>
  <si>
    <r>
      <t>(</t>
    </r>
    <r>
      <rPr>
        <i/>
        <sz val="12"/>
        <color rgb="FF002060"/>
        <rFont val="Times New Roman"/>
        <family val="1"/>
      </rPr>
      <t>0.5 points</t>
    </r>
    <r>
      <rPr>
        <sz val="12"/>
        <color rgb="FF002060"/>
        <rFont val="Times New Roman"/>
        <family val="1"/>
      </rPr>
      <t>)  Describe one way that large claims are differentiated from catastrophe claims when insurers are estimating loadings for ratemaking purposes.</t>
    </r>
  </si>
  <si>
    <r>
      <t>·</t>
    </r>
    <r>
      <rPr>
        <sz val="7"/>
        <color rgb="FF002060"/>
        <rFont val="Times New Roman"/>
        <family val="1"/>
      </rPr>
      <t xml:space="preserve">       </t>
    </r>
    <r>
      <rPr>
        <sz val="12"/>
        <color rgb="FF002060"/>
        <rFont val="Times New Roman"/>
        <family val="1"/>
      </rPr>
      <t>Policy number 101 is a semi-annual policy written on</t>
    </r>
  </si>
  <si>
    <r>
      <t>·</t>
    </r>
    <r>
      <rPr>
        <sz val="7"/>
        <color rgb="FF002060"/>
        <rFont val="Times New Roman"/>
        <family val="1"/>
      </rPr>
      <t xml:space="preserve">       </t>
    </r>
    <r>
      <rPr>
        <sz val="12"/>
        <color rgb="FF002060"/>
        <rFont val="Times New Roman"/>
        <family val="1"/>
      </rPr>
      <t>Policy number 102 is a two-year policy written on</t>
    </r>
  </si>
  <si>
    <r>
      <t>(</t>
    </r>
    <r>
      <rPr>
        <i/>
        <sz val="12"/>
        <color rgb="FF002060"/>
        <rFont val="Times New Roman"/>
        <family val="1"/>
      </rPr>
      <t>0.5 points</t>
    </r>
    <r>
      <rPr>
        <sz val="12"/>
        <color rgb="FF002060"/>
        <rFont val="Times New Roman"/>
        <family val="1"/>
      </rPr>
      <t xml:space="preserve">)  Calculate the percentage premium </t>
    </r>
    <r>
      <rPr>
        <i/>
        <sz val="12"/>
        <color rgb="FF002060"/>
        <rFont val="Times New Roman"/>
        <family val="1"/>
      </rPr>
      <t>earned</t>
    </r>
    <r>
      <rPr>
        <sz val="12"/>
        <color rgb="FF002060"/>
        <rFont val="Times New Roman"/>
        <family val="1"/>
      </rPr>
      <t xml:space="preserve"> on December 31, 2021 for policy number 101.</t>
    </r>
  </si>
  <si>
    <r>
      <t>(</t>
    </r>
    <r>
      <rPr>
        <i/>
        <sz val="12"/>
        <color rgb="FF002060"/>
        <rFont val="Times New Roman"/>
        <family val="1"/>
      </rPr>
      <t>0.5 points</t>
    </r>
    <r>
      <rPr>
        <sz val="12"/>
        <color rgb="FF002060"/>
        <rFont val="Times New Roman"/>
        <family val="1"/>
      </rPr>
      <t xml:space="preserve">)  Calculate the percentage premium </t>
    </r>
    <r>
      <rPr>
        <i/>
        <sz val="12"/>
        <color rgb="FF002060"/>
        <rFont val="Times New Roman"/>
        <family val="1"/>
      </rPr>
      <t>unearned</t>
    </r>
    <r>
      <rPr>
        <sz val="12"/>
        <color rgb="FF002060"/>
        <rFont val="Times New Roman"/>
        <family val="1"/>
      </rPr>
      <t xml:space="preserve"> on December 31, 2021 for policy number 102.</t>
    </r>
  </si>
  <si>
    <t>AY 2021 Reported Claims at Alternative Limits</t>
  </si>
  <si>
    <r>
      <t>(</t>
    </r>
    <r>
      <rPr>
        <i/>
        <sz val="12"/>
        <color rgb="FF002060"/>
        <rFont val="Times New Roman"/>
        <family val="1"/>
      </rPr>
      <t>2 points</t>
    </r>
    <r>
      <rPr>
        <sz val="12"/>
        <color rgb="FF002060"/>
        <rFont val="Times New Roman"/>
        <family val="1"/>
      </rPr>
      <t>)  Construct the reported claims triangle adjusted for the change in case adequacy.</t>
    </r>
  </si>
  <si>
    <t xml:space="preserve"> by setting the base class as "25 and over", "male."</t>
  </si>
  <si>
    <t>Question 12</t>
  </si>
  <si>
    <t>You are analyzing premium trend to use in a ratemaking analysis based on the following quarterly exposure and premium data:</t>
  </si>
  <si>
    <r>
      <t>(</t>
    </r>
    <r>
      <rPr>
        <i/>
        <sz val="12"/>
        <color rgb="FF002060"/>
        <rFont val="Times New Roman"/>
        <family val="1"/>
      </rPr>
      <t>0.5 points</t>
    </r>
    <r>
      <rPr>
        <sz val="12"/>
        <color rgb="FF002060"/>
        <rFont val="Times New Roman"/>
        <family val="1"/>
      </rPr>
      <t>)  Assess the actual versus expected results from part (e).</t>
    </r>
  </si>
  <si>
    <t>You are given the following claims-made data for Nurses Professional Liability coverage from the claims department.</t>
  </si>
  <si>
    <r>
      <t>(</t>
    </r>
    <r>
      <rPr>
        <i/>
        <sz val="12"/>
        <color rgb="FF002060"/>
        <rFont val="Times New Roman"/>
        <family val="1"/>
      </rPr>
      <t>0.5 points</t>
    </r>
    <r>
      <rPr>
        <sz val="12"/>
        <color rgb="FF002060"/>
        <rFont val="Times New Roman"/>
        <family val="1"/>
      </rPr>
      <t>)  Calculate the calendar year 2021 incurred claims.</t>
    </r>
  </si>
  <si>
    <t xml:space="preserve">Calculate the experience rating modification. </t>
  </si>
  <si>
    <t>Selected claim count weights are typically based on special studies.</t>
  </si>
  <si>
    <t>You are given the following projected reported and closed claim counts as of December 31, 2021:</t>
  </si>
  <si>
    <t>You are given the following information for two policies with exposures that are earned evenly throughout the policy period:</t>
  </si>
  <si>
    <t>For some lines of general insurance, written exposures are not earned evenly throughout the policy term.</t>
  </si>
  <si>
    <r>
      <t>(</t>
    </r>
    <r>
      <rPr>
        <i/>
        <sz val="12"/>
        <color rgb="FF002060"/>
        <rFont val="Times New Roman"/>
        <family val="1"/>
      </rPr>
      <t>1.5 points</t>
    </r>
    <r>
      <rPr>
        <sz val="12"/>
        <color rgb="FF002060"/>
        <rFont val="Times New Roman"/>
        <family val="1"/>
      </rPr>
      <t>)  Explain why a warranty policy is not likely to have exposures earned evenly throughout the policy term.</t>
    </r>
  </si>
  <si>
    <r>
      <t>(</t>
    </r>
    <r>
      <rPr>
        <i/>
        <sz val="12"/>
        <color rgb="FF002060"/>
        <rFont val="Times New Roman"/>
        <family val="1"/>
      </rPr>
      <t>1.5 points</t>
    </r>
    <r>
      <rPr>
        <sz val="12"/>
        <color rgb="FF002060"/>
        <rFont val="Times New Roman"/>
        <family val="1"/>
      </rPr>
      <t>)  Describe three types of coverages or policies, other than a warranty policy, where it may not be appropriate to assume premiums are earned evenly throughout the policy term.</t>
    </r>
  </si>
  <si>
    <t>A suburban city flooded, damaging 80 vehicles parked in an underground garage.  The garage's owner is liable to each</t>
  </si>
  <si>
    <t xml:space="preserve"> in property liability damage.  The garage owner maintains a large deductible policy which</t>
  </si>
  <si>
    <t>includes property damage liability coverage.</t>
  </si>
  <si>
    <r>
      <t>(</t>
    </r>
    <r>
      <rPr>
        <i/>
        <sz val="12"/>
        <color rgb="FF002060"/>
        <rFont val="Times New Roman"/>
        <family val="1"/>
      </rPr>
      <t>1.5 points</t>
    </r>
    <r>
      <rPr>
        <sz val="12"/>
        <color rgb="FF002060"/>
        <rFont val="Times New Roman"/>
        <family val="1"/>
      </rPr>
      <t>)  Calculate the losses retained by the garage owner under each of the following deductible scenarios:</t>
    </r>
  </si>
  <si>
    <t>Deductible of</t>
  </si>
  <si>
    <t xml:space="preserve">The garage facility was also damaged with losses of </t>
  </si>
  <si>
    <t xml:space="preserve"> The garage is valued at </t>
  </si>
  <si>
    <t>There is no deductible on the coverage for the facility.</t>
  </si>
  <si>
    <r>
      <t>(</t>
    </r>
    <r>
      <rPr>
        <i/>
        <sz val="12"/>
        <color rgb="FF002060"/>
        <rFont val="Times New Roman"/>
        <family val="1"/>
      </rPr>
      <t>0.5 points</t>
    </r>
    <r>
      <rPr>
        <sz val="12"/>
        <color rgb="FF002060"/>
        <rFont val="Times New Roman"/>
        <family val="1"/>
      </rPr>
      <t>)  State two concerns with your colleague’s selected age-to-age factors.</t>
    </r>
  </si>
  <si>
    <t>Trends for indemnity and ALAE are different</t>
  </si>
  <si>
    <t>ALAE is material and credible</t>
  </si>
  <si>
    <t>Any two of the following are acceptable:</t>
  </si>
  <si>
    <t>The relationship between ALAE and claims is changing over time</t>
  </si>
  <si>
    <t>A change in ALAE handling (e.g., change in legal billing)</t>
  </si>
  <si>
    <t>A change in payment/reporting pattern for indemnity</t>
  </si>
  <si>
    <t>The company wants to understand ALAE cost drivers separate from indemnity</t>
  </si>
  <si>
    <t>Adjustment Factors</t>
  </si>
  <si>
    <t>Expected % Reported</t>
  </si>
  <si>
    <t>Pure Premium Trend</t>
  </si>
  <si>
    <t>Tort Reform</t>
  </si>
  <si>
    <t>Adjusted Reported ALAE as of 12/31/21</t>
  </si>
  <si>
    <t>Annual pure premium trend:</t>
  </si>
  <si>
    <t>Adjusted Expected Pure Premium</t>
  </si>
  <si>
    <t>Used-Up Earned Exposures</t>
  </si>
  <si>
    <t>The adjusted expected pure premium shows significant variation by accident year.</t>
  </si>
  <si>
    <t>This is not consistent with the underlying assumption of the Cape Cod method, which assumes relatively constant pure premium for all years in the experience period.</t>
  </si>
  <si>
    <t>Expected Unreported %</t>
  </si>
  <si>
    <t>Expected Unreported</t>
  </si>
  <si>
    <t>Reported ALAE as of 12/31/21</t>
  </si>
  <si>
    <t>Expected Reported</t>
  </si>
  <si>
    <t>Test Actual vs. Expected</t>
  </si>
  <si>
    <t>Projected Ultimate ALAE</t>
  </si>
  <si>
    <t>Expected ALAE</t>
  </si>
  <si>
    <t>Actual vs. Expected as a % of Actual</t>
  </si>
  <si>
    <t>The actual vs. expected appears reasonable overall, however, variation by accident year is significant.</t>
  </si>
  <si>
    <t>Need to investigate/research/analyze further (or, need to perform additional diagnostics).</t>
  </si>
  <si>
    <t>Any one of the following is acceptable:</t>
  </si>
  <si>
    <r>
      <t>·</t>
    </r>
    <r>
      <rPr>
        <sz val="7"/>
        <color theme="1"/>
        <rFont val="Times New Roman"/>
        <family val="1"/>
      </rPr>
      <t xml:space="preserve">       </t>
    </r>
    <r>
      <rPr>
        <sz val="12"/>
        <color theme="1"/>
        <rFont val="Times New Roman"/>
        <family val="1"/>
      </rPr>
      <t>Want to vary the expected claims (or pure premium) by year.  The Cape Cod method assumes constant expected claims (or pure premium) for all years in experience period.</t>
    </r>
  </si>
  <si>
    <r>
      <t>·</t>
    </r>
    <r>
      <rPr>
        <sz val="7"/>
        <color theme="1"/>
        <rFont val="Times New Roman"/>
        <family val="1"/>
      </rPr>
      <t xml:space="preserve">       </t>
    </r>
    <r>
      <rPr>
        <sz val="12"/>
        <color theme="1"/>
        <rFont val="Times New Roman"/>
        <family val="1"/>
      </rPr>
      <t>Want to blend development method (experience-based) and Cape Cod method into one method.  A decay of 1.0 is the Cape Cod method.  A decay of 0 is the development method.</t>
    </r>
  </si>
  <si>
    <t>Cumulative Paid Claims (000)</t>
  </si>
  <si>
    <t>Reported Claims (000)</t>
  </si>
  <si>
    <t xml:space="preserve"> Reported Claims (000) = Cumulative Paid Claims + Case Estimates</t>
  </si>
  <si>
    <t>CY 2020 Reported Claims = CY 2020 (Paid Claims + Change in Case Reserves)</t>
  </si>
  <si>
    <t>=</t>
  </si>
  <si>
    <t>+</t>
  </si>
  <si>
    <t>transaction 4</t>
  </si>
  <si>
    <t>transaction 1</t>
  </si>
  <si>
    <t>transaction 3</t>
  </si>
  <si>
    <t>transaction 5</t>
  </si>
  <si>
    <t>transaction 6</t>
  </si>
  <si>
    <t>CY 2021 Incurred Claims = CY 2021 (Reported Claims + Change in IBNR)</t>
  </si>
  <si>
    <t>Left justify the  reported claims triangle by evaluation age:</t>
  </si>
  <si>
    <t>transaction 2 does not change reported triangle</t>
  </si>
  <si>
    <t>Triangle of missing information:</t>
  </si>
  <si>
    <t>Corrected reported claims triangle:</t>
  </si>
  <si>
    <t>(i) at the initial effective date</t>
  </si>
  <si>
    <t xml:space="preserve">2 months earned by end of year, therefore % earned = 2/6 = </t>
  </si>
  <si>
    <t>2 months earned by end of 2021</t>
  </si>
  <si>
    <t>July 15, 2021 to Dec 31, 2021 = 5.5 months</t>
  </si>
  <si>
    <t>Date written = July 15, 2021, therefore 5.5 months earned by Dec 31, 2021</t>
  </si>
  <si>
    <t>Therefore, 24-5.5 = 18.5 months unearned as of Dec. 31, 2021. % unearned = 18.5/24 =</t>
  </si>
  <si>
    <t>As a result, a pro rata earning of the premium is not appropriate given that the financial reporting objective is to earn revenue (i.e., premium) in accordance with the delivery of service (i.e., protection for the policyholder from loss).</t>
  </si>
  <si>
    <t>In warranty coverage, the exposure to claims is often significantly greater in the later years of the policy term than in the early years.</t>
  </si>
  <si>
    <t>A warranty policy is typically a multi-year policy.</t>
  </si>
  <si>
    <t>(i) property catastrophe coverage for hurricanes or hail coverage are examples of GI where exposure to claims is concentrated over specific months</t>
  </si>
  <si>
    <t>(ii) aggregate stop loss coverage has much greater exposure near the end of the policy term rather than during the initial months of coverage</t>
  </si>
  <si>
    <t>(iii) policies covering seasonal risks like snowmobile coverage have loss concentrated in the winter months</t>
  </si>
  <si>
    <t>(iv) ocean marine insurance may have cessation of shipping operations for three months</t>
  </si>
  <si>
    <t>(v) new home warranty policies and policies for product warranties that provide protection for mechanical breakdown or manufacturer defects are typically longer than one year and the exposure to claims is often significantly greater in the later years</t>
  </si>
  <si>
    <t>(vi) financial and performance guarantee</t>
  </si>
  <si>
    <t>(vii) retrospectively-rated policies have final premiums determined after the policy expiration, which should be written and earned when it enters the insurer's system</t>
  </si>
  <si>
    <t>(viii) reinstatement premium may be included within the original premium or may require additional premiums to be paid and can have a distorting effect on earned premium</t>
  </si>
  <si>
    <t>Any three of the following are acceptable:</t>
  </si>
  <si>
    <t>Policy number 101 should record written exposure at the initial effective date</t>
  </si>
  <si>
    <t>Policy number 102 can record written exposure based on:</t>
  </si>
  <si>
    <t>(ii) annual basis only, thus, the total written exposure is divided into equivalent annual values and recorded on the anniversary of the effective date</t>
  </si>
  <si>
    <t>Avg ULAE</t>
  </si>
  <si>
    <t>Trending</t>
  </si>
  <si>
    <t>Trend to</t>
  </si>
  <si>
    <t>Calendar</t>
  </si>
  <si>
    <t>Paid</t>
  </si>
  <si>
    <t>Newly</t>
  </si>
  <si>
    <t>Weighted</t>
  </si>
  <si>
    <t>Per Weighted</t>
  </si>
  <si>
    <t>Period</t>
  </si>
  <si>
    <t>2022 at</t>
  </si>
  <si>
    <t>Trended to</t>
  </si>
  <si>
    <t>ULAE</t>
  </si>
  <si>
    <t>Reported</t>
  </si>
  <si>
    <t>Open</t>
  </si>
  <si>
    <t>Closed</t>
  </si>
  <si>
    <t>Count</t>
  </si>
  <si>
    <t>in Years</t>
  </si>
  <si>
    <t>Selected Weights</t>
  </si>
  <si>
    <t xml:space="preserve">The Wendy Johnson method relies on selected weights required for maintaining, opening and closing a claim. </t>
  </si>
  <si>
    <t>In practice the weights would typically come from special studies (e.g., workload studies, time studies) from an insurer’s claims department.</t>
  </si>
  <si>
    <t>CY</t>
  </si>
  <si>
    <t>incremental</t>
  </si>
  <si>
    <t>cumulative</t>
  </si>
  <si>
    <t>Open Counts:</t>
  </si>
  <si>
    <t>Reported Counts by Year End</t>
  </si>
  <si>
    <t>Commentary on Question:</t>
  </si>
  <si>
    <t>Newly reported, open, and closed counts can be determined directly or by rearranging the triangles by year end instead of by development.</t>
  </si>
  <si>
    <t>Trend from</t>
  </si>
  <si>
    <t>Trended</t>
  </si>
  <si>
    <t>Estimated</t>
  </si>
  <si>
    <t>Average</t>
  </si>
  <si>
    <t>Unpaid</t>
  </si>
  <si>
    <t>CY 2018 newly reported counts:</t>
  </si>
  <si>
    <t>CY 2018 open counts</t>
  </si>
  <si>
    <t>CY 2018 closed counts</t>
  </si>
  <si>
    <t>Directly determining calendar year (CY) counts:</t>
  </si>
  <si>
    <t>Rearranging data triangles:</t>
  </si>
  <si>
    <t>Recommended average ULAE per weighted count</t>
  </si>
  <si>
    <t>Rationale: 2018 appears to be an outlier, so use average of 2019 to 2021</t>
  </si>
  <si>
    <t>AAL:</t>
  </si>
  <si>
    <t>Selected Risk Load:</t>
  </si>
  <si>
    <t>Hurricane Wind Cover in Zip-code</t>
  </si>
  <si>
    <t>Expense Load</t>
  </si>
  <si>
    <t>Hurricane Wind Premium per Coverage A</t>
  </si>
  <si>
    <t xml:space="preserve">Coastal regions experience higher wind speeds and losses are more likely to be severe, so deductibles tend to be a smaller portion of the overall loss. </t>
  </si>
  <si>
    <t>Because inland counties’ hurricane wind losses are likely to be lower, deductibles tend to be a higher percentage of overall loss.</t>
  </si>
  <si>
    <t>PML/AAL</t>
  </si>
  <si>
    <t>While zipcode B has the higher AAL, the ratio of PML/AAL is 37% higher for zipcode A indicating there is higher loss potential in zip code A.</t>
  </si>
  <si>
    <t>p×L^2</t>
  </si>
  <si>
    <t>p*L^2 – AAL^2</t>
  </si>
  <si>
    <t>Multiplier</t>
  </si>
  <si>
    <t xml:space="preserve">Amount paid by insurer </t>
  </si>
  <si>
    <t xml:space="preserve">Therefore, retained amount </t>
  </si>
  <si>
    <t xml:space="preserve"> - Moral and morale hazard</t>
  </si>
  <si>
    <t xml:space="preserve"> - Risk control</t>
  </si>
  <si>
    <t xml:space="preserve"> - Processing costs associated with small claims</t>
  </si>
  <si>
    <t xml:space="preserve"> - Exposure to catastrophic events</t>
  </si>
  <si>
    <t>Scenario</t>
  </si>
  <si>
    <t>Amount Purchased</t>
  </si>
  <si>
    <t>Coinsurance Percentage</t>
  </si>
  <si>
    <t>Amount of Insurance Required</t>
  </si>
  <si>
    <t>Coinsurance Penalty Percentage</t>
  </si>
  <si>
    <t>Amount Paid by Insured</t>
  </si>
  <si>
    <t xml:space="preserve"> - Coinsurance is a technique used by insurers to limit their liability and assist insureds in managing their costs of coverage (or sharing the risk with the insureds).</t>
  </si>
  <si>
    <t xml:space="preserve"> - Essentially, coinsurance is used to motivate insureds to purchase the appropriate amount of insurance (close to full coverage) and to penalize those that do not.</t>
  </si>
  <si>
    <t>If the company raises the base rate from 100 to 110, it might be able to achieve breakeven provided the distribution of the portfolio does not change.</t>
  </si>
  <si>
    <t>However, it is very likely that the lower risks (25 and over and/or female) leave the company while the higher risks (under age 25 and/or male) migrate to the portfolio more, which would decrease the profitability again.</t>
  </si>
  <si>
    <t>Number of the Insureds</t>
  </si>
  <si>
    <t>Total Claims</t>
  </si>
  <si>
    <t>Pure Premium</t>
  </si>
  <si>
    <t>25 and over (1)</t>
  </si>
  <si>
    <t>Under 25 (2)</t>
  </si>
  <si>
    <t>Male (1)</t>
  </si>
  <si>
    <t>Female (2)</t>
  </si>
  <si>
    <t>Age Group (i)</t>
  </si>
  <si>
    <t>Sex (j)</t>
  </si>
  <si>
    <r>
      <t>Relativity (</t>
    </r>
    <r>
      <rPr>
        <sz val="12"/>
        <color theme="1"/>
        <rFont val="Times New Roman"/>
        <family val="1"/>
      </rPr>
      <t>Sj)</t>
    </r>
  </si>
  <si>
    <r>
      <t>Relativity (</t>
    </r>
    <r>
      <rPr>
        <sz val="12"/>
        <color theme="1"/>
        <rFont val="Times New Roman"/>
        <family val="1"/>
      </rPr>
      <t>Ai)</t>
    </r>
  </si>
  <si>
    <t>Solve for:</t>
  </si>
  <si>
    <r>
      <rPr>
        <sz val="12"/>
        <color theme="1"/>
        <rFont val="Calibri"/>
        <family val="2"/>
      </rPr>
      <t>μ</t>
    </r>
    <r>
      <rPr>
        <sz val="12"/>
        <color theme="1"/>
        <rFont val="Times New Roman"/>
        <family val="1"/>
      </rPr>
      <t>(480*1.0*1.0 + 160*1.0*0.571 + 240*1.481*1.0 + 120*1.481*0.571)</t>
    </r>
  </si>
  <si>
    <t>μ</t>
  </si>
  <si>
    <t>S2</t>
  </si>
  <si>
    <t>A2</t>
  </si>
  <si>
    <t>Distributional bias:</t>
  </si>
  <si>
    <t xml:space="preserve">It occurs when there are differences in the distribution of exposures by risk characteristic between risk classes. </t>
  </si>
  <si>
    <t>Dependence:</t>
  </si>
  <si>
    <t xml:space="preserve">It occurs when knowing the risk class of an insured within one risk characteristic changes the true relativities for the risk classes in another risk characteristic from  what they would be without that knowledge. </t>
  </si>
  <si>
    <t>Minimum bias procedure/method:</t>
  </si>
  <si>
    <t>Generalized Linear Models (GLMs):</t>
  </si>
  <si>
    <t>Set a relationship between a response variable and several predictor variables using a linear predictor and an appropriate link function.</t>
  </si>
  <si>
    <t>Solve the multiple non-linear equations with the unknown multiplicative factors iteratively.</t>
  </si>
  <si>
    <t>Increasing homogeneity of a class typically means a smaller class which may have lower credibility due to smaller size.</t>
  </si>
  <si>
    <t>or</t>
  </si>
  <si>
    <t xml:space="preserve">There is an inverse relationship been credibility and homogeneity. </t>
  </si>
  <si>
    <t>Excess</t>
  </si>
  <si>
    <t>AAD</t>
  </si>
  <si>
    <t>Claim Number</t>
  </si>
  <si>
    <t>Ultimate Claims</t>
  </si>
  <si>
    <t>I (before AAD)</t>
  </si>
  <si>
    <t>Amount Paid by I (considering AAD)</t>
  </si>
  <si>
    <t>Amount Paid by R</t>
  </si>
  <si>
    <t>Gross</t>
  </si>
  <si>
    <t>Net</t>
  </si>
  <si>
    <t>Unearned Premium</t>
  </si>
  <si>
    <t>Expected Claims</t>
  </si>
  <si>
    <t>General expenses</t>
  </si>
  <si>
    <t>Premium Liabilities</t>
  </si>
  <si>
    <t>Equity</t>
  </si>
  <si>
    <t>Equity/(deficiency)</t>
  </si>
  <si>
    <t>Catastrophe reinsurance cost</t>
  </si>
  <si>
    <t>Deficiency</t>
  </si>
  <si>
    <t>Claim ratio</t>
  </si>
  <si>
    <t>CDF</t>
  </si>
  <si>
    <t>1M Limit</t>
  </si>
  <si>
    <t>500 Limit</t>
  </si>
  <si>
    <t>ILF</t>
  </si>
  <si>
    <t>500 Excess of 500</t>
  </si>
  <si>
    <t>Unlimited (i.e., 2M)</t>
  </si>
  <si>
    <t>ILF (i)</t>
  </si>
  <si>
    <t>ILF (ii)</t>
  </si>
  <si>
    <t>2M Limit</t>
  </si>
  <si>
    <t>Ultimate Claims (i)</t>
  </si>
  <si>
    <t>Ultimate Claims (ii)</t>
  </si>
  <si>
    <t>Total Limits</t>
  </si>
  <si>
    <t>Indemnity</t>
  </si>
  <si>
    <t>Basic Prem</t>
  </si>
  <si>
    <t>% Unreported</t>
  </si>
  <si>
    <t>AELR</t>
  </si>
  <si>
    <t>Unreported Claims</t>
  </si>
  <si>
    <t>MSL</t>
  </si>
  <si>
    <t>Reported Claims &amp; ALAE</t>
  </si>
  <si>
    <t>at July 1, 2022 Limited by</t>
  </si>
  <si>
    <t>Basic Limits</t>
  </si>
  <si>
    <t>Basic Limits and MSL</t>
  </si>
  <si>
    <t>Projected ultimate losses &amp; ALAE Limited by Basic Limits &amp; MSL</t>
  </si>
  <si>
    <t xml:space="preserve">Z  </t>
  </si>
  <si>
    <t xml:space="preserve">AER </t>
  </si>
  <si>
    <t xml:space="preserve">Basic Limits Premiums Subject to Experience Rating </t>
  </si>
  <si>
    <t xml:space="preserve">Experience (credit)/debit </t>
  </si>
  <si>
    <t>Claims as of July 1, 2022</t>
  </si>
  <si>
    <t>-2%</t>
  </si>
  <si>
    <t>-10%</t>
  </si>
  <si>
    <t xml:space="preserve"> 7%</t>
  </si>
  <si>
    <t>C</t>
  </si>
  <si>
    <t>D</t>
  </si>
  <si>
    <t>Applicable Changes</t>
  </si>
  <si>
    <t>Area</t>
  </si>
  <si>
    <t>Rate Level Index</t>
  </si>
  <si>
    <t>% in CY 2019</t>
  </si>
  <si>
    <t xml:space="preserve">Current rate level </t>
  </si>
  <si>
    <t>Weighted average rate level in CY 2019:</t>
  </si>
  <si>
    <t>On-level factor:</t>
  </si>
  <si>
    <t>CY 2019 EP @ CRL:</t>
  </si>
  <si>
    <t xml:space="preserve">With all policies being 6-month policies, more of the area of 2019 would be at lower rates (lower % at rate level 1.05, higher % at rate level 0.9261).  </t>
  </si>
  <si>
    <t>Therefore, the average rate level in 2019 should be lower.</t>
  </si>
  <si>
    <t xml:space="preserve">The current rate level remains unchanged.  </t>
  </si>
  <si>
    <t>The calculation may be helpful in solving this part, but it is not required for credit.</t>
  </si>
  <si>
    <t>Therefore, expect no change to the on-level calculation.</t>
  </si>
  <si>
    <t>Therefore, the on-level factor would be higher than the value from part (a).</t>
  </si>
  <si>
    <t xml:space="preserve">The average premium would increase to reflect such a change but would expect claims would increase as policyholders would receive more coverage.  </t>
  </si>
  <si>
    <t>Fixed Expense per On-Level Earned Premium</t>
  </si>
  <si>
    <t>Change in Fixed Expense per On-Level Earned Premium</t>
  </si>
  <si>
    <t>Average all years:</t>
  </si>
  <si>
    <t>Average most recent 3 years:</t>
  </si>
  <si>
    <t>Justification: There is a clear decreasing trend rate so give more weight to more recent years and select the average of the latest 3 years.</t>
  </si>
  <si>
    <t>Recommendation:</t>
  </si>
  <si>
    <t>Average incurred date in rating period:</t>
  </si>
  <si>
    <t>Average Incurred Date</t>
  </si>
  <si>
    <t>Experience Period</t>
  </si>
  <si>
    <t>Forecast Period</t>
  </si>
  <si>
    <t>Trend Period (months)</t>
  </si>
  <si>
    <t>Expense Trend Factors</t>
  </si>
  <si>
    <t>Trended Fixed Expenses</t>
  </si>
  <si>
    <t xml:space="preserve"> (i.e., 12 months after effective date)</t>
  </si>
  <si>
    <t>Fixed Expense per On-Level Earned Premiums</t>
  </si>
  <si>
    <t>Trended On-Level Earned Premiums</t>
  </si>
  <si>
    <t>Ultimate Counts</t>
  </si>
  <si>
    <t>Reported Frequency</t>
  </si>
  <si>
    <t>Trended Frequency</t>
  </si>
  <si>
    <t>Average (all years)</t>
  </si>
  <si>
    <t>Selected Frequency:</t>
  </si>
  <si>
    <t>Ultimate Severity</t>
  </si>
  <si>
    <t>Trended Severity</t>
  </si>
  <si>
    <t>Projected Ultimate Claims</t>
  </si>
  <si>
    <t>Average (latest 5 years)</t>
  </si>
  <si>
    <t>Selected Severity:</t>
  </si>
  <si>
    <t>Frequency Trend @ 1%</t>
  </si>
  <si>
    <t>Calculated Ultimate Counts</t>
  </si>
  <si>
    <t xml:space="preserve"> Rationale: no outliers and no significant trend, so simple average is reasonable.</t>
  </si>
  <si>
    <t>Severity Trend @ 6.5%</t>
  </si>
  <si>
    <t>Calculated Ultimate Severity</t>
  </si>
  <si>
    <t xml:space="preserve">  Rationale: there has been an increase in the more recent years, so use average of latest 5 years.</t>
  </si>
  <si>
    <t>Adjusted Average Case Estimates</t>
  </si>
  <si>
    <t>Adjusted Reported Claims</t>
  </si>
  <si>
    <t>Year-to-Year Change</t>
  </si>
  <si>
    <t>Average excluding last year:</t>
  </si>
  <si>
    <t>Recommended:</t>
  </si>
  <si>
    <t>Justification: select average excluding high&amp;low to eliminate the variability.</t>
  </si>
  <si>
    <t>Average excluding high&amp;low:</t>
  </si>
  <si>
    <t xml:space="preserve">Due to the increase in the average case in the most recent diagonal, this will tend to overstate the annual severity trend. </t>
  </si>
  <si>
    <t>By adjusting the historical case estimates for the change, this will increase those values, which will tend to decrease the indicated annual reported severity trend.</t>
  </si>
  <si>
    <t>Trended Pure Premiums Based on Reported</t>
  </si>
  <si>
    <t>Average all years (excl. 2021)</t>
  </si>
  <si>
    <t>Average (excluding 2020)</t>
  </si>
  <si>
    <t>Annual claim trend = (1 + 0.01)(1 + 0.0577) - 1 =</t>
  </si>
  <si>
    <t>Claim Trend @6.83%</t>
  </si>
  <si>
    <t>Justification: 2020 appears to be an outlier, so use average of all years excluding 2020.</t>
  </si>
  <si>
    <t>Selected 2021 level pure premium</t>
  </si>
  <si>
    <t>Age-to-Ult Factor</t>
  </si>
  <si>
    <t>BF Estimate Ultimate Claims</t>
  </si>
  <si>
    <t>Recommend using average of part (e), part (f) and part (g) estimates:</t>
  </si>
  <si>
    <t>Justification:</t>
  </si>
  <si>
    <t>Part (e), (f) and (g) estimates all adjust for the change in case outstanding so are all reasonable methods.</t>
  </si>
  <si>
    <t>Recommend the average of all 3 since they are all close in value.</t>
  </si>
  <si>
    <t>Development method (9,678,673) and part (a) estimate (9,678,863) do not adjust for the change in case outstanding, so both are inappropriate.</t>
  </si>
  <si>
    <t>Any one of the following are acceptable:</t>
  </si>
  <si>
    <t xml:space="preserve"> - Catastrophes typically result in GI claims for multiple insurers providing coverage in an affected area. Whereas large losses are limited to a few claims for an individual insurer.  </t>
  </si>
  <si>
    <t xml:space="preserve"> - Catastrophes are associated with an event which is infrequent and results in unusually large aggregate losses.</t>
  </si>
  <si>
    <t xml:space="preserve"> - Catastrophes typically result in a significant number of GI claims for multiple insurers providing coverage in the area affected by the event. Large claims do not typically affect the entire GI industry, or even all GI companies operating in a specific area.</t>
  </si>
  <si>
    <t>Recommendation</t>
  </si>
  <si>
    <t>Justification: Include more years due to significant volatility. Excluding high &amp; low eliminates outliers.</t>
  </si>
  <si>
    <t>Trend period (for AY2021):</t>
  </si>
  <si>
    <t>months</t>
  </si>
  <si>
    <t>Pure Premium Trend Factor</t>
  </si>
  <si>
    <t>Trended Ultimate Pure Premium for Non-Hurricane Weather excluding Hail per 100 EHY</t>
  </si>
  <si>
    <t>Average (latest 3 years)</t>
  </si>
  <si>
    <t>Average (all years excl. high &amp; low)</t>
  </si>
  <si>
    <t>Trending Period (months)</t>
  </si>
  <si>
    <t>Justification: Decreasing values in  latest years so more weight to more recent data. Therefore, recommend average of latest 3 years.</t>
  </si>
  <si>
    <t>Claim Ratio</t>
  </si>
  <si>
    <t>Selected non-hurricane weather excluding hail pure premium per 100 EHY:</t>
  </si>
  <si>
    <t>ULAE to claim ratio</t>
  </si>
  <si>
    <t>Total claim ratio including ULAE</t>
  </si>
  <si>
    <t>Countrywide trended, adjusted ultimate claim, including ULAE, ratio</t>
  </si>
  <si>
    <t>Selected fixed expenses to premiums ratio</t>
  </si>
  <si>
    <t>Selected variable expenses to premiums ratio</t>
  </si>
  <si>
    <t>Selected profit and contingencies to premiums ratio</t>
  </si>
  <si>
    <t>Loading for non-hurricane weather expressed as a claim ratio</t>
  </si>
  <si>
    <t>CY2021trended earned premiums at current rate level</t>
  </si>
  <si>
    <t>CY2021 earned house years</t>
  </si>
  <si>
    <t>Weighted average trended claim ratio</t>
  </si>
  <si>
    <t>Credibility-weighted experience claim, including ULAE, ratio</t>
  </si>
  <si>
    <t xml:space="preserve">Indicated rate level change </t>
  </si>
  <si>
    <t>AY</t>
  </si>
  <si>
    <t>Age-to-Age Factors</t>
  </si>
  <si>
    <t>Age-to-Ult Factors</t>
  </si>
  <si>
    <t>Other answers are possible.</t>
  </si>
  <si>
    <t>There was no tail factor selected.</t>
  </si>
  <si>
    <t>There is concern with using straight average.</t>
  </si>
  <si>
    <t>This is clearly a growing line of business, so more weight should be given to more recent years.</t>
  </si>
  <si>
    <t>There should be a tail factor as there is still development up to 96 months.</t>
  </si>
  <si>
    <t>Concern with using straight average:</t>
  </si>
  <si>
    <t>No tail factor:</t>
  </si>
  <si>
    <t>12-24:</t>
  </si>
  <si>
    <t>24-36:</t>
  </si>
  <si>
    <t>Latest 3 years will give more weight to the decreasing trend</t>
  </si>
  <si>
    <t>There is no tail factor for paid claims and there is a tail factor for reported.</t>
  </si>
  <si>
    <t>The latest diagonal of age-to-age factors for reported claims is much higher and this will tend to make the reported claims higher.</t>
  </si>
  <si>
    <t>An increase in claim settlement could possibly increase the latest diagonal of the reported triangle.</t>
  </si>
  <si>
    <t>This increase would also show up in the paid age-to-age triangle.</t>
  </si>
  <si>
    <t>Since the pattern is not in the paid triangle, it is therefore likely that the cause of the increase in the reported triangle was not due to an increase in claim settlement pattern.</t>
  </si>
  <si>
    <t>Average On-Level Written Premiums</t>
  </si>
  <si>
    <t>Rolling 4-Quarter Volume-Weighted Average</t>
  </si>
  <si>
    <t>Quarter Average</t>
  </si>
  <si>
    <t>Quarterly Change in Average Written Premiums</t>
  </si>
  <si>
    <t>Average all quarters</t>
  </si>
  <si>
    <t>Average latest 6 quarters</t>
  </si>
  <si>
    <t>Recommended quarterly:</t>
  </si>
  <si>
    <t>Annual:</t>
  </si>
  <si>
    <t>Use the rolling values as it smooths out the variability. Recommend average excluding high &amp; low.</t>
  </si>
  <si>
    <t>Average all quarters excl. high &amp; low</t>
  </si>
  <si>
    <t>Average earned date in 2022-1:</t>
  </si>
  <si>
    <t>Trend period (years):</t>
  </si>
  <si>
    <t>Trended on-level earned premiums:</t>
  </si>
  <si>
    <t>Average earned date in future rating period:</t>
  </si>
  <si>
    <t>Amount retained</t>
  </si>
  <si>
    <t>Remove AY 2016 as it appears to be an anomaly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</si>
</sst>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Red]\-&quot;$&quot;#,##0"/>
    <numFmt numFmtId="165" formatCode="&quot;$&quot;#,##0.00;[Red]\-&quot;$&quot;#,##0.00"/>
    <numFmt numFmtId="166" formatCode="_-* #,##0.00_-;\-* #,##0.00_-;_-* &quot;-&quot;??_-;_-@_-"/>
    <numFmt numFmtId="167" formatCode="mmmm\ d\,\ yyyy"/>
    <numFmt numFmtId="168" formatCode="0.000"/>
    <numFmt numFmtId="169" formatCode="0.0%"/>
    <numFmt numFmtId="170" formatCode="mmm\.\ d\,\ yyyy"/>
    <numFmt numFmtId="171" formatCode="&quot;$&quot;#,##0"/>
    <numFmt numFmtId="172" formatCode="#,##0.0000"/>
    <numFmt numFmtId="173" formatCode="#,##0;\(#,##0\);\-"/>
    <numFmt numFmtId="174" formatCode="#,##0_ ;\-#,##0\ "/>
    <numFmt numFmtId="175" formatCode="0.0000"/>
    <numFmt numFmtId="176" formatCode="#;\(#\);\-"/>
    <numFmt numFmtId="177" formatCode="0.000%"/>
    <numFmt numFmtId="178" formatCode="_(* #,##0_);_(* \(#,##0\);_(* &quot;-&quot;??_);_(@_)"/>
    <numFmt numFmtId="179" formatCode="#,##0.000"/>
    <numFmt numFmtId="180" formatCode="0.00000"/>
  </numFmts>
  <fonts count="33">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i/>
      <sz val="12"/>
      <color rgb="FF002060"/>
      <name val="Times New Roman"/>
      <family val="1"/>
    </font>
    <font>
      <sz val="11"/>
      <color rgb="FF002060"/>
      <name val="Calibri"/>
      <family val="2"/>
      <scheme val="minor"/>
    </font>
    <font>
      <sz val="12"/>
      <color rgb="FF002060"/>
      <name val="Symbol"/>
      <family val="1"/>
      <charset val="2"/>
    </font>
    <font>
      <sz val="7"/>
      <color rgb="FF002060"/>
      <name val="Times New Roman"/>
      <family val="1"/>
    </font>
    <font>
      <b/>
      <sz val="12"/>
      <color rgb="FF002060"/>
      <name val="Times New Roman"/>
      <family val="1"/>
    </font>
    <font>
      <b/>
      <i/>
      <vertAlign val="subscript"/>
      <sz val="12"/>
      <color rgb="FF002060"/>
      <name val="Times New Roman"/>
      <family val="1"/>
    </font>
    <font>
      <sz val="12"/>
      <color rgb="FF002060"/>
      <name val="Calibri"/>
      <family val="2"/>
      <scheme val="minor"/>
    </font>
    <font>
      <i/>
      <vertAlign val="subscript"/>
      <sz val="12"/>
      <color rgb="FF002060"/>
      <name val="Times New Roman"/>
      <family val="1"/>
    </font>
    <font>
      <sz val="12"/>
      <color rgb="FF002060"/>
      <name val="TimesNewRomanPSMT"/>
    </font>
    <font>
      <sz val="11"/>
      <color rgb="FF002060"/>
      <name val="Times New Roman"/>
      <family val="1"/>
    </font>
    <font>
      <sz val="12"/>
      <color rgb="FF002060"/>
      <name val="Calibri"/>
      <family val="2"/>
    </font>
    <font>
      <sz val="8"/>
      <name val="Calibri"/>
      <family val="2"/>
      <scheme val="minor"/>
    </font>
    <font>
      <b/>
      <sz val="11"/>
      <color rgb="FF002060"/>
      <name val="Times New Roman"/>
      <family val="1"/>
    </font>
    <font>
      <i/>
      <sz val="12"/>
      <color rgb="FF002060"/>
      <name val="Times New Roman"/>
      <family val="1"/>
      <charset val="2"/>
    </font>
    <font>
      <sz val="11"/>
      <color theme="1"/>
      <name val="Calibri"/>
      <family val="2"/>
      <scheme val="minor"/>
    </font>
    <font>
      <i/>
      <sz val="12"/>
      <name val="Times New Roman"/>
      <family val="1"/>
    </font>
    <font>
      <sz val="12"/>
      <color theme="1"/>
      <name val="Symbol"/>
      <family val="1"/>
      <charset val="2"/>
    </font>
    <font>
      <sz val="7"/>
      <color theme="1"/>
      <name val="Times New Roman"/>
      <family val="1"/>
    </font>
    <font>
      <i/>
      <sz val="12"/>
      <color theme="1"/>
      <name val="Times New Roman"/>
      <family val="1"/>
    </font>
    <font>
      <b/>
      <sz val="12"/>
      <color theme="1"/>
      <name val="Times New Roman"/>
      <family val="1"/>
    </font>
    <font>
      <sz val="12"/>
      <color theme="1"/>
      <name val="Calibri"/>
      <family val="2"/>
    </font>
    <font>
      <b/>
      <i/>
      <sz val="12"/>
      <color theme="1"/>
      <name val="Times New Roman"/>
      <family val="1"/>
    </font>
    <font>
      <b/>
      <i/>
      <sz val="12"/>
      <name val="Times New Roman"/>
      <family val="1"/>
    </font>
    <font>
      <sz val="12"/>
      <color theme="1"/>
      <name val="Times New Roman"/>
      <family val="2"/>
    </font>
    <font>
      <sz val="11"/>
      <name val="Calibri"/>
      <family val="2"/>
      <scheme val="minor"/>
    </font>
    <font>
      <b/>
      <sz val="12"/>
      <name val="Times New Roman"/>
      <family val="1"/>
    </font>
    <font>
      <u/>
      <sz val="12"/>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166" fontId="20" fillId="0" borderId="0" applyFont="0" applyFill="0" applyBorder="0" applyAlignment="0" applyProtection="0"/>
    <xf numFmtId="9" fontId="20" fillId="0" borderId="0" applyFont="0" applyFill="0" applyBorder="0" applyAlignment="0" applyProtection="0"/>
  </cellStyleXfs>
  <cellXfs count="342">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4"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3" borderId="0" xfId="0" quotePrefix="1" applyFont="1" applyFill="1"/>
    <xf numFmtId="0" fontId="6" fillId="3" borderId="0" xfId="0" applyFont="1" applyFill="1"/>
    <xf numFmtId="0" fontId="1" fillId="2" borderId="0" xfId="0" quotePrefix="1"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left" vertical="center" indent="5"/>
    </xf>
    <xf numFmtId="0" fontId="7" fillId="2" borderId="0" xfId="0" applyFont="1" applyFill="1"/>
    <xf numFmtId="0" fontId="8" fillId="2" borderId="0" xfId="0" applyFont="1" applyFill="1" applyAlignment="1">
      <alignment vertical="center"/>
    </xf>
    <xf numFmtId="0" fontId="8" fillId="2" borderId="0" xfId="0" applyFont="1" applyFill="1" applyAlignment="1">
      <alignment horizontal="left" vertical="center" indent="12"/>
    </xf>
    <xf numFmtId="0" fontId="10" fillId="2" borderId="1" xfId="0" applyFont="1" applyFill="1" applyBorder="1" applyAlignment="1">
      <alignment horizontal="center" vertical="center" wrapText="1"/>
    </xf>
    <xf numFmtId="167"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xf>
    <xf numFmtId="3" fontId="1" fillId="2" borderId="0" xfId="0" applyNumberFormat="1" applyFont="1" applyFill="1"/>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right" vertical="center" wrapText="1"/>
    </xf>
    <xf numFmtId="16" fontId="10" fillId="2" borderId="3"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168" fontId="1" fillId="2" borderId="1" xfId="0" applyNumberFormat="1" applyFont="1" applyFill="1" applyBorder="1" applyAlignment="1">
      <alignment horizontal="center" vertical="center" wrapText="1"/>
    </xf>
    <xf numFmtId="0" fontId="2" fillId="2" borderId="0" xfId="0" applyFont="1" applyFill="1"/>
    <xf numFmtId="3" fontId="1" fillId="2" borderId="1" xfId="0" applyNumberFormat="1" applyFont="1" applyFill="1" applyBorder="1"/>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8" fillId="2" borderId="0" xfId="0" applyFont="1" applyFill="1" applyAlignment="1">
      <alignment horizontal="left" vertical="center"/>
    </xf>
    <xf numFmtId="167" fontId="1" fillId="2" borderId="1" xfId="0" applyNumberFormat="1" applyFont="1" applyFill="1" applyBorder="1" applyAlignment="1">
      <alignment horizontal="center"/>
    </xf>
    <xf numFmtId="0" fontId="10" fillId="2" borderId="1" xfId="0" applyFont="1" applyFill="1" applyBorder="1" applyAlignment="1">
      <alignment horizontal="center" vertical="center"/>
    </xf>
    <xf numFmtId="3" fontId="10" fillId="2" borderId="1" xfId="0" applyNumberFormat="1" applyFont="1" applyFill="1" applyBorder="1" applyAlignment="1">
      <alignment horizontal="center" vertical="center"/>
    </xf>
    <xf numFmtId="0" fontId="12" fillId="2" borderId="0" xfId="0" applyFont="1" applyFill="1"/>
    <xf numFmtId="4" fontId="1" fillId="2" borderId="1" xfId="0" applyNumberFormat="1" applyFont="1" applyFill="1" applyBorder="1" applyAlignment="1">
      <alignment horizontal="center" vertical="center"/>
    </xf>
    <xf numFmtId="10" fontId="1" fillId="2" borderId="0" xfId="0" applyNumberFormat="1" applyFont="1" applyFill="1" applyAlignment="1">
      <alignment horizontal="center"/>
    </xf>
    <xf numFmtId="0" fontId="6" fillId="2" borderId="0" xfId="0" applyFont="1" applyFill="1"/>
    <xf numFmtId="168" fontId="1"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 fillId="2" borderId="1" xfId="0" applyFont="1" applyFill="1" applyBorder="1" applyAlignment="1">
      <alignment horizontal="center"/>
    </xf>
    <xf numFmtId="9" fontId="1" fillId="2" borderId="1" xfId="0" applyNumberFormat="1" applyFont="1" applyFill="1" applyBorder="1" applyAlignment="1">
      <alignment horizontal="right" vertical="center" wrapText="1"/>
    </xf>
    <xf numFmtId="0" fontId="1" fillId="2" borderId="1" xfId="0" applyFont="1" applyFill="1" applyBorder="1" applyAlignment="1">
      <alignment vertical="center"/>
    </xf>
    <xf numFmtId="0" fontId="1" fillId="2" borderId="12" xfId="0" applyFont="1" applyFill="1" applyBorder="1"/>
    <xf numFmtId="0" fontId="1" fillId="2" borderId="11" xfId="0" applyFont="1" applyFill="1" applyBorder="1"/>
    <xf numFmtId="0" fontId="2" fillId="2" borderId="12" xfId="0" applyFont="1" applyFill="1" applyBorder="1"/>
    <xf numFmtId="9" fontId="1" fillId="3" borderId="1" xfId="0" applyNumberFormat="1" applyFont="1" applyFill="1" applyBorder="1" applyAlignment="1">
      <alignment horizontal="center"/>
    </xf>
    <xf numFmtId="169" fontId="1" fillId="2" borderId="1" xfId="0" applyNumberFormat="1" applyFont="1" applyFill="1" applyBorder="1" applyAlignment="1">
      <alignment horizontal="center"/>
    </xf>
    <xf numFmtId="0" fontId="1" fillId="2" borderId="13" xfId="0" applyFont="1" applyFill="1" applyBorder="1" applyAlignment="1">
      <alignment vertical="center"/>
    </xf>
    <xf numFmtId="9" fontId="1" fillId="2" borderId="1" xfId="0" applyNumberFormat="1" applyFont="1" applyFill="1" applyBorder="1" applyAlignment="1">
      <alignment horizontal="center" vertical="center" wrapText="1"/>
    </xf>
    <xf numFmtId="0" fontId="1" fillId="2" borderId="1" xfId="0" applyFont="1" applyFill="1" applyBorder="1"/>
    <xf numFmtId="9" fontId="1" fillId="2" borderId="1" xfId="0" applyNumberFormat="1" applyFont="1" applyFill="1" applyBorder="1" applyAlignment="1">
      <alignment horizontal="center" vertical="center"/>
    </xf>
    <xf numFmtId="9" fontId="10" fillId="2" borderId="1" xfId="0" applyNumberFormat="1" applyFont="1" applyFill="1" applyBorder="1" applyAlignment="1">
      <alignment horizontal="center" vertical="center"/>
    </xf>
    <xf numFmtId="3" fontId="1" fillId="2" borderId="1" xfId="0" applyNumberFormat="1" applyFont="1" applyFill="1" applyBorder="1" applyAlignment="1">
      <alignment horizontal="center"/>
    </xf>
    <xf numFmtId="16" fontId="10" fillId="2" borderId="1" xfId="0" applyNumberFormat="1" applyFont="1" applyFill="1" applyBorder="1" applyAlignment="1">
      <alignment horizontal="center" vertical="center"/>
    </xf>
    <xf numFmtId="168" fontId="16" fillId="2" borderId="1" xfId="0" applyNumberFormat="1" applyFont="1" applyFill="1" applyBorder="1" applyAlignment="1">
      <alignment vertical="center"/>
    </xf>
    <xf numFmtId="168" fontId="10" fillId="2" borderId="1" xfId="0" applyNumberFormat="1" applyFont="1" applyFill="1" applyBorder="1" applyAlignment="1">
      <alignment horizontal="center" vertical="center"/>
    </xf>
    <xf numFmtId="16" fontId="10" fillId="2" borderId="11"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1" xfId="0" applyFont="1" applyFill="1" applyBorder="1" applyAlignment="1">
      <alignment horizontal="center" vertical="center"/>
    </xf>
    <xf numFmtId="0" fontId="1" fillId="2" borderId="1" xfId="0" quotePrefix="1" applyFont="1" applyFill="1" applyBorder="1" applyAlignment="1">
      <alignment horizontal="center" vertical="center"/>
    </xf>
    <xf numFmtId="0" fontId="18" fillId="2" borderId="4"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170" fontId="1" fillId="2" borderId="1" xfId="0" applyNumberFormat="1" applyFont="1" applyFill="1" applyBorder="1" applyAlignment="1">
      <alignment horizontal="center" vertical="center"/>
    </xf>
    <xf numFmtId="0" fontId="1" fillId="3" borderId="0" xfId="0" applyFont="1" applyFill="1" applyAlignment="1">
      <alignment horizontal="center"/>
    </xf>
    <xf numFmtId="0" fontId="4" fillId="2" borderId="0" xfId="0" applyFont="1" applyFill="1" applyAlignment="1">
      <alignmen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1" fillId="2" borderId="2" xfId="0" applyFont="1" applyFill="1" applyBorder="1" applyAlignment="1">
      <alignment wrapText="1"/>
    </xf>
    <xf numFmtId="164" fontId="1" fillId="2" borderId="1" xfId="0" applyNumberFormat="1" applyFont="1" applyFill="1" applyBorder="1" applyAlignment="1">
      <alignment horizontal="center"/>
    </xf>
    <xf numFmtId="165"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xf>
    <xf numFmtId="3" fontId="1" fillId="3" borderId="1"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14" xfId="0" applyBorder="1"/>
    <xf numFmtId="0" fontId="0" fillId="0" borderId="15" xfId="0" applyBorder="1"/>
    <xf numFmtId="0" fontId="0" fillId="0" borderId="7" xfId="0" applyBorder="1"/>
    <xf numFmtId="0" fontId="0" fillId="0" borderId="8" xfId="0" applyBorder="1"/>
    <xf numFmtId="0" fontId="0" fillId="0" borderId="9" xfId="0" applyBorder="1"/>
    <xf numFmtId="0" fontId="6" fillId="0" borderId="0" xfId="0" applyFont="1"/>
    <xf numFmtId="0" fontId="1" fillId="0" borderId="4" xfId="0" applyFont="1" applyBorder="1"/>
    <xf numFmtId="0" fontId="1" fillId="0" borderId="5" xfId="0" applyFont="1" applyBorder="1"/>
    <xf numFmtId="0" fontId="1" fillId="0" borderId="6" xfId="0" applyFont="1" applyBorder="1"/>
    <xf numFmtId="0" fontId="1" fillId="0" borderId="14" xfId="0" applyFont="1" applyBorder="1"/>
    <xf numFmtId="0" fontId="1" fillId="0" borderId="15" xfId="0" applyFont="1" applyBorder="1"/>
    <xf numFmtId="0" fontId="1" fillId="0" borderId="7" xfId="0" applyFont="1" applyBorder="1"/>
    <xf numFmtId="0" fontId="1" fillId="0" borderId="8" xfId="0" applyFont="1" applyBorder="1"/>
    <xf numFmtId="0" fontId="1" fillId="0" borderId="9" xfId="0" applyFont="1" applyBorder="1"/>
    <xf numFmtId="0" fontId="19" fillId="2" borderId="0" xfId="0" applyFont="1" applyFill="1"/>
    <xf numFmtId="169" fontId="1" fillId="2" borderId="1" xfId="0" applyNumberFormat="1" applyFont="1" applyFill="1" applyBorder="1" applyAlignment="1">
      <alignment horizontal="center" vertical="center" wrapText="1"/>
    </xf>
    <xf numFmtId="0" fontId="0" fillId="2" borderId="0" xfId="0" applyFill="1"/>
    <xf numFmtId="171" fontId="1" fillId="2" borderId="1" xfId="0" applyNumberFormat="1" applyFont="1" applyFill="1" applyBorder="1" applyAlignment="1">
      <alignment horizontal="center" vertical="center" wrapText="1"/>
    </xf>
    <xf numFmtId="0" fontId="21"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10" fontId="5" fillId="0" borderId="0" xfId="2" applyNumberFormat="1" applyFont="1" applyFill="1" applyBorder="1" applyAlignment="1">
      <alignment horizontal="right" vertical="center"/>
    </xf>
    <xf numFmtId="0" fontId="5" fillId="0" borderId="0" xfId="0" applyFont="1" applyAlignment="1">
      <alignment horizontal="center"/>
    </xf>
    <xf numFmtId="169" fontId="5" fillId="0" borderId="0" xfId="2" applyNumberFormat="1" applyFont="1" applyFill="1" applyBorder="1" applyAlignment="1">
      <alignment horizontal="center"/>
    </xf>
    <xf numFmtId="3" fontId="5" fillId="0" borderId="0" xfId="1" applyNumberFormat="1" applyFont="1" applyFill="1" applyBorder="1" applyAlignment="1">
      <alignment horizontal="center"/>
    </xf>
    <xf numFmtId="172" fontId="5" fillId="0" borderId="0" xfId="1" applyNumberFormat="1" applyFont="1" applyFill="1" applyBorder="1" applyAlignment="1">
      <alignment horizontal="center"/>
    </xf>
    <xf numFmtId="4" fontId="5" fillId="0" borderId="0" xfId="1" applyNumberFormat="1" applyFont="1" applyFill="1" applyBorder="1" applyAlignment="1">
      <alignment horizontal="center"/>
    </xf>
    <xf numFmtId="0" fontId="5" fillId="0" borderId="8" xfId="0" applyFont="1" applyBorder="1" applyAlignment="1">
      <alignment horizontal="center" wrapText="1"/>
    </xf>
    <xf numFmtId="0" fontId="5" fillId="0" borderId="8" xfId="0" applyFont="1" applyBorder="1" applyAlignment="1">
      <alignment horizontal="center"/>
    </xf>
    <xf numFmtId="169" fontId="5" fillId="0" borderId="8" xfId="2" applyNumberFormat="1" applyFont="1" applyFill="1" applyBorder="1" applyAlignment="1">
      <alignment horizontal="center"/>
    </xf>
    <xf numFmtId="3" fontId="5" fillId="0" borderId="8" xfId="1" applyNumberFormat="1" applyFont="1" applyFill="1" applyBorder="1" applyAlignment="1">
      <alignment horizontal="center"/>
    </xf>
    <xf numFmtId="172" fontId="5" fillId="0" borderId="8" xfId="1" applyNumberFormat="1" applyFont="1" applyFill="1" applyBorder="1" applyAlignment="1">
      <alignment horizontal="center"/>
    </xf>
    <xf numFmtId="4" fontId="5" fillId="0" borderId="8" xfId="1" applyNumberFormat="1" applyFont="1" applyFill="1" applyBorder="1" applyAlignment="1">
      <alignment horizontal="center"/>
    </xf>
    <xf numFmtId="9" fontId="5" fillId="0" borderId="0" xfId="2" applyFont="1" applyFill="1" applyAlignment="1">
      <alignment horizontal="center"/>
    </xf>
    <xf numFmtId="0" fontId="5" fillId="0" borderId="0" xfId="0" quotePrefix="1" applyFont="1" applyAlignment="1">
      <alignment horizontal="center"/>
    </xf>
    <xf numFmtId="173" fontId="5" fillId="0" borderId="0" xfId="1" applyNumberFormat="1" applyFont="1" applyFill="1" applyBorder="1" applyAlignment="1">
      <alignment horizontal="center"/>
    </xf>
    <xf numFmtId="173" fontId="5" fillId="0" borderId="8" xfId="1" applyNumberFormat="1" applyFont="1" applyFill="1" applyBorder="1" applyAlignment="1">
      <alignment horizontal="center"/>
    </xf>
    <xf numFmtId="9" fontId="5" fillId="0" borderId="8" xfId="2" applyFont="1" applyFill="1" applyBorder="1" applyAlignment="1">
      <alignment horizontal="center"/>
    </xf>
    <xf numFmtId="0" fontId="22" fillId="0" borderId="0" xfId="0" applyFont="1" applyAlignment="1">
      <alignment vertical="center"/>
    </xf>
    <xf numFmtId="0" fontId="24" fillId="0" borderId="0" xfId="0" applyFont="1" applyAlignment="1">
      <alignment vertical="center"/>
    </xf>
    <xf numFmtId="0" fontId="2" fillId="0" borderId="1" xfId="0" applyFont="1" applyBorder="1" applyAlignment="1">
      <alignment horizontal="center"/>
    </xf>
    <xf numFmtId="174" fontId="2" fillId="0" borderId="1" xfId="1" applyNumberFormat="1" applyFont="1" applyFill="1" applyBorder="1" applyAlignment="1">
      <alignment horizontal="center"/>
    </xf>
    <xf numFmtId="0" fontId="2" fillId="0" borderId="0" xfId="0" applyFont="1" applyAlignment="1">
      <alignment horizontal="center"/>
    </xf>
    <xf numFmtId="37" fontId="2" fillId="0" borderId="0" xfId="0" applyNumberFormat="1" applyFont="1" applyAlignment="1">
      <alignment horizontal="center"/>
    </xf>
    <xf numFmtId="0" fontId="2" fillId="0" borderId="0" xfId="0" quotePrefix="1" applyFont="1" applyAlignment="1">
      <alignment horizontal="center"/>
    </xf>
    <xf numFmtId="0" fontId="2" fillId="0" borderId="0" xfId="0" applyFont="1" applyAlignment="1">
      <alignment horizontal="left"/>
    </xf>
    <xf numFmtId="174" fontId="2" fillId="4" borderId="1" xfId="1" applyNumberFormat="1" applyFont="1" applyFill="1" applyBorder="1" applyAlignment="1">
      <alignment horizontal="center"/>
    </xf>
    <xf numFmtId="0" fontId="2" fillId="0" borderId="0" xfId="0" quotePrefix="1" applyFont="1" applyAlignment="1">
      <alignment horizontal="right"/>
    </xf>
    <xf numFmtId="169" fontId="5" fillId="0" borderId="0" xfId="2" applyNumberFormat="1" applyFont="1"/>
    <xf numFmtId="0" fontId="2" fillId="0" borderId="8" xfId="0" applyFont="1" applyBorder="1" applyAlignment="1">
      <alignment horizontal="center"/>
    </xf>
    <xf numFmtId="0" fontId="5" fillId="0" borderId="0" xfId="0" applyFont="1" applyAlignment="1">
      <alignment horizontal="center" vertical="center"/>
    </xf>
    <xf numFmtId="0" fontId="5" fillId="0" borderId="8" xfId="0" applyFont="1" applyBorder="1" applyAlignment="1">
      <alignment horizontal="center" vertical="center"/>
    </xf>
    <xf numFmtId="0" fontId="2" fillId="0" borderId="8" xfId="0" applyFont="1" applyBorder="1" applyAlignment="1">
      <alignment horizontal="centerContinuous"/>
    </xf>
    <xf numFmtId="169" fontId="5" fillId="0" borderId="8" xfId="0" applyNumberFormat="1" applyFont="1" applyBorder="1" applyAlignment="1">
      <alignment horizontal="center"/>
    </xf>
    <xf numFmtId="3" fontId="2" fillId="0" borderId="0" xfId="0" applyNumberFormat="1" applyFont="1" applyAlignment="1">
      <alignment horizontal="center"/>
    </xf>
    <xf numFmtId="4" fontId="2" fillId="0" borderId="0" xfId="0" applyNumberFormat="1" applyFont="1" applyAlignment="1">
      <alignment horizontal="center"/>
    </xf>
    <xf numFmtId="175" fontId="2" fillId="0" borderId="0" xfId="0" applyNumberFormat="1" applyFont="1" applyAlignment="1">
      <alignment horizontal="center"/>
    </xf>
    <xf numFmtId="4" fontId="5" fillId="0" borderId="0" xfId="0" applyNumberFormat="1" applyFont="1" applyAlignment="1">
      <alignment horizontal="center"/>
    </xf>
    <xf numFmtId="14" fontId="2" fillId="0" borderId="8" xfId="0" applyNumberFormat="1" applyFont="1" applyBorder="1"/>
    <xf numFmtId="0" fontId="25" fillId="0" borderId="0" xfId="0" applyFont="1" applyAlignment="1">
      <alignment vertical="center"/>
    </xf>
    <xf numFmtId="0" fontId="1" fillId="2" borderId="10" xfId="0" applyFont="1" applyFill="1" applyBorder="1" applyAlignment="1">
      <alignment vertical="center"/>
    </xf>
    <xf numFmtId="0" fontId="5" fillId="0" borderId="8" xfId="0" applyFont="1" applyBorder="1" applyAlignment="1">
      <alignment horizontal="centerContinuous"/>
    </xf>
    <xf numFmtId="3" fontId="5" fillId="0" borderId="0" xfId="0" applyNumberFormat="1" applyFont="1" applyAlignment="1">
      <alignment horizontal="center"/>
    </xf>
    <xf numFmtId="175" fontId="5" fillId="0" borderId="0" xfId="0" applyNumberFormat="1" applyFont="1" applyAlignment="1">
      <alignment horizontal="center"/>
    </xf>
    <xf numFmtId="3" fontId="5" fillId="0" borderId="8" xfId="0" applyNumberFormat="1" applyFont="1" applyBorder="1" applyAlignment="1">
      <alignment horizontal="center"/>
    </xf>
    <xf numFmtId="4" fontId="5" fillId="0" borderId="8" xfId="0" applyNumberFormat="1" applyFont="1" applyBorder="1" applyAlignment="1">
      <alignment horizontal="center"/>
    </xf>
    <xf numFmtId="175" fontId="5" fillId="0" borderId="8" xfId="0" applyNumberFormat="1" applyFont="1" applyBorder="1" applyAlignment="1">
      <alignment horizontal="center"/>
    </xf>
    <xf numFmtId="9" fontId="5" fillId="0" borderId="0" xfId="0" applyNumberFormat="1" applyFont="1" applyAlignment="1">
      <alignment horizontal="center"/>
    </xf>
    <xf numFmtId="0" fontId="0" fillId="0" borderId="0" xfId="0" applyAlignment="1">
      <alignment horizontal="center"/>
    </xf>
    <xf numFmtId="3" fontId="5" fillId="0" borderId="0" xfId="0" applyNumberFormat="1" applyFont="1"/>
    <xf numFmtId="3" fontId="2" fillId="0" borderId="0" xfId="0" applyNumberFormat="1" applyFont="1"/>
    <xf numFmtId="0" fontId="26" fillId="0" borderId="0" xfId="0" applyFont="1"/>
    <xf numFmtId="0" fontId="27" fillId="0" borderId="0" xfId="0" applyFont="1" applyAlignment="1">
      <alignment vertical="center"/>
    </xf>
    <xf numFmtId="0" fontId="28" fillId="0" borderId="0" xfId="0" applyFont="1"/>
    <xf numFmtId="176" fontId="2" fillId="0" borderId="0" xfId="0" applyNumberFormat="1" applyFont="1" applyAlignment="1">
      <alignment horizontal="center"/>
    </xf>
    <xf numFmtId="2" fontId="2" fillId="0" borderId="0" xfId="0" applyNumberFormat="1" applyFont="1" applyAlignment="1">
      <alignment horizontal="center"/>
    </xf>
    <xf numFmtId="0" fontId="5" fillId="0" borderId="0" xfId="0" applyFont="1" applyAlignment="1">
      <alignment horizontal="center" vertical="center" wrapText="1"/>
    </xf>
    <xf numFmtId="2" fontId="5" fillId="0" borderId="0" xfId="0" applyNumberFormat="1" applyFont="1" applyAlignment="1">
      <alignment horizontal="center"/>
    </xf>
    <xf numFmtId="2" fontId="5" fillId="0" borderId="0" xfId="0" applyNumberFormat="1" applyFont="1" applyAlignment="1">
      <alignment horizontal="right"/>
    </xf>
    <xf numFmtId="0" fontId="5" fillId="0" borderId="8" xfId="0" quotePrefix="1" applyFont="1" applyBorder="1" applyAlignment="1">
      <alignment horizontal="center"/>
    </xf>
    <xf numFmtId="0" fontId="5" fillId="0" borderId="8" xfId="0" quotePrefix="1" applyFont="1" applyBorder="1" applyAlignment="1">
      <alignment horizontal="center" wrapText="1"/>
    </xf>
    <xf numFmtId="0" fontId="5" fillId="0" borderId="8" xfId="0" applyFont="1" applyBorder="1" applyAlignment="1">
      <alignment horizontal="center" vertical="center" wrapText="1"/>
    </xf>
    <xf numFmtId="2" fontId="5" fillId="0" borderId="8" xfId="0" applyNumberFormat="1" applyFont="1" applyBorder="1" applyAlignment="1">
      <alignment horizontal="center"/>
    </xf>
    <xf numFmtId="166" fontId="2" fillId="0" borderId="0" xfId="1" applyFont="1" applyFill="1"/>
    <xf numFmtId="0" fontId="2" fillId="0" borderId="8" xfId="0" applyFont="1" applyBorder="1" applyAlignment="1">
      <alignment horizontal="center" wrapText="1"/>
    </xf>
    <xf numFmtId="177" fontId="5" fillId="0" borderId="0" xfId="2" applyNumberFormat="1"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168" fontId="5" fillId="5" borderId="1" xfId="0" applyNumberFormat="1" applyFont="1" applyFill="1" applyBorder="1" applyAlignment="1">
      <alignment horizontal="center" vertical="center" wrapText="1"/>
    </xf>
    <xf numFmtId="0" fontId="0" fillId="5" borderId="1" xfId="0" applyFill="1" applyBorder="1"/>
    <xf numFmtId="0" fontId="5" fillId="5" borderId="0" xfId="0" applyFont="1" applyFill="1" applyAlignment="1">
      <alignment horizontal="center" vertical="center" wrapText="1"/>
    </xf>
    <xf numFmtId="3" fontId="5" fillId="5" borderId="0" xfId="0" applyNumberFormat="1" applyFont="1" applyFill="1" applyAlignment="1">
      <alignment horizontal="center" vertical="center" wrapText="1"/>
    </xf>
    <xf numFmtId="2" fontId="5" fillId="5" borderId="0" xfId="0" applyNumberFormat="1" applyFont="1" applyFill="1" applyAlignment="1">
      <alignment horizontal="center" vertical="center" wrapText="1"/>
    </xf>
    <xf numFmtId="0" fontId="0" fillId="5" borderId="0" xfId="0" applyFill="1"/>
    <xf numFmtId="0" fontId="29" fillId="0" borderId="0" xfId="0" applyFont="1"/>
    <xf numFmtId="0" fontId="26" fillId="0" borderId="0" xfId="0" applyFont="1" applyAlignment="1">
      <alignment horizontal="center"/>
    </xf>
    <xf numFmtId="3" fontId="2" fillId="0" borderId="0" xfId="1" applyNumberFormat="1" applyFont="1" applyFill="1" applyBorder="1" applyAlignment="1">
      <alignment horizontal="center"/>
    </xf>
    <xf numFmtId="3" fontId="5" fillId="0" borderId="0" xfId="1" applyNumberFormat="1" applyFont="1" applyFill="1" applyAlignment="1">
      <alignment horizontal="center"/>
    </xf>
    <xf numFmtId="0" fontId="30" fillId="0" borderId="0" xfId="0" applyFont="1"/>
    <xf numFmtId="3" fontId="5" fillId="0" borderId="0" xfId="1" applyNumberFormat="1" applyFont="1" applyFill="1" applyBorder="1" applyAlignment="1">
      <alignment horizontal="center" vertical="center" wrapText="1"/>
    </xf>
    <xf numFmtId="9" fontId="2" fillId="0" borderId="0" xfId="2" applyFont="1" applyFill="1" applyBorder="1" applyAlignment="1">
      <alignment horizontal="center"/>
    </xf>
    <xf numFmtId="178" fontId="2" fillId="0" borderId="0" xfId="0" applyNumberFormat="1" applyFont="1" applyAlignment="1">
      <alignment horizontal="center"/>
    </xf>
    <xf numFmtId="0" fontId="2" fillId="0" borderId="8" xfId="0" applyFont="1" applyBorder="1"/>
    <xf numFmtId="179" fontId="2" fillId="0" borderId="0" xfId="0" applyNumberFormat="1" applyFont="1" applyAlignment="1">
      <alignment horizontal="center"/>
    </xf>
    <xf numFmtId="168" fontId="2" fillId="0" borderId="0" xfId="0" applyNumberFormat="1" applyFont="1" applyAlignment="1">
      <alignment horizontal="center"/>
    </xf>
    <xf numFmtId="169" fontId="2" fillId="0" borderId="0" xfId="2" applyNumberFormat="1" applyFont="1" applyFill="1"/>
    <xf numFmtId="169" fontId="2" fillId="0" borderId="0" xfId="2" applyNumberFormat="1" applyFont="1" applyFill="1" applyAlignment="1">
      <alignment horizontal="center"/>
    </xf>
    <xf numFmtId="0" fontId="2" fillId="0" borderId="8" xfId="0" applyFont="1" applyBorder="1" applyAlignment="1">
      <alignment horizontal="center" vertical="center"/>
    </xf>
    <xf numFmtId="0" fontId="2" fillId="0" borderId="0" xfId="0" applyFont="1" applyAlignment="1">
      <alignment horizontal="center" vertical="center"/>
    </xf>
    <xf numFmtId="3" fontId="2" fillId="0" borderId="8" xfId="0" applyNumberFormat="1" applyFont="1" applyBorder="1" applyAlignment="1">
      <alignment horizontal="center"/>
    </xf>
    <xf numFmtId="179" fontId="2" fillId="0" borderId="8" xfId="0" applyNumberFormat="1" applyFont="1" applyBorder="1" applyAlignment="1">
      <alignment horizontal="center"/>
    </xf>
    <xf numFmtId="168" fontId="2" fillId="0" borderId="8" xfId="0" applyNumberFormat="1" applyFont="1" applyBorder="1" applyAlignment="1">
      <alignment horizontal="center"/>
    </xf>
    <xf numFmtId="0" fontId="5" fillId="0" borderId="0" xfId="0" applyFont="1" applyAlignment="1">
      <alignment horizontal="left"/>
    </xf>
    <xf numFmtId="0" fontId="5" fillId="0" borderId="2" xfId="0" applyFont="1" applyBorder="1" applyAlignment="1">
      <alignment horizontal="left"/>
    </xf>
    <xf numFmtId="0" fontId="31" fillId="0" borderId="2" xfId="0" applyFont="1" applyBorder="1" applyAlignment="1">
      <alignment horizontal="center"/>
    </xf>
    <xf numFmtId="0" fontId="31" fillId="0" borderId="10" xfId="0" applyFont="1" applyBorder="1" applyAlignment="1">
      <alignment horizontal="centerContinuous"/>
    </xf>
    <xf numFmtId="0" fontId="31" fillId="0" borderId="12" xfId="0" applyFont="1" applyBorder="1" applyAlignment="1">
      <alignment horizontal="centerContinuous"/>
    </xf>
    <xf numFmtId="0" fontId="31" fillId="0" borderId="11" xfId="0" applyFont="1" applyBorder="1" applyAlignment="1">
      <alignment horizontal="centerContinuous"/>
    </xf>
    <xf numFmtId="0" fontId="31" fillId="0" borderId="4" xfId="0" applyFont="1" applyBorder="1" applyAlignment="1">
      <alignment horizontal="center"/>
    </xf>
    <xf numFmtId="0" fontId="31" fillId="0" borderId="16" xfId="0" applyFont="1" applyBorder="1" applyAlignment="1">
      <alignment horizontal="center"/>
    </xf>
    <xf numFmtId="0" fontId="31" fillId="0" borderId="15" xfId="0" applyFont="1" applyBorder="1" applyAlignment="1">
      <alignment horizontal="center"/>
    </xf>
    <xf numFmtId="0" fontId="31" fillId="0" borderId="14" xfId="0" applyFont="1" applyBorder="1" applyAlignment="1">
      <alignment horizontal="center"/>
    </xf>
    <xf numFmtId="0" fontId="31" fillId="0" borderId="3" xfId="0" applyFont="1" applyBorder="1" applyAlignment="1">
      <alignment horizontal="center"/>
    </xf>
    <xf numFmtId="0" fontId="31" fillId="0" borderId="7" xfId="0" applyFont="1" applyBorder="1" applyAlignment="1">
      <alignment horizontal="center"/>
    </xf>
    <xf numFmtId="0" fontId="31" fillId="0" borderId="9" xfId="0" applyFont="1" applyBorder="1" applyAlignment="1">
      <alignment horizontal="center"/>
    </xf>
    <xf numFmtId="0" fontId="5" fillId="0" borderId="16" xfId="0" applyFont="1" applyBorder="1" applyAlignment="1">
      <alignment horizontal="center"/>
    </xf>
    <xf numFmtId="3" fontId="5" fillId="0" borderId="15" xfId="0" applyNumberFormat="1" applyFont="1" applyBorder="1" applyAlignment="1">
      <alignment horizontal="center"/>
    </xf>
    <xf numFmtId="3" fontId="5" fillId="0" borderId="14" xfId="0" applyNumberFormat="1" applyFont="1" applyBorder="1" applyAlignment="1">
      <alignment horizontal="center"/>
    </xf>
    <xf numFmtId="3" fontId="5" fillId="0" borderId="16" xfId="0" applyNumberFormat="1" applyFont="1" applyBorder="1" applyAlignment="1">
      <alignment horizontal="center"/>
    </xf>
    <xf numFmtId="0" fontId="5" fillId="0" borderId="2" xfId="0" applyFont="1" applyBorder="1" applyAlignment="1">
      <alignment horizontal="center"/>
    </xf>
    <xf numFmtId="3" fontId="5" fillId="0" borderId="6" xfId="0" applyNumberFormat="1" applyFont="1" applyBorder="1" applyAlignment="1">
      <alignment horizontal="center"/>
    </xf>
    <xf numFmtId="3" fontId="5" fillId="0" borderId="4" xfId="0" applyNumberFormat="1" applyFont="1" applyBorder="1" applyAlignment="1">
      <alignment horizontal="center"/>
    </xf>
    <xf numFmtId="3" fontId="5" fillId="0" borderId="2" xfId="0" applyNumberFormat="1" applyFont="1" applyBorder="1" applyAlignment="1">
      <alignment horizontal="center"/>
    </xf>
    <xf numFmtId="0" fontId="5" fillId="0" borderId="3" xfId="0" applyFont="1" applyBorder="1" applyAlignment="1">
      <alignment horizontal="center"/>
    </xf>
    <xf numFmtId="3" fontId="5" fillId="0" borderId="9" xfId="0" applyNumberFormat="1" applyFont="1" applyBorder="1" applyAlignment="1">
      <alignment horizontal="center"/>
    </xf>
    <xf numFmtId="3" fontId="5" fillId="0" borderId="7" xfId="0" applyNumberFormat="1" applyFont="1" applyBorder="1" applyAlignment="1">
      <alignment horizontal="center"/>
    </xf>
    <xf numFmtId="3" fontId="5" fillId="0" borderId="3" xfId="0" applyNumberFormat="1" applyFont="1" applyBorder="1" applyAlignment="1">
      <alignment horizontal="center"/>
    </xf>
    <xf numFmtId="0" fontId="5" fillId="0" borderId="10" xfId="0" applyFont="1" applyBorder="1" applyAlignment="1">
      <alignment horizontal="center"/>
    </xf>
    <xf numFmtId="0" fontId="5" fillId="0" borderId="12" xfId="0" applyFont="1" applyBorder="1"/>
    <xf numFmtId="0" fontId="5" fillId="0" borderId="11" xfId="0" applyFont="1" applyBorder="1"/>
    <xf numFmtId="0" fontId="31" fillId="0" borderId="10" xfId="0" applyFont="1" applyBorder="1" applyAlignment="1">
      <alignment horizontal="center"/>
    </xf>
    <xf numFmtId="0" fontId="31" fillId="0" borderId="5" xfId="0" applyFont="1" applyBorder="1" applyAlignment="1">
      <alignment horizontal="center" wrapText="1"/>
    </xf>
    <xf numFmtId="0" fontId="31" fillId="0" borderId="1" xfId="0" applyFont="1" applyBorder="1" applyAlignment="1">
      <alignment horizontal="center" wrapText="1"/>
    </xf>
    <xf numFmtId="3"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xf>
    <xf numFmtId="0" fontId="5" fillId="0" borderId="7" xfId="0" applyFont="1" applyBorder="1" applyAlignment="1">
      <alignment horizontal="center"/>
    </xf>
    <xf numFmtId="3" fontId="31" fillId="0" borderId="3" xfId="0" applyNumberFormat="1" applyFont="1" applyBorder="1" applyAlignment="1">
      <alignment horizontal="center"/>
    </xf>
    <xf numFmtId="175" fontId="5" fillId="0" borderId="0" xfId="0" applyNumberFormat="1" applyFont="1"/>
    <xf numFmtId="9" fontId="5" fillId="0" borderId="0" xfId="0" applyNumberFormat="1" applyFont="1"/>
    <xf numFmtId="10" fontId="5" fillId="0" borderId="0" xfId="2" applyNumberFormat="1" applyFont="1" applyFill="1"/>
    <xf numFmtId="0" fontId="31" fillId="0" borderId="1" xfId="0" applyFont="1" applyBorder="1" applyAlignment="1">
      <alignment horizontal="center"/>
    </xf>
    <xf numFmtId="0" fontId="2" fillId="0" borderId="0" xfId="0" quotePrefix="1" applyFont="1"/>
    <xf numFmtId="15" fontId="2" fillId="0" borderId="8" xfId="0" applyNumberFormat="1" applyFont="1" applyBorder="1" applyAlignment="1">
      <alignment horizontal="center"/>
    </xf>
    <xf numFmtId="9" fontId="2" fillId="0" borderId="8" xfId="0" applyNumberFormat="1" applyFont="1" applyBorder="1" applyAlignment="1">
      <alignment horizontal="center"/>
    </xf>
    <xf numFmtId="10" fontId="2" fillId="0" borderId="0" xfId="2" applyNumberFormat="1" applyFont="1" applyFill="1" applyAlignment="1">
      <alignment horizontal="center"/>
    </xf>
    <xf numFmtId="175" fontId="2" fillId="0" borderId="8" xfId="0" applyNumberFormat="1" applyFont="1" applyBorder="1" applyAlignment="1">
      <alignment horizontal="center"/>
    </xf>
    <xf numFmtId="10" fontId="2" fillId="0" borderId="8" xfId="2" applyNumberFormat="1" applyFont="1" applyFill="1" applyBorder="1" applyAlignment="1">
      <alignment horizontal="center"/>
    </xf>
    <xf numFmtId="0" fontId="2" fillId="0" borderId="12" xfId="0" applyFont="1" applyBorder="1" applyAlignment="1">
      <alignment horizontal="center"/>
    </xf>
    <xf numFmtId="175" fontId="2" fillId="0" borderId="12" xfId="0" applyNumberFormat="1" applyFont="1" applyBorder="1" applyAlignment="1">
      <alignment horizontal="center"/>
    </xf>
    <xf numFmtId="0" fontId="2" fillId="0" borderId="12" xfId="0" applyFont="1" applyBorder="1"/>
    <xf numFmtId="0" fontId="25" fillId="0" borderId="0" xfId="0" applyFont="1"/>
    <xf numFmtId="0" fontId="24" fillId="0" borderId="0" xfId="0" applyFont="1"/>
    <xf numFmtId="0" fontId="1" fillId="5" borderId="0" xfId="0" applyFont="1" applyFill="1"/>
    <xf numFmtId="0" fontId="0" fillId="5" borderId="4" xfId="0" applyFill="1" applyBorder="1"/>
    <xf numFmtId="0" fontId="0" fillId="5" borderId="5" xfId="0" applyFill="1" applyBorder="1"/>
    <xf numFmtId="0" fontId="0" fillId="5" borderId="6" xfId="0" applyFill="1" applyBorder="1"/>
    <xf numFmtId="0" fontId="2" fillId="5" borderId="0" xfId="0" applyFont="1" applyFill="1"/>
    <xf numFmtId="0" fontId="0" fillId="5" borderId="14" xfId="0" applyFill="1" applyBorder="1"/>
    <xf numFmtId="0" fontId="0" fillId="5" borderId="15" xfId="0" applyFill="1" applyBorder="1"/>
    <xf numFmtId="0" fontId="0" fillId="5" borderId="7" xfId="0" applyFill="1" applyBorder="1"/>
    <xf numFmtId="0" fontId="0" fillId="5" borderId="8" xfId="0" applyFill="1" applyBorder="1"/>
    <xf numFmtId="0" fontId="0" fillId="5" borderId="9" xfId="0" applyFill="1" applyBorder="1"/>
    <xf numFmtId="0" fontId="2" fillId="5" borderId="0" xfId="0" quotePrefix="1" applyFont="1" applyFill="1"/>
    <xf numFmtId="10" fontId="5" fillId="0" borderId="0" xfId="2" applyNumberFormat="1" applyFont="1" applyFill="1" applyAlignment="1">
      <alignment horizontal="center"/>
    </xf>
    <xf numFmtId="10" fontId="2" fillId="0" borderId="0" xfId="0" applyNumberFormat="1" applyFont="1"/>
    <xf numFmtId="0" fontId="21" fillId="0" borderId="0" xfId="0" applyFont="1" applyAlignment="1">
      <alignment horizontal="center"/>
    </xf>
    <xf numFmtId="0" fontId="32" fillId="0" borderId="0" xfId="0" applyFont="1" applyAlignment="1">
      <alignment horizontal="centerContinuous"/>
    </xf>
    <xf numFmtId="0" fontId="5" fillId="0" borderId="0" xfId="0" applyFont="1" applyAlignment="1">
      <alignment horizontal="centerContinuous"/>
    </xf>
    <xf numFmtId="10" fontId="5" fillId="0" borderId="8" xfId="2" applyNumberFormat="1" applyFont="1" applyFill="1" applyBorder="1" applyAlignment="1">
      <alignment horizontal="center"/>
    </xf>
    <xf numFmtId="10" fontId="5" fillId="0" borderId="0" xfId="0" applyNumberFormat="1" applyFont="1" applyAlignment="1">
      <alignment horizontal="center"/>
    </xf>
    <xf numFmtId="167" fontId="5" fillId="0" borderId="0" xfId="0" applyNumberFormat="1" applyFont="1" applyAlignment="1">
      <alignment horizontal="center"/>
    </xf>
    <xf numFmtId="167" fontId="5" fillId="0" borderId="8" xfId="0" applyNumberFormat="1" applyFont="1" applyBorder="1" applyAlignment="1">
      <alignment horizontal="center"/>
    </xf>
    <xf numFmtId="177" fontId="5" fillId="0" borderId="0" xfId="2" applyNumberFormat="1" applyFont="1" applyFill="1" applyAlignment="1">
      <alignment horizontal="center"/>
    </xf>
    <xf numFmtId="177" fontId="5" fillId="0" borderId="0" xfId="0" applyNumberFormat="1" applyFont="1"/>
    <xf numFmtId="180" fontId="2" fillId="0" borderId="0" xfId="0" applyNumberFormat="1" applyFont="1" applyAlignment="1">
      <alignment horizontal="center"/>
    </xf>
    <xf numFmtId="180" fontId="2" fillId="0" borderId="8" xfId="0" applyNumberFormat="1" applyFont="1" applyBorder="1" applyAlignment="1">
      <alignment horizontal="center"/>
    </xf>
    <xf numFmtId="4" fontId="2" fillId="0" borderId="8" xfId="0" applyNumberFormat="1" applyFont="1" applyBorder="1" applyAlignment="1">
      <alignment horizontal="center"/>
    </xf>
    <xf numFmtId="180" fontId="5" fillId="0" borderId="0" xfId="0" applyNumberFormat="1" applyFont="1" applyAlignment="1">
      <alignment horizontal="center"/>
    </xf>
    <xf numFmtId="4" fontId="2" fillId="0" borderId="1" xfId="0" applyNumberFormat="1" applyFont="1" applyBorder="1" applyAlignment="1">
      <alignment horizontal="center"/>
    </xf>
    <xf numFmtId="4" fontId="24" fillId="0" borderId="1" xfId="0" applyNumberFormat="1" applyFont="1" applyBorder="1" applyAlignment="1">
      <alignment horizontal="center"/>
    </xf>
    <xf numFmtId="3" fontId="2" fillId="0" borderId="1" xfId="0" applyNumberFormat="1" applyFont="1" applyBorder="1" applyAlignment="1">
      <alignment horizontal="center"/>
    </xf>
    <xf numFmtId="3" fontId="24" fillId="0" borderId="1" xfId="0" applyNumberFormat="1" applyFont="1" applyBorder="1" applyAlignment="1">
      <alignment horizontal="center"/>
    </xf>
    <xf numFmtId="0" fontId="5" fillId="0" borderId="0" xfId="0" quotePrefix="1" applyFont="1"/>
    <xf numFmtId="10" fontId="5" fillId="0" borderId="0" xfId="2" applyNumberFormat="1" applyFont="1" applyFill="1" applyBorder="1" applyAlignment="1">
      <alignment horizontal="center"/>
    </xf>
    <xf numFmtId="180" fontId="5" fillId="0" borderId="8" xfId="0" applyNumberFormat="1" applyFont="1" applyBorder="1" applyAlignment="1">
      <alignment horizontal="center"/>
    </xf>
    <xf numFmtId="169" fontId="5" fillId="0" borderId="0" xfId="2" applyNumberFormat="1" applyFont="1" applyFill="1" applyAlignment="1">
      <alignment horizontal="center"/>
    </xf>
    <xf numFmtId="169" fontId="5" fillId="0" borderId="0" xfId="0" applyNumberFormat="1" applyFont="1" applyAlignment="1">
      <alignment horizontal="center"/>
    </xf>
    <xf numFmtId="0" fontId="5" fillId="0" borderId="5" xfId="0" applyFont="1" applyBorder="1"/>
    <xf numFmtId="10" fontId="5" fillId="0" borderId="0" xfId="0" applyNumberFormat="1" applyFont="1"/>
    <xf numFmtId="10" fontId="5" fillId="0" borderId="8" xfId="0" applyNumberFormat="1" applyFont="1" applyBorder="1" applyAlignment="1">
      <alignment horizontal="center"/>
    </xf>
    <xf numFmtId="9" fontId="5" fillId="0" borderId="8" xfId="0" applyNumberFormat="1" applyFont="1" applyBorder="1" applyAlignment="1">
      <alignment horizontal="center"/>
    </xf>
    <xf numFmtId="3" fontId="5" fillId="0" borderId="8" xfId="0" applyNumberFormat="1" applyFont="1" applyBorder="1"/>
    <xf numFmtId="0" fontId="25" fillId="0" borderId="0" xfId="0" applyFont="1" applyAlignment="1">
      <alignment horizontal="left" vertical="center"/>
    </xf>
    <xf numFmtId="0" fontId="24" fillId="0" borderId="0" xfId="0" applyFont="1" applyAlignment="1">
      <alignment horizontal="left"/>
    </xf>
    <xf numFmtId="0" fontId="5" fillId="0" borderId="0" xfId="0" quotePrefix="1" applyFont="1" applyAlignment="1">
      <alignment horizontal="center" vertical="center"/>
    </xf>
    <xf numFmtId="0" fontId="30" fillId="0" borderId="8" xfId="0" applyFont="1" applyBorder="1"/>
    <xf numFmtId="15" fontId="5" fillId="0" borderId="0" xfId="0" applyNumberFormat="1" applyFont="1"/>
    <xf numFmtId="0" fontId="8" fillId="2" borderId="0" xfId="0" applyFont="1" applyFill="1" applyAlignment="1">
      <alignment vertical="center" wrapText="1"/>
    </xf>
    <xf numFmtId="0" fontId="1" fillId="2" borderId="0" xfId="0" applyFont="1" applyFill="1" applyAlignment="1">
      <alignment wrapText="1"/>
    </xf>
    <xf numFmtId="0" fontId="1" fillId="5" borderId="8" xfId="0" applyFont="1" applyFill="1" applyBorder="1" applyAlignment="1">
      <alignment horizontal="center"/>
    </xf>
    <xf numFmtId="0" fontId="1" fillId="0" borderId="8" xfId="0" applyFont="1" applyBorder="1" applyAlignment="1">
      <alignment horizontal="center"/>
    </xf>
    <xf numFmtId="0" fontId="2" fillId="0" borderId="0" xfId="0" applyFont="1" applyAlignment="1">
      <alignment horizontal="center"/>
    </xf>
    <xf numFmtId="0" fontId="1" fillId="2" borderId="0" xfId="0" applyFont="1" applyFill="1" applyAlignment="1">
      <alignment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3" borderId="0" xfId="0" applyFont="1" applyFill="1" applyAlignment="1">
      <alignment wrapText="1"/>
    </xf>
    <xf numFmtId="0" fontId="10" fillId="2" borderId="1" xfId="0" applyFont="1" applyFill="1" applyBorder="1" applyAlignment="1">
      <alignment horizontal="center" wrapText="1"/>
    </xf>
    <xf numFmtId="0" fontId="10" fillId="2" borderId="1" xfId="0" applyFont="1" applyFill="1" applyBorder="1" applyAlignment="1">
      <alignment horizontal="center" vertical="center"/>
    </xf>
    <xf numFmtId="0" fontId="2" fillId="0" borderId="1" xfId="0" applyFont="1" applyBorder="1" applyAlignment="1">
      <alignment horizontal="center" wrapText="1"/>
    </xf>
    <xf numFmtId="0" fontId="2" fillId="0" borderId="10"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6" fillId="3" borderId="0" xfId="0" applyFont="1" applyFill="1" applyAlignment="1">
      <alignment wrapText="1"/>
    </xf>
    <xf numFmtId="0" fontId="10" fillId="2" borderId="10" xfId="0" applyFont="1" applyFill="1" applyBorder="1" applyAlignment="1">
      <alignment horizontal="center" wrapText="1"/>
    </xf>
    <xf numFmtId="0" fontId="10" fillId="2" borderId="11" xfId="0" applyFont="1" applyFill="1" applyBorder="1" applyAlignment="1">
      <alignment horizontal="center" wrapText="1"/>
    </xf>
    <xf numFmtId="0" fontId="1" fillId="2" borderId="1" xfId="0" applyFont="1" applyFill="1" applyBorder="1" applyAlignment="1">
      <alignment horizontal="center" vertical="center" wrapText="1"/>
    </xf>
    <xf numFmtId="0" fontId="1" fillId="0" borderId="0" xfId="0" applyFont="1" applyAlignment="1">
      <alignment horizontal="center"/>
    </xf>
    <xf numFmtId="0" fontId="5" fillId="0" borderId="5" xfId="0" applyFont="1" applyBorder="1"/>
    <xf numFmtId="0" fontId="5" fillId="0" borderId="0" xfId="0" applyFont="1"/>
    <xf numFmtId="0" fontId="10" fillId="2" borderId="11" xfId="0" applyFont="1" applyFill="1" applyBorder="1" applyAlignment="1">
      <alignment horizontal="center" vertical="center"/>
    </xf>
    <xf numFmtId="0" fontId="2" fillId="0" borderId="8" xfId="0" applyFont="1" applyBorder="1" applyAlignment="1">
      <alignment horizontal="center"/>
    </xf>
    <xf numFmtId="0" fontId="2" fillId="0" borderId="8" xfId="0" applyFont="1" applyBorder="1" applyAlignment="1">
      <alignment horizontal="center" wrapText="1"/>
    </xf>
    <xf numFmtId="0" fontId="5" fillId="0" borderId="8" xfId="0" applyFont="1" applyBorder="1" applyAlignment="1">
      <alignment horizontal="center"/>
    </xf>
    <xf numFmtId="167" fontId="1" fillId="2" borderId="1" xfId="0" applyNumberFormat="1" applyFont="1" applyFill="1" applyBorder="1" applyAlignment="1">
      <alignment horizontal="center" vertical="center" wrapText="1"/>
    </xf>
    <xf numFmtId="0" fontId="2" fillId="0" borderId="1" xfId="0" applyFont="1" applyBorder="1" applyAlignment="1">
      <alignment horizont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0" fillId="2" borderId="1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9"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20</xdr:col>
      <xdr:colOff>9525</xdr:colOff>
      <xdr:row>23</xdr:row>
      <xdr:rowOff>9525</xdr:rowOff>
    </xdr:from>
    <xdr:to>
      <xdr:col>32</xdr:col>
      <xdr:colOff>28575</xdr:colOff>
      <xdr:row>35</xdr:row>
      <xdr:rowOff>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11249025" y="4638675"/>
          <a:ext cx="2533650" cy="2390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xdr:colOff>
      <xdr:row>22</xdr:row>
      <xdr:rowOff>192405</xdr:rowOff>
    </xdr:from>
    <xdr:to>
      <xdr:col>48</xdr:col>
      <xdr:colOff>220980</xdr:colOff>
      <xdr:row>34</xdr:row>
      <xdr:rowOff>180975</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flipV="1">
          <a:off x="14803755" y="4621530"/>
          <a:ext cx="2524125" cy="2388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200025</xdr:colOff>
      <xdr:row>23</xdr:row>
      <xdr:rowOff>0</xdr:rowOff>
    </xdr:from>
    <xdr:to>
      <xdr:col>28</xdr:col>
      <xdr:colOff>9525</xdr:colOff>
      <xdr:row>35</xdr:row>
      <xdr:rowOff>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a:off x="12906375" y="4629150"/>
          <a:ext cx="19050" cy="2400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41</xdr:row>
      <xdr:rowOff>9525</xdr:rowOff>
    </xdr:from>
    <xdr:to>
      <xdr:col>26</xdr:col>
      <xdr:colOff>28575</xdr:colOff>
      <xdr:row>52</xdr:row>
      <xdr:rowOff>188595</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V="1">
          <a:off x="12506325" y="8248650"/>
          <a:ext cx="1285875" cy="23793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200025</xdr:colOff>
      <xdr:row>41</xdr:row>
      <xdr:rowOff>11430</xdr:rowOff>
    </xdr:from>
    <xdr:to>
      <xdr:col>43</xdr:col>
      <xdr:colOff>15240</xdr:colOff>
      <xdr:row>52</xdr:row>
      <xdr:rowOff>186690</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V="1">
          <a:off x="16059150" y="8250555"/>
          <a:ext cx="1282065" cy="23755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41</xdr:row>
      <xdr:rowOff>0</xdr:rowOff>
    </xdr:from>
    <xdr:to>
      <xdr:col>28</xdr:col>
      <xdr:colOff>19050</xdr:colOff>
      <xdr:row>53</xdr:row>
      <xdr:rowOff>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a:off x="14182725" y="8239125"/>
          <a:ext cx="19050" cy="2400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171450</xdr:colOff>
          <xdr:row>28</xdr:row>
          <xdr:rowOff>19050</xdr:rowOff>
        </xdr:from>
        <xdr:to>
          <xdr:col>7</xdr:col>
          <xdr:colOff>285750</xdr:colOff>
          <xdr:row>29</xdr:row>
          <xdr:rowOff>57150</xdr:rowOff>
        </xdr:to>
        <xdr:sp macro="" textlink="">
          <xdr:nvSpPr>
            <xdr:cNvPr id="10243" name="Object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29</xdr:row>
          <xdr:rowOff>38100</xdr:rowOff>
        </xdr:from>
        <xdr:to>
          <xdr:col>1</xdr:col>
          <xdr:colOff>304800</xdr:colOff>
          <xdr:row>30</xdr:row>
          <xdr:rowOff>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552450</xdr:colOff>
          <xdr:row>36</xdr:row>
          <xdr:rowOff>57150</xdr:rowOff>
        </xdr:from>
        <xdr:to>
          <xdr:col>3</xdr:col>
          <xdr:colOff>695325</xdr:colOff>
          <xdr:row>36</xdr:row>
          <xdr:rowOff>219075</xdr:rowOff>
        </xdr:to>
        <xdr:sp macro="" textlink="">
          <xdr:nvSpPr>
            <xdr:cNvPr id="10244" name="Object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87630</xdr:colOff>
      <xdr:row>25</xdr:row>
      <xdr:rowOff>0</xdr:rowOff>
    </xdr:from>
    <xdr:to>
      <xdr:col>21</xdr:col>
      <xdr:colOff>76200</xdr:colOff>
      <xdr:row>29</xdr:row>
      <xdr:rowOff>0</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flipV="1">
          <a:off x="10060305" y="5229225"/>
          <a:ext cx="541020" cy="1104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26670</xdr:colOff>
      <xdr:row>37</xdr:row>
      <xdr:rowOff>19050</xdr:rowOff>
    </xdr:from>
    <xdr:to>
      <xdr:col>26</xdr:col>
      <xdr:colOff>57150</xdr:colOff>
      <xdr:row>41</xdr:row>
      <xdr:rowOff>7620</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flipV="1">
          <a:off x="9723120" y="7962900"/>
          <a:ext cx="2240280" cy="10934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392D-646E-4923-B15D-530C7133A5F2}">
  <dimension ref="A1:R69"/>
  <sheetViews>
    <sheetView tabSelected="1" zoomScaleNormal="100" workbookViewId="0"/>
  </sheetViews>
  <sheetFormatPr defaultColWidth="8.85546875" defaultRowHeight="15.75"/>
  <cols>
    <col min="1" max="2" width="8.85546875" style="1" customWidth="1"/>
    <col min="3" max="7" width="12.7109375" style="1" customWidth="1"/>
    <col min="8" max="8" width="8.85546875" style="1" customWidth="1"/>
    <col min="9" max="16384" width="8.85546875" style="1"/>
  </cols>
  <sheetData>
    <row r="1" spans="1:18" ht="18.75">
      <c r="A1" s="2" t="s">
        <v>12</v>
      </c>
      <c r="B1" s="4"/>
      <c r="C1" s="9" t="s">
        <v>11</v>
      </c>
      <c r="D1" s="4"/>
      <c r="E1" s="4"/>
      <c r="F1" s="4"/>
      <c r="G1" s="4"/>
      <c r="H1" s="4"/>
      <c r="I1" s="4"/>
      <c r="J1" s="4"/>
      <c r="K1" s="4"/>
      <c r="L1" s="3"/>
    </row>
    <row r="2" spans="1:18">
      <c r="A2" s="4"/>
      <c r="B2" s="4"/>
      <c r="C2" s="4"/>
      <c r="D2" s="4"/>
      <c r="E2" s="4"/>
      <c r="F2" s="4"/>
      <c r="G2" s="4"/>
      <c r="H2" s="4"/>
      <c r="I2" s="4"/>
      <c r="J2" s="4"/>
      <c r="K2" s="4"/>
      <c r="L2" s="3"/>
    </row>
    <row r="3" spans="1:18" ht="15.6" customHeight="1">
      <c r="A3" s="4" t="s">
        <v>371</v>
      </c>
      <c r="B3" s="4"/>
      <c r="C3" s="4"/>
      <c r="D3" s="4"/>
      <c r="E3" s="4"/>
      <c r="F3" s="4"/>
      <c r="G3" s="4"/>
      <c r="H3" s="4"/>
      <c r="I3" s="4"/>
      <c r="J3" s="4"/>
      <c r="K3" s="4"/>
      <c r="L3" s="3"/>
    </row>
    <row r="4" spans="1:18">
      <c r="A4" s="4" t="s">
        <v>325</v>
      </c>
      <c r="B4" s="4"/>
      <c r="C4" s="84">
        <v>1000</v>
      </c>
      <c r="D4" s="4" t="s">
        <v>372</v>
      </c>
      <c r="E4" s="4"/>
      <c r="F4" s="4"/>
      <c r="G4" s="4"/>
      <c r="H4" s="4"/>
      <c r="I4" s="4"/>
      <c r="J4" s="4"/>
      <c r="K4" s="4"/>
      <c r="L4" s="9"/>
    </row>
    <row r="5" spans="1:18">
      <c r="A5" s="4" t="s">
        <v>373</v>
      </c>
      <c r="B5" s="4"/>
      <c r="C5" s="4"/>
      <c r="D5" s="4"/>
      <c r="E5" s="4"/>
      <c r="F5" s="4"/>
      <c r="G5" s="4"/>
      <c r="H5" s="4"/>
      <c r="I5" s="4"/>
      <c r="J5" s="4"/>
      <c r="K5" s="4"/>
      <c r="L5" s="9"/>
    </row>
    <row r="6" spans="1:18">
      <c r="A6" s="9"/>
      <c r="B6" s="9"/>
      <c r="C6" s="9"/>
      <c r="D6" s="9"/>
      <c r="E6" s="9"/>
      <c r="F6" s="9"/>
      <c r="G6" s="9"/>
      <c r="H6" s="9"/>
      <c r="I6" s="9"/>
      <c r="J6" s="9"/>
      <c r="K6" s="9"/>
      <c r="L6" s="9"/>
    </row>
    <row r="8" spans="1:18">
      <c r="A8" s="12" t="s">
        <v>4</v>
      </c>
      <c r="B8" s="9" t="s">
        <v>374</v>
      </c>
      <c r="C8" s="9"/>
      <c r="D8" s="9"/>
      <c r="E8" s="4"/>
      <c r="F8" s="4"/>
      <c r="G8" s="4"/>
      <c r="H8" s="4"/>
      <c r="I8" s="4"/>
      <c r="J8" s="4"/>
      <c r="K8" s="4"/>
      <c r="L8" s="4"/>
      <c r="M8" s="8"/>
      <c r="N8" s="8"/>
      <c r="O8" s="8"/>
      <c r="P8" s="8"/>
      <c r="Q8" s="8"/>
      <c r="R8" s="8"/>
    </row>
    <row r="9" spans="1:18">
      <c r="A9" s="12"/>
      <c r="B9" s="9"/>
      <c r="C9" s="9"/>
      <c r="D9" s="9"/>
      <c r="E9" s="4"/>
      <c r="F9" s="4"/>
      <c r="G9" s="4"/>
      <c r="H9" s="4"/>
      <c r="I9" s="4"/>
      <c r="J9" s="4"/>
      <c r="K9" s="4"/>
      <c r="L9" s="4"/>
      <c r="M9" s="8"/>
      <c r="N9" s="8"/>
      <c r="O9" s="8"/>
      <c r="P9" s="8"/>
      <c r="Q9" s="8"/>
      <c r="R9" s="8"/>
    </row>
    <row r="10" spans="1:18">
      <c r="A10" s="12"/>
      <c r="B10" s="13" t="s">
        <v>14</v>
      </c>
      <c r="C10" s="14" t="s">
        <v>321</v>
      </c>
      <c r="D10" s="9"/>
      <c r="E10" s="4"/>
      <c r="F10" s="83">
        <v>500</v>
      </c>
      <c r="G10" s="4" t="s">
        <v>323</v>
      </c>
      <c r="H10" s="4"/>
      <c r="I10" s="4"/>
      <c r="J10" s="4"/>
      <c r="K10" s="4"/>
      <c r="L10" s="4"/>
      <c r="M10" s="8"/>
      <c r="N10" s="8"/>
      <c r="O10" s="8"/>
      <c r="P10" s="8"/>
      <c r="Q10" s="8"/>
      <c r="R10" s="8"/>
    </row>
    <row r="11" spans="1:18">
      <c r="A11" s="12"/>
      <c r="B11" s="15"/>
      <c r="C11" s="16"/>
      <c r="D11" s="9"/>
      <c r="E11" s="4"/>
      <c r="F11" s="4"/>
      <c r="G11" s="4"/>
      <c r="H11" s="4"/>
      <c r="I11" s="4"/>
      <c r="J11" s="4"/>
      <c r="K11" s="4"/>
      <c r="L11" s="4"/>
      <c r="M11" s="8"/>
      <c r="N11" s="8"/>
      <c r="O11" s="8"/>
      <c r="P11" s="8"/>
      <c r="Q11" s="8"/>
      <c r="R11" s="8"/>
    </row>
    <row r="12" spans="1:18">
      <c r="A12" s="12"/>
      <c r="B12" s="13" t="s">
        <v>15</v>
      </c>
      <c r="C12" s="14" t="s">
        <v>375</v>
      </c>
      <c r="D12" s="9"/>
      <c r="E12" s="54">
        <v>0.2</v>
      </c>
      <c r="F12" s="9" t="s">
        <v>322</v>
      </c>
      <c r="G12" s="32"/>
      <c r="H12" s="9"/>
      <c r="I12" s="9"/>
      <c r="J12" s="4"/>
      <c r="K12" s="4"/>
      <c r="L12" s="4"/>
      <c r="M12" s="8"/>
      <c r="N12" s="8"/>
      <c r="O12" s="8"/>
      <c r="P12" s="8"/>
      <c r="Q12" s="8"/>
      <c r="R12" s="8"/>
    </row>
    <row r="13" spans="1:18">
      <c r="A13" s="12"/>
      <c r="B13" s="15"/>
      <c r="C13" s="16"/>
      <c r="D13" s="9"/>
      <c r="E13" s="4"/>
      <c r="F13" s="9"/>
      <c r="G13" s="9"/>
      <c r="H13" s="9"/>
      <c r="I13" s="9"/>
      <c r="J13" s="4"/>
      <c r="K13" s="4"/>
      <c r="L13" s="4"/>
      <c r="M13" s="8"/>
      <c r="N13" s="8"/>
      <c r="O13" s="8"/>
      <c r="P13" s="8"/>
      <c r="Q13" s="8"/>
      <c r="R13" s="8"/>
    </row>
    <row r="14" spans="1:18">
      <c r="A14" s="12"/>
      <c r="B14" s="13" t="s">
        <v>16</v>
      </c>
      <c r="C14" s="13" t="s">
        <v>17</v>
      </c>
      <c r="D14" s="9"/>
      <c r="E14" s="4"/>
      <c r="F14" s="4"/>
      <c r="G14" s="4"/>
      <c r="H14" s="4"/>
      <c r="I14" s="4"/>
      <c r="J14" s="4"/>
      <c r="K14" s="4"/>
      <c r="L14" s="4"/>
      <c r="M14" s="8"/>
      <c r="N14" s="8"/>
      <c r="O14" s="8"/>
      <c r="P14" s="8"/>
      <c r="Q14" s="8"/>
      <c r="R14" s="8"/>
    </row>
    <row r="15" spans="1:18">
      <c r="A15" s="12"/>
      <c r="B15" s="9"/>
      <c r="C15" s="17" t="s">
        <v>324</v>
      </c>
      <c r="D15" s="9"/>
      <c r="E15" s="4"/>
      <c r="F15" s="4"/>
      <c r="G15" s="4"/>
      <c r="H15" s="4"/>
      <c r="I15" s="84">
        <v>50000</v>
      </c>
      <c r="J15" s="4"/>
      <c r="K15" s="4"/>
      <c r="L15" s="4"/>
      <c r="M15" s="8"/>
      <c r="N15" s="8"/>
      <c r="O15" s="8"/>
      <c r="P15" s="8"/>
      <c r="Q15" s="8"/>
      <c r="R15" s="8"/>
    </row>
    <row r="16" spans="1:18">
      <c r="A16" s="12"/>
      <c r="B16" s="9"/>
      <c r="C16" s="17" t="s">
        <v>327</v>
      </c>
      <c r="D16" s="9"/>
      <c r="E16" s="4"/>
      <c r="F16" s="4"/>
      <c r="G16" s="4"/>
      <c r="H16" s="4"/>
      <c r="I16" s="4"/>
      <c r="J16" s="84">
        <v>100000</v>
      </c>
      <c r="K16" s="4" t="s">
        <v>326</v>
      </c>
      <c r="L16" s="4"/>
      <c r="M16" s="8"/>
      <c r="N16" s="8"/>
      <c r="O16" s="8"/>
      <c r="P16" s="8"/>
      <c r="Q16" s="8"/>
      <c r="R16" s="8"/>
    </row>
    <row r="17" spans="1:14">
      <c r="A17" s="9"/>
      <c r="B17" s="9"/>
      <c r="C17" s="298" t="s">
        <v>18</v>
      </c>
      <c r="D17" s="298"/>
      <c r="E17" s="298"/>
      <c r="F17" s="298"/>
      <c r="G17" s="298"/>
      <c r="H17" s="298"/>
      <c r="I17" s="298"/>
      <c r="J17" s="298"/>
      <c r="K17" s="298"/>
      <c r="L17" s="4"/>
    </row>
    <row r="18" spans="1:14">
      <c r="A18" s="9"/>
      <c r="B18" s="9"/>
      <c r="C18" s="298"/>
      <c r="D18" s="298"/>
      <c r="E18" s="298"/>
      <c r="F18" s="298"/>
      <c r="G18" s="298"/>
      <c r="H18" s="298"/>
      <c r="I18" s="298"/>
      <c r="J18" s="298"/>
      <c r="K18" s="298"/>
      <c r="L18" s="4"/>
    </row>
    <row r="19" spans="1:14">
      <c r="A19" s="9"/>
      <c r="B19" s="18"/>
      <c r="C19" s="16"/>
      <c r="D19" s="9"/>
      <c r="E19" s="4"/>
      <c r="F19" s="3"/>
      <c r="G19" s="4"/>
      <c r="H19" s="4"/>
      <c r="I19" s="4"/>
      <c r="J19" s="4"/>
      <c r="K19" s="4"/>
      <c r="L19" s="4"/>
    </row>
    <row r="20" spans="1:14">
      <c r="A20" s="7"/>
      <c r="B20" s="7"/>
      <c r="C20" s="7"/>
      <c r="D20" s="7"/>
      <c r="E20" s="7"/>
      <c r="F20" s="7"/>
      <c r="G20" s="7"/>
      <c r="H20" s="7"/>
      <c r="I20" s="7"/>
      <c r="J20" s="7"/>
      <c r="K20" s="7"/>
      <c r="L20" s="7"/>
      <c r="M20" s="7"/>
    </row>
    <row r="21" spans="1:14">
      <c r="A21" s="7" t="s">
        <v>1</v>
      </c>
      <c r="B21" s="7"/>
      <c r="C21" s="7"/>
      <c r="D21" s="7"/>
      <c r="E21" s="7"/>
      <c r="F21" s="7"/>
      <c r="G21" s="7"/>
      <c r="H21" s="7"/>
      <c r="I21" s="7"/>
      <c r="J21" s="7"/>
      <c r="K21" s="7"/>
      <c r="L21" s="7"/>
      <c r="M21" s="7"/>
      <c r="N21" s="8"/>
    </row>
    <row r="22" spans="1:14">
      <c r="A22" s="7"/>
      <c r="B22" s="107" t="s">
        <v>14</v>
      </c>
      <c r="C22" s="7" t="s">
        <v>722</v>
      </c>
      <c r="D22" s="7"/>
      <c r="F22" s="157">
        <f>F10*80</f>
        <v>40000</v>
      </c>
      <c r="G22" s="7"/>
      <c r="H22" s="7"/>
      <c r="I22" s="7"/>
      <c r="J22" s="7"/>
      <c r="K22" s="7"/>
      <c r="L22" s="7"/>
      <c r="M22" s="7"/>
      <c r="N22" s="8"/>
    </row>
    <row r="23" spans="1:14">
      <c r="A23" s="7"/>
      <c r="B23" s="7"/>
      <c r="C23" s="7"/>
      <c r="D23" s="7"/>
      <c r="E23" s="7"/>
      <c r="F23" s="7"/>
      <c r="G23" s="7"/>
      <c r="H23" s="7"/>
      <c r="I23" s="7"/>
      <c r="J23" s="7"/>
      <c r="K23" s="7"/>
      <c r="L23" s="7"/>
      <c r="M23" s="7"/>
      <c r="N23" s="8"/>
    </row>
    <row r="24" spans="1:14">
      <c r="B24" s="1" t="s">
        <v>15</v>
      </c>
      <c r="C24" s="7" t="s">
        <v>722</v>
      </c>
      <c r="F24" s="157">
        <f>80*C4*E12</f>
        <v>16000</v>
      </c>
      <c r="M24" s="8"/>
      <c r="N24" s="8"/>
    </row>
    <row r="25" spans="1:14">
      <c r="M25" s="8"/>
      <c r="N25" s="8"/>
    </row>
    <row r="26" spans="1:14">
      <c r="B26" s="1" t="s">
        <v>16</v>
      </c>
      <c r="C26" s="7" t="s">
        <v>497</v>
      </c>
      <c r="F26" s="157">
        <f>J16/(J16-I15)</f>
        <v>2</v>
      </c>
      <c r="M26" s="8"/>
      <c r="N26" s="8"/>
    </row>
    <row r="27" spans="1:14">
      <c r="C27" s="7" t="s">
        <v>498</v>
      </c>
      <c r="F27" s="157">
        <f>(80000-I15)*F26</f>
        <v>60000</v>
      </c>
      <c r="M27" s="8"/>
      <c r="N27" s="8"/>
    </row>
    <row r="28" spans="1:14">
      <c r="C28" s="7" t="s">
        <v>499</v>
      </c>
      <c r="F28" s="157">
        <f>80000-F27</f>
        <v>20000</v>
      </c>
      <c r="M28" s="8"/>
      <c r="N28" s="8"/>
    </row>
    <row r="30" spans="1:14">
      <c r="A30" s="6" t="s">
        <v>5</v>
      </c>
      <c r="B30" s="9" t="s">
        <v>19</v>
      </c>
      <c r="C30" s="4"/>
      <c r="D30" s="4"/>
      <c r="E30" s="4"/>
      <c r="F30" s="4"/>
      <c r="G30" s="4"/>
      <c r="H30" s="4"/>
      <c r="I30" s="4"/>
      <c r="J30" s="4"/>
      <c r="K30" s="4"/>
      <c r="L30" s="4"/>
    </row>
    <row r="31" spans="1:14">
      <c r="A31" s="3"/>
      <c r="B31" s="3"/>
      <c r="C31" s="3"/>
      <c r="D31" s="3"/>
      <c r="E31" s="3"/>
      <c r="F31" s="3"/>
      <c r="G31" s="4"/>
      <c r="H31" s="4"/>
      <c r="I31" s="4"/>
      <c r="J31" s="4"/>
      <c r="K31" s="4"/>
      <c r="L31" s="4"/>
    </row>
    <row r="32" spans="1:14">
      <c r="A32" s="7"/>
      <c r="B32" s="7"/>
      <c r="C32" s="7"/>
      <c r="D32" s="7"/>
      <c r="E32" s="7"/>
      <c r="F32" s="7"/>
      <c r="G32" s="7"/>
      <c r="H32" s="7"/>
      <c r="I32" s="7"/>
      <c r="J32" s="7"/>
      <c r="K32" s="7"/>
      <c r="L32" s="7"/>
    </row>
    <row r="33" spans="1:13">
      <c r="A33" s="7" t="s">
        <v>1</v>
      </c>
      <c r="B33" s="7"/>
      <c r="C33" s="7"/>
      <c r="D33" s="7"/>
      <c r="E33" s="7"/>
      <c r="F33" s="7"/>
      <c r="G33" s="7"/>
      <c r="H33" s="7"/>
      <c r="I33" s="7"/>
      <c r="J33" s="7"/>
      <c r="K33" s="7"/>
      <c r="L33" s="7"/>
    </row>
    <row r="34" spans="1:13">
      <c r="A34" s="7"/>
      <c r="B34" s="7"/>
      <c r="C34" s="7"/>
      <c r="D34" s="7"/>
      <c r="E34" s="7"/>
      <c r="F34" s="7"/>
      <c r="G34" s="7"/>
      <c r="H34" s="7"/>
      <c r="I34" s="7"/>
      <c r="J34" s="7"/>
      <c r="K34" s="7"/>
      <c r="L34" s="7"/>
    </row>
    <row r="35" spans="1:13">
      <c r="A35" s="7"/>
      <c r="B35" s="7" t="s">
        <v>407</v>
      </c>
      <c r="C35" s="7"/>
      <c r="D35" s="7"/>
      <c r="E35" s="7"/>
      <c r="F35" s="7"/>
      <c r="G35" s="7"/>
      <c r="H35" s="7"/>
      <c r="I35" s="7"/>
      <c r="J35" s="7"/>
      <c r="K35" s="7"/>
      <c r="L35" s="7"/>
    </row>
    <row r="36" spans="1:13">
      <c r="B36" s="1" t="s">
        <v>500</v>
      </c>
      <c r="M36" s="7"/>
    </row>
    <row r="37" spans="1:13">
      <c r="B37" s="1" t="s">
        <v>501</v>
      </c>
      <c r="M37" s="7"/>
    </row>
    <row r="38" spans="1:13">
      <c r="B38" s="1" t="s">
        <v>502</v>
      </c>
      <c r="M38" s="7"/>
    </row>
    <row r="39" spans="1:13">
      <c r="B39" s="1" t="s">
        <v>503</v>
      </c>
    </row>
    <row r="41" spans="1:13">
      <c r="A41" s="3"/>
      <c r="B41" s="3"/>
      <c r="C41" s="3"/>
      <c r="D41" s="3"/>
      <c r="E41" s="3"/>
      <c r="F41" s="3"/>
      <c r="G41" s="4"/>
      <c r="H41" s="4"/>
      <c r="I41" s="4"/>
      <c r="J41" s="4"/>
      <c r="K41" s="4"/>
      <c r="L41" s="4"/>
    </row>
    <row r="42" spans="1:13">
      <c r="A42" s="9" t="s">
        <v>376</v>
      </c>
      <c r="B42" s="3"/>
      <c r="C42" s="3"/>
      <c r="D42" s="3"/>
      <c r="E42" s="3"/>
      <c r="F42" s="84">
        <v>450000</v>
      </c>
      <c r="G42" s="4" t="s">
        <v>377</v>
      </c>
      <c r="H42" s="4"/>
      <c r="I42" s="4"/>
      <c r="J42" s="84">
        <v>800000</v>
      </c>
      <c r="K42" s="4"/>
      <c r="L42" s="4"/>
    </row>
    <row r="43" spans="1:13">
      <c r="A43" s="9" t="s">
        <v>378</v>
      </c>
      <c r="B43" s="3"/>
      <c r="C43" s="3"/>
      <c r="D43" s="3"/>
      <c r="E43" s="3"/>
      <c r="F43" s="3"/>
      <c r="G43" s="4"/>
      <c r="H43" s="4"/>
      <c r="I43" s="4"/>
      <c r="J43" s="4"/>
      <c r="K43" s="4"/>
      <c r="L43" s="4"/>
    </row>
    <row r="44" spans="1:13">
      <c r="A44" s="3"/>
      <c r="B44" s="3"/>
      <c r="C44" s="3"/>
      <c r="D44" s="3"/>
      <c r="E44" s="3"/>
      <c r="F44" s="3"/>
      <c r="G44" s="4"/>
      <c r="H44" s="4"/>
      <c r="I44" s="4"/>
      <c r="J44" s="4"/>
      <c r="K44" s="4"/>
      <c r="L44" s="4"/>
    </row>
    <row r="46" spans="1:13">
      <c r="A46" s="6" t="s">
        <v>0</v>
      </c>
      <c r="B46" s="9" t="s">
        <v>20</v>
      </c>
      <c r="C46" s="4"/>
      <c r="D46" s="4"/>
      <c r="E46" s="4"/>
      <c r="F46" s="4"/>
      <c r="G46" s="4"/>
      <c r="H46" s="4"/>
      <c r="I46" s="4"/>
      <c r="J46" s="4"/>
      <c r="K46" s="4"/>
      <c r="L46" s="4"/>
    </row>
    <row r="47" spans="1:13">
      <c r="A47" s="6"/>
      <c r="B47" s="4"/>
      <c r="C47" s="4"/>
      <c r="D47" s="4"/>
      <c r="E47" s="4"/>
      <c r="F47" s="4"/>
      <c r="G47" s="4"/>
      <c r="H47" s="4"/>
      <c r="I47" s="4"/>
      <c r="J47" s="4"/>
      <c r="K47" s="4"/>
      <c r="L47" s="4"/>
    </row>
    <row r="48" spans="1:13">
      <c r="A48" s="12"/>
      <c r="B48" s="14" t="s">
        <v>329</v>
      </c>
      <c r="C48" s="9"/>
      <c r="D48" s="9"/>
      <c r="E48" s="9"/>
      <c r="F48" s="84">
        <v>200000</v>
      </c>
      <c r="G48" s="74" t="s">
        <v>332</v>
      </c>
      <c r="H48" s="54">
        <v>0.5</v>
      </c>
      <c r="I48" s="4" t="s">
        <v>328</v>
      </c>
      <c r="J48" s="4"/>
      <c r="K48" s="4"/>
      <c r="L48" s="4"/>
    </row>
    <row r="49" spans="1:12">
      <c r="A49" s="12"/>
      <c r="B49" s="14"/>
      <c r="C49" s="9"/>
      <c r="D49" s="9"/>
      <c r="E49" s="9"/>
      <c r="F49" s="4"/>
      <c r="G49" s="4"/>
      <c r="H49" s="4"/>
      <c r="I49" s="4"/>
      <c r="J49" s="4"/>
      <c r="K49" s="4"/>
      <c r="L49" s="4"/>
    </row>
    <row r="50" spans="1:12">
      <c r="A50" s="12"/>
      <c r="B50" s="14" t="s">
        <v>330</v>
      </c>
      <c r="C50" s="9"/>
      <c r="D50" s="9"/>
      <c r="E50" s="9"/>
      <c r="F50" s="84">
        <v>500000</v>
      </c>
      <c r="G50" s="74" t="s">
        <v>332</v>
      </c>
      <c r="H50" s="54">
        <v>0.8</v>
      </c>
      <c r="I50" s="4" t="s">
        <v>328</v>
      </c>
      <c r="J50" s="4"/>
      <c r="K50" s="4"/>
      <c r="L50" s="4"/>
    </row>
    <row r="51" spans="1:12">
      <c r="A51" s="12"/>
      <c r="B51" s="14"/>
      <c r="C51" s="9"/>
      <c r="D51" s="9"/>
      <c r="E51" s="9"/>
      <c r="F51" s="4"/>
      <c r="G51" s="4"/>
      <c r="H51" s="4"/>
      <c r="I51" s="4"/>
      <c r="J51" s="4"/>
      <c r="K51" s="4"/>
      <c r="L51" s="4"/>
    </row>
    <row r="52" spans="1:12">
      <c r="A52" s="12"/>
      <c r="B52" s="14" t="s">
        <v>331</v>
      </c>
      <c r="C52" s="9"/>
      <c r="D52" s="9"/>
      <c r="E52" s="9"/>
      <c r="F52" s="84">
        <v>750000</v>
      </c>
      <c r="G52" s="74" t="s">
        <v>332</v>
      </c>
      <c r="H52" s="54">
        <v>0.9</v>
      </c>
      <c r="I52" s="4" t="s">
        <v>328</v>
      </c>
      <c r="J52" s="4"/>
      <c r="K52" s="4"/>
      <c r="L52" s="4"/>
    </row>
    <row r="53" spans="1:12">
      <c r="A53" s="3"/>
      <c r="B53" s="3"/>
      <c r="C53" s="3"/>
      <c r="D53" s="3"/>
      <c r="E53" s="3"/>
      <c r="F53" s="3"/>
      <c r="G53" s="4"/>
      <c r="H53" s="4"/>
      <c r="I53" s="4"/>
      <c r="J53" s="4"/>
      <c r="K53" s="4"/>
      <c r="L53" s="4"/>
    </row>
    <row r="54" spans="1:12">
      <c r="A54" s="7"/>
      <c r="B54" s="7"/>
      <c r="C54" s="7"/>
      <c r="D54" s="7"/>
      <c r="E54" s="7"/>
      <c r="F54" s="7"/>
      <c r="G54" s="7"/>
      <c r="H54" s="7"/>
      <c r="I54" s="7"/>
      <c r="J54" s="7"/>
      <c r="K54" s="7"/>
      <c r="L54" s="7"/>
    </row>
    <row r="55" spans="1:12">
      <c r="A55" s="7" t="s">
        <v>1</v>
      </c>
      <c r="B55" s="7"/>
      <c r="C55" s="7"/>
      <c r="D55" s="7"/>
      <c r="E55" s="7"/>
      <c r="F55" s="7"/>
      <c r="G55" s="7"/>
      <c r="H55" s="7"/>
      <c r="I55" s="7"/>
      <c r="J55" s="7"/>
      <c r="K55" s="7"/>
      <c r="L55" s="7"/>
    </row>
    <row r="56" spans="1:12" ht="47.25">
      <c r="A56" s="7"/>
      <c r="B56" s="116" t="s">
        <v>504</v>
      </c>
      <c r="C56" s="115" t="s">
        <v>505</v>
      </c>
      <c r="D56" s="115" t="s">
        <v>506</v>
      </c>
      <c r="E56" s="115" t="s">
        <v>507</v>
      </c>
      <c r="F56" s="115" t="s">
        <v>508</v>
      </c>
      <c r="G56" s="115" t="s">
        <v>509</v>
      </c>
      <c r="H56" s="7"/>
      <c r="I56" s="7"/>
      <c r="J56" s="7"/>
      <c r="K56" s="7"/>
      <c r="L56" s="7"/>
    </row>
    <row r="57" spans="1:12">
      <c r="A57" s="7"/>
      <c r="B57" s="110" t="s">
        <v>14</v>
      </c>
      <c r="C57" s="150">
        <f>F48</f>
        <v>200000</v>
      </c>
      <c r="D57" s="155">
        <f>H48</f>
        <v>0.5</v>
      </c>
      <c r="E57" s="150">
        <f>D57*$J$42</f>
        <v>400000</v>
      </c>
      <c r="F57" s="173">
        <f>MAX((1-C57/E57),0)</f>
        <v>0.5</v>
      </c>
      <c r="G57" s="150">
        <f>MIN((1-F57)*$F$42,C57)</f>
        <v>200000</v>
      </c>
      <c r="H57" s="7"/>
      <c r="I57" s="7"/>
      <c r="J57" s="7"/>
      <c r="K57" s="7"/>
      <c r="L57" s="7"/>
    </row>
    <row r="58" spans="1:12">
      <c r="B58" s="110" t="s">
        <v>15</v>
      </c>
      <c r="C58" s="150">
        <f>F50</f>
        <v>500000</v>
      </c>
      <c r="D58" s="155">
        <f>H50</f>
        <v>0.8</v>
      </c>
      <c r="E58" s="150">
        <f t="shared" ref="E58:E59" si="0">D58*$J$42</f>
        <v>640000</v>
      </c>
      <c r="F58" s="173">
        <f t="shared" ref="F58:F59" si="1">MAX((1-C58/E58),0)</f>
        <v>0.21875</v>
      </c>
      <c r="G58" s="150">
        <f t="shared" ref="G58:G59" si="2">MIN((1-F58)*$F$42,C58)</f>
        <v>351562.5</v>
      </c>
      <c r="H58" s="7"/>
    </row>
    <row r="59" spans="1:12">
      <c r="B59" s="110" t="s">
        <v>16</v>
      </c>
      <c r="C59" s="150">
        <f>F52</f>
        <v>750000</v>
      </c>
      <c r="D59" s="155">
        <f>H52</f>
        <v>0.9</v>
      </c>
      <c r="E59" s="150">
        <f t="shared" si="0"/>
        <v>720000</v>
      </c>
      <c r="F59" s="173">
        <f t="shared" si="1"/>
        <v>0</v>
      </c>
      <c r="G59" s="150">
        <f t="shared" si="2"/>
        <v>450000</v>
      </c>
      <c r="H59" s="7"/>
    </row>
    <row r="61" spans="1:12">
      <c r="A61" s="6" t="s">
        <v>2</v>
      </c>
      <c r="B61" s="9" t="s">
        <v>21</v>
      </c>
      <c r="C61" s="4"/>
      <c r="D61" s="4"/>
      <c r="E61" s="4"/>
      <c r="F61" s="4"/>
      <c r="G61" s="4"/>
      <c r="H61" s="4"/>
      <c r="I61" s="4"/>
      <c r="J61" s="4"/>
      <c r="K61" s="4"/>
      <c r="L61" s="4"/>
    </row>
    <row r="62" spans="1:12">
      <c r="A62" s="3"/>
      <c r="B62" s="3"/>
      <c r="C62" s="3"/>
      <c r="D62" s="3"/>
      <c r="E62" s="3"/>
      <c r="F62" s="3"/>
      <c r="G62" s="4"/>
      <c r="H62" s="4"/>
      <c r="I62" s="4"/>
      <c r="J62" s="4"/>
      <c r="K62" s="4"/>
      <c r="L62" s="4"/>
    </row>
    <row r="63" spans="1:12">
      <c r="A63" s="7"/>
      <c r="B63" s="7"/>
      <c r="C63" s="7"/>
      <c r="D63" s="7"/>
      <c r="E63" s="7"/>
      <c r="F63" s="7"/>
      <c r="G63" s="7"/>
      <c r="H63" s="7"/>
      <c r="I63" s="7"/>
      <c r="J63" s="7"/>
      <c r="K63" s="7"/>
      <c r="L63" s="7"/>
    </row>
    <row r="64" spans="1:12">
      <c r="A64" s="7" t="s">
        <v>1</v>
      </c>
      <c r="B64" s="7"/>
      <c r="C64" s="7"/>
      <c r="D64" s="7"/>
      <c r="E64" s="7"/>
      <c r="F64" s="7"/>
      <c r="G64" s="7"/>
      <c r="H64" s="7"/>
      <c r="I64" s="7"/>
      <c r="J64" s="7"/>
      <c r="K64" s="7"/>
      <c r="L64" s="7"/>
    </row>
    <row r="65" spans="1:13">
      <c r="A65" s="7"/>
      <c r="B65" s="7"/>
      <c r="C65" s="7"/>
      <c r="D65" s="7"/>
      <c r="E65" s="7"/>
      <c r="F65" s="7"/>
      <c r="G65" s="7"/>
      <c r="H65" s="7"/>
      <c r="I65" s="7"/>
      <c r="J65" s="7"/>
      <c r="K65" s="7"/>
      <c r="L65" s="7"/>
    </row>
    <row r="66" spans="1:13">
      <c r="A66" s="7"/>
      <c r="B66" s="7" t="s">
        <v>407</v>
      </c>
      <c r="C66" s="7"/>
      <c r="D66" s="7"/>
      <c r="E66" s="7"/>
      <c r="F66" s="7"/>
      <c r="G66" s="7"/>
      <c r="H66" s="7"/>
      <c r="I66" s="7"/>
      <c r="J66" s="7"/>
      <c r="K66" s="7"/>
      <c r="L66" s="7"/>
    </row>
    <row r="67" spans="1:13">
      <c r="B67" s="1" t="s">
        <v>510</v>
      </c>
    </row>
    <row r="68" spans="1:13">
      <c r="B68" s="1" t="s">
        <v>511</v>
      </c>
      <c r="M68" s="7"/>
    </row>
    <row r="69" spans="1:13">
      <c r="M69" s="7"/>
    </row>
  </sheetData>
  <mergeCells count="1">
    <mergeCell ref="C17:K18"/>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11FC-73A5-4A8A-8BE9-1AF454F06721}">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150</v>
      </c>
      <c r="B1" s="4"/>
      <c r="C1" s="9" t="s">
        <v>11</v>
      </c>
      <c r="D1" s="4"/>
      <c r="E1" s="4"/>
      <c r="F1" s="4"/>
      <c r="G1" s="4"/>
      <c r="H1" s="4"/>
      <c r="I1" s="4"/>
      <c r="J1" s="4"/>
      <c r="K1" s="4"/>
      <c r="L1" s="3"/>
    </row>
    <row r="2" spans="1:12">
      <c r="A2" s="4"/>
      <c r="B2" s="4"/>
      <c r="C2" s="4"/>
      <c r="D2" s="4"/>
      <c r="E2" s="4"/>
      <c r="F2" s="4"/>
      <c r="G2" s="4"/>
      <c r="H2" s="4"/>
      <c r="I2" s="4"/>
      <c r="J2" s="4"/>
      <c r="K2" s="4"/>
      <c r="L2" s="3"/>
    </row>
    <row r="3" spans="1:12">
      <c r="A3" s="11" t="s">
        <v>151</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94F5-010F-4755-9090-32A08DFA09F0}">
  <dimension ref="A1:AB71"/>
  <sheetViews>
    <sheetView zoomScaleNormal="100" workbookViewId="0"/>
  </sheetViews>
  <sheetFormatPr defaultColWidth="8.85546875" defaultRowHeight="15.75"/>
  <cols>
    <col min="1" max="6" width="8.85546875" style="1" customWidth="1"/>
    <col min="7" max="7" width="8.85546875" style="1"/>
    <col min="8" max="8" width="19.42578125" style="1" customWidth="1"/>
    <col min="9" max="12" width="8.85546875" style="1"/>
    <col min="13" max="28" width="4" style="1" customWidth="1"/>
    <col min="29" max="16384" width="8.85546875" style="1"/>
  </cols>
  <sheetData>
    <row r="1" spans="1:18" ht="18.75">
      <c r="A1" s="2" t="s">
        <v>152</v>
      </c>
      <c r="B1" s="4"/>
      <c r="C1" s="9" t="s">
        <v>13</v>
      </c>
      <c r="D1" s="4"/>
      <c r="E1" s="4"/>
      <c r="F1" s="4"/>
      <c r="G1" s="4"/>
      <c r="H1" s="4"/>
      <c r="I1" s="4"/>
      <c r="J1" s="4"/>
      <c r="K1" s="4"/>
      <c r="L1" s="3"/>
    </row>
    <row r="2" spans="1:18">
      <c r="A2" s="4"/>
      <c r="B2" s="4"/>
      <c r="C2" s="4"/>
      <c r="D2" s="4"/>
      <c r="E2" s="4"/>
      <c r="F2" s="4"/>
      <c r="G2" s="4"/>
      <c r="H2" s="4"/>
      <c r="I2" s="4"/>
      <c r="J2" s="4"/>
      <c r="K2" s="4"/>
      <c r="L2" s="3"/>
    </row>
    <row r="3" spans="1:18">
      <c r="A3" s="9" t="s">
        <v>367</v>
      </c>
      <c r="B3" s="4"/>
      <c r="C3" s="4"/>
      <c r="D3" s="4"/>
      <c r="E3" s="4"/>
      <c r="F3" s="4"/>
      <c r="G3" s="4"/>
      <c r="H3" s="4"/>
      <c r="I3" s="4"/>
      <c r="J3" s="4"/>
      <c r="K3" s="4"/>
      <c r="L3" s="3"/>
    </row>
    <row r="4" spans="1:18">
      <c r="A4" s="14"/>
      <c r="B4" s="9"/>
      <c r="C4" s="9"/>
      <c r="D4" s="9"/>
      <c r="E4" s="9"/>
      <c r="F4" s="9"/>
      <c r="G4" s="9"/>
      <c r="H4" s="9"/>
      <c r="I4" s="9"/>
      <c r="J4" s="9"/>
      <c r="K4" s="4"/>
      <c r="L4" s="4"/>
    </row>
    <row r="5" spans="1:18">
      <c r="A5" s="9"/>
      <c r="B5" s="17" t="s">
        <v>352</v>
      </c>
      <c r="C5" s="9"/>
      <c r="D5" s="9"/>
      <c r="E5" s="9"/>
      <c r="F5" s="9"/>
      <c r="G5" s="104"/>
      <c r="H5" s="37">
        <v>44501</v>
      </c>
      <c r="I5" s="9"/>
      <c r="J5" s="9"/>
      <c r="K5" s="4"/>
      <c r="L5" s="4"/>
    </row>
    <row r="6" spans="1:18">
      <c r="A6" s="9"/>
      <c r="B6" s="17" t="s">
        <v>353</v>
      </c>
      <c r="C6" s="9"/>
      <c r="D6" s="9"/>
      <c r="E6" s="9"/>
      <c r="F6" s="9"/>
      <c r="G6" s="104"/>
      <c r="H6" s="37">
        <v>44392</v>
      </c>
      <c r="I6" s="9"/>
      <c r="J6" s="9"/>
      <c r="K6" s="4"/>
      <c r="L6" s="4"/>
    </row>
    <row r="7" spans="1:18">
      <c r="A7" s="3"/>
      <c r="B7" s="3"/>
      <c r="C7" s="3"/>
      <c r="D7" s="3"/>
      <c r="E7" s="3"/>
      <c r="F7" s="3"/>
      <c r="G7" s="4"/>
      <c r="H7" s="4"/>
      <c r="I7" s="4"/>
      <c r="J7" s="4"/>
      <c r="K7" s="4"/>
      <c r="L7" s="4"/>
    </row>
    <row r="8" spans="1:18">
      <c r="A8" s="7"/>
      <c r="B8" s="7"/>
      <c r="C8" s="7"/>
      <c r="D8" s="7"/>
      <c r="E8" s="7"/>
      <c r="F8" s="7"/>
      <c r="G8" s="7"/>
      <c r="H8" s="7"/>
      <c r="I8" s="7"/>
      <c r="J8" s="7"/>
      <c r="K8" s="7"/>
      <c r="L8" s="7"/>
    </row>
    <row r="9" spans="1:18">
      <c r="A9" s="6" t="s">
        <v>4</v>
      </c>
      <c r="B9" s="9" t="s">
        <v>153</v>
      </c>
      <c r="C9" s="104"/>
      <c r="D9" s="104"/>
      <c r="E9" s="104"/>
      <c r="F9" s="104"/>
      <c r="G9" s="104"/>
      <c r="H9" s="104"/>
      <c r="I9" s="104"/>
      <c r="J9" s="104"/>
      <c r="K9" s="104"/>
      <c r="L9" s="4"/>
      <c r="M9" s="8"/>
      <c r="N9" s="8"/>
      <c r="O9" s="8"/>
      <c r="P9" s="8"/>
      <c r="Q9" s="8"/>
      <c r="R9" s="8"/>
    </row>
    <row r="10" spans="1:18">
      <c r="A10" s="3"/>
      <c r="B10" s="3"/>
      <c r="C10" s="3"/>
      <c r="D10" s="3"/>
      <c r="E10" s="3"/>
      <c r="F10" s="3"/>
      <c r="G10" s="4"/>
      <c r="H10" s="4"/>
      <c r="I10" s="4"/>
      <c r="J10" s="4"/>
      <c r="K10" s="4"/>
      <c r="L10" s="4"/>
    </row>
    <row r="11" spans="1:18">
      <c r="A11" s="7"/>
      <c r="B11" s="7"/>
      <c r="C11" s="7"/>
      <c r="D11" s="7"/>
      <c r="E11" s="7"/>
      <c r="F11" s="7"/>
      <c r="G11" s="7"/>
      <c r="H11" s="7"/>
      <c r="I11" s="7"/>
      <c r="J11" s="7"/>
      <c r="K11" s="7"/>
      <c r="L11" s="7"/>
      <c r="M11" s="7"/>
    </row>
    <row r="12" spans="1:18">
      <c r="A12" s="7" t="s">
        <v>1</v>
      </c>
      <c r="B12" s="7"/>
      <c r="C12" s="7"/>
      <c r="D12" s="7"/>
      <c r="E12" s="7"/>
      <c r="F12" s="7"/>
      <c r="G12" s="7"/>
      <c r="H12" s="7"/>
      <c r="I12" s="7"/>
      <c r="J12" s="7"/>
      <c r="K12" s="7"/>
      <c r="L12" s="7"/>
      <c r="M12" s="7"/>
      <c r="N12" s="8"/>
    </row>
    <row r="13" spans="1:18">
      <c r="A13" s="7"/>
      <c r="B13" s="7"/>
      <c r="C13" s="7"/>
      <c r="D13" s="7"/>
      <c r="E13" s="7"/>
      <c r="F13" s="7"/>
      <c r="G13" s="7"/>
      <c r="H13" s="7"/>
      <c r="I13" s="7"/>
      <c r="J13" s="7"/>
      <c r="K13" s="7"/>
      <c r="L13" s="7"/>
      <c r="M13" s="7"/>
      <c r="N13" s="8"/>
    </row>
    <row r="14" spans="1:18">
      <c r="A14" s="7" t="s">
        <v>444</v>
      </c>
      <c r="B14" s="7"/>
      <c r="C14" s="7"/>
      <c r="D14" s="7"/>
      <c r="E14" s="7"/>
      <c r="F14" s="7"/>
      <c r="G14" s="7"/>
      <c r="H14" s="7"/>
      <c r="I14" s="7"/>
      <c r="J14" s="7"/>
      <c r="K14" s="7"/>
      <c r="L14" s="7"/>
      <c r="M14" s="7"/>
      <c r="N14" s="8"/>
    </row>
    <row r="15" spans="1:18">
      <c r="M15" s="8"/>
      <c r="N15" s="8"/>
    </row>
    <row r="16" spans="1:18">
      <c r="A16" s="1" t="s">
        <v>445</v>
      </c>
      <c r="M16" s="8"/>
      <c r="N16" s="8"/>
    </row>
    <row r="17" spans="1:28">
      <c r="A17" s="1" t="s">
        <v>426</v>
      </c>
      <c r="M17" s="8"/>
      <c r="N17" s="8"/>
    </row>
    <row r="18" spans="1:28">
      <c r="A18" s="1" t="s">
        <v>446</v>
      </c>
      <c r="M18" s="8"/>
      <c r="N18" s="8"/>
    </row>
    <row r="19" spans="1:28">
      <c r="M19" s="8"/>
      <c r="N19" s="8"/>
    </row>
    <row r="20" spans="1:28">
      <c r="A20" s="6" t="s">
        <v>5</v>
      </c>
      <c r="B20" s="9" t="s">
        <v>354</v>
      </c>
      <c r="C20" s="4"/>
      <c r="D20" s="4"/>
      <c r="E20" s="4"/>
      <c r="F20" s="4"/>
      <c r="G20" s="4"/>
      <c r="H20" s="4"/>
      <c r="I20" s="4"/>
      <c r="J20" s="4"/>
      <c r="K20" s="4"/>
      <c r="L20" s="4"/>
    </row>
    <row r="21" spans="1:28">
      <c r="A21" s="3"/>
      <c r="B21" s="3"/>
      <c r="C21" s="3"/>
      <c r="D21" s="3"/>
      <c r="E21" s="3"/>
      <c r="F21" s="3"/>
      <c r="G21" s="4"/>
      <c r="H21" s="4"/>
      <c r="I21" s="4"/>
      <c r="J21" s="4"/>
      <c r="K21" s="4"/>
      <c r="L21" s="4"/>
    </row>
    <row r="22" spans="1:28">
      <c r="A22" s="7"/>
      <c r="B22" s="7"/>
      <c r="C22" s="7"/>
      <c r="D22" s="7"/>
      <c r="E22" s="7"/>
      <c r="F22" s="7"/>
      <c r="G22" s="7"/>
      <c r="H22" s="7"/>
      <c r="I22" s="7"/>
      <c r="J22" s="7"/>
      <c r="K22" s="7"/>
      <c r="L22" s="7"/>
    </row>
    <row r="23" spans="1:28">
      <c r="A23" s="7" t="s">
        <v>1</v>
      </c>
      <c r="B23" s="7"/>
      <c r="C23" s="7"/>
      <c r="D23" s="7"/>
      <c r="E23" s="7"/>
      <c r="F23" s="7"/>
      <c r="G23" s="7"/>
      <c r="H23" s="7"/>
      <c r="I23" s="7"/>
      <c r="J23" s="7"/>
      <c r="K23" s="7"/>
      <c r="L23" s="7"/>
      <c r="M23" s="93" t="s">
        <v>333</v>
      </c>
      <c r="N23" s="7"/>
      <c r="O23" s="7"/>
      <c r="P23" s="7"/>
      <c r="Q23" s="7"/>
      <c r="R23" s="7"/>
      <c r="S23" s="7"/>
      <c r="T23" s="7"/>
      <c r="U23" s="7"/>
      <c r="V23" s="7"/>
      <c r="W23" s="7"/>
      <c r="X23" s="7"/>
    </row>
    <row r="24" spans="1:28">
      <c r="A24" s="7"/>
      <c r="B24" s="7"/>
      <c r="C24" s="7"/>
      <c r="D24" s="7"/>
      <c r="E24" s="7"/>
      <c r="F24" s="7"/>
      <c r="G24" s="7"/>
      <c r="H24" s="7"/>
      <c r="I24" s="7"/>
      <c r="J24" s="7"/>
      <c r="K24" s="7"/>
      <c r="L24" s="7"/>
      <c r="U24"/>
      <c r="V24"/>
      <c r="W24"/>
      <c r="X24"/>
    </row>
    <row r="25" spans="1:28">
      <c r="A25" s="7" t="s">
        <v>427</v>
      </c>
      <c r="B25" s="7"/>
      <c r="C25" s="7"/>
      <c r="D25" s="7"/>
      <c r="E25" s="7"/>
      <c r="F25" s="7"/>
      <c r="G25" s="136">
        <f>2/6</f>
        <v>0.33333333333333331</v>
      </c>
      <c r="H25" s="7"/>
      <c r="I25" s="7"/>
      <c r="J25" s="7"/>
      <c r="K25" s="7"/>
      <c r="L25" s="7"/>
      <c r="M25" s="322">
        <v>2020</v>
      </c>
      <c r="N25" s="322"/>
      <c r="O25" s="322"/>
      <c r="P25" s="322"/>
      <c r="Q25" s="322">
        <f>M25+1</f>
        <v>2021</v>
      </c>
      <c r="R25" s="322"/>
      <c r="S25" s="322"/>
      <c r="T25" s="322"/>
      <c r="U25" s="322">
        <f>Q25+1</f>
        <v>2022</v>
      </c>
      <c r="V25" s="322"/>
      <c r="W25" s="322"/>
      <c r="X25" s="322"/>
      <c r="Y25" s="322">
        <f>U25+1</f>
        <v>2023</v>
      </c>
      <c r="Z25" s="322"/>
      <c r="AA25" s="322"/>
      <c r="AB25" s="322"/>
    </row>
    <row r="26" spans="1:28" ht="22.15" customHeight="1">
      <c r="M26" s="94"/>
      <c r="N26" s="95"/>
      <c r="O26" s="95"/>
      <c r="P26" s="96"/>
      <c r="Q26" s="94"/>
      <c r="R26" s="95"/>
      <c r="S26" s="95"/>
      <c r="T26" s="96"/>
      <c r="U26" s="94"/>
      <c r="V26" s="95"/>
      <c r="W26" s="95"/>
      <c r="X26" s="96"/>
      <c r="Y26" s="94"/>
      <c r="Z26" s="95"/>
      <c r="AA26" s="95"/>
      <c r="AB26" s="96"/>
    </row>
    <row r="27" spans="1:28" ht="22.15" customHeight="1">
      <c r="M27" s="97"/>
      <c r="N27" s="8"/>
      <c r="O27" s="8"/>
      <c r="P27" s="98"/>
      <c r="Q27" s="97"/>
      <c r="R27" s="8"/>
      <c r="S27" s="8"/>
      <c r="T27" s="98"/>
      <c r="U27" s="97"/>
      <c r="V27" s="8"/>
      <c r="W27" s="8"/>
      <c r="X27" s="98"/>
      <c r="Y27" s="97"/>
      <c r="Z27" s="8"/>
      <c r="AA27" s="8"/>
      <c r="AB27" s="98"/>
    </row>
    <row r="28" spans="1:28" ht="22.15" customHeight="1">
      <c r="M28" s="97"/>
      <c r="N28" s="8"/>
      <c r="O28" s="8"/>
      <c r="P28" s="98"/>
      <c r="Q28" s="97"/>
      <c r="R28" s="8"/>
      <c r="S28" s="8"/>
      <c r="T28" s="98"/>
      <c r="U28" s="97"/>
      <c r="V28" s="8"/>
      <c r="W28" s="8"/>
      <c r="X28" s="98"/>
      <c r="Y28" s="97"/>
      <c r="Z28" s="8"/>
      <c r="AA28" s="8"/>
      <c r="AB28" s="98"/>
    </row>
    <row r="29" spans="1:28" ht="22.15" customHeight="1">
      <c r="M29" s="99"/>
      <c r="N29" s="100"/>
      <c r="O29" s="100"/>
      <c r="P29" s="101"/>
      <c r="Q29" s="99"/>
      <c r="R29" s="100"/>
      <c r="S29" s="100"/>
      <c r="T29" s="101"/>
      <c r="U29" s="99"/>
      <c r="V29" s="100"/>
      <c r="W29" s="100"/>
      <c r="X29" s="101"/>
      <c r="Y29" s="99"/>
      <c r="Z29" s="100"/>
      <c r="AA29" s="100"/>
      <c r="AB29" s="101"/>
    </row>
    <row r="30" spans="1:28">
      <c r="T30" s="1" t="s">
        <v>428</v>
      </c>
    </row>
    <row r="32" spans="1:28" ht="15.6" customHeight="1">
      <c r="A32" s="6" t="s">
        <v>0</v>
      </c>
      <c r="B32" s="9" t="s">
        <v>355</v>
      </c>
      <c r="C32" s="9"/>
      <c r="D32" s="9"/>
      <c r="E32" s="9"/>
      <c r="F32" s="9"/>
      <c r="G32" s="9"/>
      <c r="H32" s="9"/>
      <c r="I32" s="9"/>
      <c r="J32" s="9"/>
      <c r="K32" s="9"/>
      <c r="L32" s="4"/>
    </row>
    <row r="33" spans="1:28">
      <c r="A33" s="3"/>
      <c r="B33" s="3"/>
      <c r="C33" s="3"/>
      <c r="D33" s="3"/>
      <c r="E33" s="3"/>
      <c r="F33" s="3"/>
      <c r="G33" s="4"/>
      <c r="H33" s="4"/>
      <c r="I33" s="4"/>
      <c r="J33" s="4"/>
      <c r="K33" s="4"/>
      <c r="L33" s="4"/>
    </row>
    <row r="34" spans="1:28">
      <c r="A34" s="7"/>
      <c r="B34" s="7"/>
      <c r="C34" s="7"/>
      <c r="D34" s="7"/>
      <c r="E34" s="7"/>
      <c r="F34" s="7"/>
      <c r="G34" s="7"/>
      <c r="H34" s="7"/>
      <c r="I34" s="7"/>
      <c r="J34" s="7"/>
      <c r="K34" s="7"/>
      <c r="L34" s="7"/>
    </row>
    <row r="35" spans="1:28">
      <c r="A35" s="7" t="s">
        <v>1</v>
      </c>
      <c r="B35" s="7"/>
      <c r="C35" s="7"/>
      <c r="D35" s="7"/>
      <c r="E35" s="7"/>
      <c r="F35" s="7"/>
      <c r="G35" s="7"/>
      <c r="H35" s="7"/>
      <c r="I35" s="7"/>
      <c r="J35" s="7"/>
      <c r="K35" s="7"/>
      <c r="L35" s="7"/>
      <c r="M35" s="93" t="s">
        <v>333</v>
      </c>
      <c r="N35" s="7"/>
      <c r="O35" s="7"/>
      <c r="P35" s="7"/>
      <c r="Q35" s="7"/>
      <c r="R35" s="7"/>
      <c r="S35" s="7"/>
      <c r="T35" s="7"/>
      <c r="U35" s="7"/>
      <c r="V35" s="7"/>
      <c r="W35" s="7"/>
      <c r="X35" s="7"/>
    </row>
    <row r="36" spans="1:28">
      <c r="A36" s="7"/>
      <c r="B36" s="7"/>
      <c r="C36" s="7"/>
      <c r="D36" s="7"/>
      <c r="E36" s="7"/>
      <c r="F36" s="7"/>
      <c r="G36" s="7"/>
      <c r="H36" s="7"/>
      <c r="I36" s="7"/>
      <c r="J36" s="7"/>
      <c r="K36" s="7"/>
      <c r="L36" s="7"/>
      <c r="U36"/>
      <c r="V36"/>
      <c r="W36"/>
      <c r="X36"/>
    </row>
    <row r="37" spans="1:28">
      <c r="A37" s="7" t="s">
        <v>430</v>
      </c>
      <c r="B37" s="7"/>
      <c r="C37" s="7"/>
      <c r="D37" s="7"/>
      <c r="E37" s="7"/>
      <c r="F37" s="7"/>
      <c r="G37" s="7"/>
      <c r="H37" s="7"/>
      <c r="I37" s="7"/>
      <c r="J37" s="7"/>
      <c r="K37" s="7"/>
      <c r="L37" s="7"/>
      <c r="M37" s="322">
        <v>2020</v>
      </c>
      <c r="N37" s="322"/>
      <c r="O37" s="322"/>
      <c r="P37" s="322"/>
      <c r="Q37" s="322">
        <f>M37+1</f>
        <v>2021</v>
      </c>
      <c r="R37" s="322"/>
      <c r="S37" s="322"/>
      <c r="T37" s="322"/>
      <c r="U37" s="322">
        <f>Q37+1</f>
        <v>2022</v>
      </c>
      <c r="V37" s="322"/>
      <c r="W37" s="322"/>
      <c r="X37" s="322"/>
      <c r="Y37" s="322">
        <f>U37+1</f>
        <v>2023</v>
      </c>
      <c r="Z37" s="322"/>
      <c r="AA37" s="322"/>
      <c r="AB37" s="322"/>
    </row>
    <row r="38" spans="1:28" ht="22.15" customHeight="1">
      <c r="A38" s="1" t="s">
        <v>431</v>
      </c>
      <c r="I38" s="136">
        <f>18.5/24</f>
        <v>0.77083333333333337</v>
      </c>
      <c r="M38" s="94"/>
      <c r="N38" s="95"/>
      <c r="O38" s="95"/>
      <c r="P38" s="96"/>
      <c r="Q38" s="94"/>
      <c r="R38" s="95"/>
      <c r="S38" s="95"/>
      <c r="T38" s="96"/>
      <c r="U38" s="94"/>
      <c r="V38" s="95"/>
      <c r="W38" s="95"/>
      <c r="X38" s="96"/>
      <c r="Y38" s="94"/>
      <c r="Z38" s="95"/>
      <c r="AA38" s="95"/>
      <c r="AB38" s="96"/>
    </row>
    <row r="39" spans="1:28" ht="22.15" customHeight="1">
      <c r="M39" s="97"/>
      <c r="N39" s="8"/>
      <c r="O39" s="8"/>
      <c r="P39" s="98"/>
      <c r="Q39" s="97"/>
      <c r="R39" s="8"/>
      <c r="S39" s="8"/>
      <c r="T39" s="98"/>
      <c r="U39" s="97"/>
      <c r="V39" s="8"/>
      <c r="W39" s="8"/>
      <c r="X39" s="98"/>
      <c r="Y39" s="97"/>
      <c r="Z39" s="8"/>
      <c r="AA39" s="8"/>
      <c r="AB39" s="98"/>
    </row>
    <row r="40" spans="1:28" ht="22.15" customHeight="1">
      <c r="M40" s="97"/>
      <c r="N40" s="8"/>
      <c r="O40" s="8"/>
      <c r="P40" s="98"/>
      <c r="Q40" s="97"/>
      <c r="R40" s="8"/>
      <c r="S40" s="8"/>
      <c r="T40" s="98"/>
      <c r="U40" s="97"/>
      <c r="V40" s="8"/>
      <c r="W40" s="8"/>
      <c r="X40" s="98"/>
      <c r="Y40" s="97"/>
      <c r="Z40" s="8"/>
      <c r="AA40" s="8"/>
      <c r="AB40" s="98"/>
    </row>
    <row r="41" spans="1:28" ht="22.15" customHeight="1">
      <c r="M41" s="99"/>
      <c r="N41" s="100"/>
      <c r="O41" s="100"/>
      <c r="P41" s="101"/>
      <c r="Q41" s="99"/>
      <c r="R41" s="100"/>
      <c r="S41" s="100"/>
      <c r="T41" s="101"/>
      <c r="U41" s="99"/>
      <c r="V41" s="100"/>
      <c r="W41" s="100"/>
      <c r="X41" s="101"/>
      <c r="Y41" s="99"/>
      <c r="Z41" s="100"/>
      <c r="AA41" s="100"/>
      <c r="AB41" s="101"/>
    </row>
    <row r="42" spans="1:28">
      <c r="S42" s="1" t="s">
        <v>429</v>
      </c>
    </row>
    <row r="44" spans="1:28">
      <c r="A44" s="3"/>
      <c r="B44" s="3"/>
      <c r="C44" s="3"/>
      <c r="D44" s="3"/>
      <c r="E44" s="3"/>
      <c r="F44" s="3"/>
      <c r="G44" s="4"/>
      <c r="H44" s="4"/>
      <c r="I44" s="4"/>
      <c r="J44" s="4"/>
      <c r="K44" s="4"/>
      <c r="L44" s="4"/>
    </row>
    <row r="45" spans="1:28">
      <c r="A45" s="9" t="s">
        <v>368</v>
      </c>
      <c r="B45" s="3"/>
      <c r="C45" s="3"/>
      <c r="D45" s="3"/>
      <c r="E45" s="3"/>
      <c r="F45" s="3"/>
      <c r="G45" s="4"/>
      <c r="H45" s="4"/>
      <c r="I45" s="4"/>
      <c r="J45" s="4"/>
      <c r="K45" s="4"/>
      <c r="L45" s="4"/>
    </row>
    <row r="46" spans="1:28">
      <c r="A46" s="3"/>
      <c r="B46" s="3"/>
      <c r="C46" s="3"/>
      <c r="D46" s="3"/>
      <c r="E46" s="3"/>
      <c r="F46" s="3"/>
      <c r="G46" s="4"/>
      <c r="H46" s="4"/>
      <c r="I46" s="4"/>
      <c r="J46" s="4"/>
      <c r="K46" s="4"/>
      <c r="L46" s="4"/>
    </row>
    <row r="48" spans="1:28">
      <c r="A48" s="6" t="s">
        <v>2</v>
      </c>
      <c r="B48" s="9" t="s">
        <v>369</v>
      </c>
      <c r="C48" s="9"/>
      <c r="D48" s="9"/>
      <c r="E48" s="9"/>
      <c r="F48" s="9"/>
      <c r="G48" s="9"/>
      <c r="H48" s="9"/>
      <c r="I48" s="9"/>
      <c r="J48" s="9"/>
      <c r="K48" s="9"/>
      <c r="L48" s="4"/>
    </row>
    <row r="49" spans="1:12">
      <c r="A49" s="3"/>
      <c r="B49" s="3"/>
      <c r="C49" s="3"/>
      <c r="D49" s="3"/>
      <c r="E49" s="3"/>
      <c r="F49" s="3"/>
      <c r="G49" s="4"/>
      <c r="H49" s="4"/>
      <c r="I49" s="4"/>
      <c r="J49" s="4"/>
      <c r="K49" s="4"/>
      <c r="L49" s="4"/>
    </row>
    <row r="50" spans="1:12">
      <c r="A50" s="7"/>
      <c r="B50" s="7"/>
      <c r="C50" s="7"/>
      <c r="D50" s="7"/>
      <c r="E50" s="7"/>
      <c r="F50" s="7"/>
      <c r="G50" s="7"/>
      <c r="H50" s="7"/>
      <c r="I50" s="7"/>
      <c r="J50" s="7"/>
      <c r="K50" s="7"/>
      <c r="L50" s="7"/>
    </row>
    <row r="51" spans="1:12">
      <c r="A51" s="7" t="s">
        <v>1</v>
      </c>
      <c r="B51" s="7"/>
      <c r="C51" s="7"/>
      <c r="D51" s="7"/>
      <c r="E51" s="7"/>
      <c r="F51" s="7"/>
      <c r="G51" s="7"/>
      <c r="H51" s="7"/>
      <c r="I51" s="7"/>
      <c r="J51" s="7"/>
      <c r="K51" s="7"/>
      <c r="L51" s="7"/>
    </row>
    <row r="52" spans="1:12">
      <c r="A52" s="7"/>
      <c r="B52" s="7"/>
      <c r="C52" s="7"/>
      <c r="D52" s="7"/>
      <c r="E52" s="7"/>
      <c r="F52" s="7"/>
      <c r="G52" s="7"/>
      <c r="H52" s="7"/>
      <c r="I52" s="7"/>
      <c r="J52" s="7"/>
      <c r="K52" s="7"/>
      <c r="L52" s="7"/>
    </row>
    <row r="53" spans="1:12">
      <c r="A53" s="7" t="s">
        <v>434</v>
      </c>
      <c r="B53" s="7"/>
      <c r="C53" s="7"/>
      <c r="D53" s="7"/>
      <c r="E53" s="7"/>
      <c r="F53" s="7"/>
      <c r="G53" s="7"/>
      <c r="H53" s="7"/>
      <c r="I53" s="7"/>
      <c r="J53" s="7"/>
      <c r="K53" s="7"/>
      <c r="L53" s="7"/>
    </row>
    <row r="54" spans="1:12">
      <c r="A54" s="1" t="s">
        <v>433</v>
      </c>
    </row>
    <row r="55" spans="1:12">
      <c r="A55" s="1" t="s">
        <v>432</v>
      </c>
    </row>
    <row r="57" spans="1:12" ht="15.6" customHeight="1">
      <c r="A57" s="6" t="s">
        <v>3</v>
      </c>
      <c r="B57" s="299" t="s">
        <v>370</v>
      </c>
      <c r="C57" s="299"/>
      <c r="D57" s="299"/>
      <c r="E57" s="299"/>
      <c r="F57" s="299"/>
      <c r="G57" s="299"/>
      <c r="H57" s="299"/>
      <c r="I57" s="299"/>
      <c r="J57" s="299"/>
      <c r="K57" s="299"/>
      <c r="L57" s="4"/>
    </row>
    <row r="58" spans="1:12">
      <c r="A58" s="6"/>
      <c r="B58" s="299"/>
      <c r="C58" s="299"/>
      <c r="D58" s="299"/>
      <c r="E58" s="299"/>
      <c r="F58" s="299"/>
      <c r="G58" s="299"/>
      <c r="H58" s="299"/>
      <c r="I58" s="299"/>
      <c r="J58" s="299"/>
      <c r="K58" s="299"/>
      <c r="L58" s="4"/>
    </row>
    <row r="59" spans="1:12">
      <c r="A59" s="3"/>
      <c r="B59" s="3"/>
      <c r="C59" s="3"/>
      <c r="D59" s="3"/>
      <c r="E59" s="3"/>
      <c r="F59" s="3"/>
      <c r="G59" s="4"/>
      <c r="H59" s="4"/>
      <c r="I59" s="4"/>
      <c r="J59" s="4"/>
      <c r="K59" s="4"/>
      <c r="L59" s="4"/>
    </row>
    <row r="60" spans="1:12">
      <c r="A60" s="7"/>
      <c r="B60" s="7"/>
      <c r="C60" s="7"/>
      <c r="D60" s="7"/>
      <c r="E60" s="7"/>
      <c r="F60" s="7"/>
      <c r="G60" s="7"/>
      <c r="H60" s="7"/>
      <c r="I60" s="7"/>
      <c r="J60" s="7"/>
      <c r="K60" s="7"/>
      <c r="L60" s="7"/>
    </row>
    <row r="61" spans="1:12">
      <c r="A61" s="7" t="s">
        <v>1</v>
      </c>
      <c r="B61" s="7"/>
      <c r="C61" s="7"/>
      <c r="D61" s="7"/>
      <c r="E61" s="7"/>
      <c r="F61" s="7"/>
      <c r="G61" s="7"/>
      <c r="H61" s="7"/>
      <c r="I61" s="7"/>
      <c r="J61" s="7"/>
      <c r="K61" s="7"/>
      <c r="L61" s="7"/>
    </row>
    <row r="62" spans="1:12">
      <c r="A62" s="7"/>
      <c r="B62" s="7"/>
      <c r="C62" s="7"/>
      <c r="D62" s="7"/>
      <c r="E62" s="7"/>
      <c r="F62" s="7"/>
      <c r="G62" s="7"/>
      <c r="H62" s="7"/>
      <c r="I62" s="7"/>
      <c r="J62" s="7"/>
      <c r="K62" s="7"/>
      <c r="L62" s="7"/>
    </row>
    <row r="63" spans="1:12">
      <c r="A63" s="7" t="s">
        <v>443</v>
      </c>
      <c r="B63" s="7"/>
      <c r="C63" s="7"/>
      <c r="D63" s="7"/>
      <c r="E63" s="7"/>
      <c r="F63" s="7"/>
      <c r="G63" s="7"/>
      <c r="H63" s="7"/>
      <c r="I63" s="7"/>
      <c r="J63" s="7"/>
      <c r="K63" s="7"/>
      <c r="L63" s="7"/>
    </row>
    <row r="64" spans="1:12">
      <c r="A64" s="1" t="s">
        <v>435</v>
      </c>
    </row>
    <row r="65" spans="1:13">
      <c r="A65" s="1" t="s">
        <v>436</v>
      </c>
      <c r="M65" s="7"/>
    </row>
    <row r="66" spans="1:13">
      <c r="A66" s="1" t="s">
        <v>437</v>
      </c>
    </row>
    <row r="67" spans="1:13">
      <c r="A67" s="1" t="s">
        <v>438</v>
      </c>
    </row>
    <row r="68" spans="1:13">
      <c r="A68" s="1" t="s">
        <v>439</v>
      </c>
    </row>
    <row r="69" spans="1:13">
      <c r="A69" s="1" t="s">
        <v>440</v>
      </c>
    </row>
    <row r="70" spans="1:13">
      <c r="A70" s="1" t="s">
        <v>441</v>
      </c>
    </row>
    <row r="71" spans="1:13">
      <c r="A71" s="1" t="s">
        <v>442</v>
      </c>
    </row>
  </sheetData>
  <mergeCells count="9">
    <mergeCell ref="M25:P25"/>
    <mergeCell ref="Q25:T25"/>
    <mergeCell ref="U25:X25"/>
    <mergeCell ref="Y25:AB25"/>
    <mergeCell ref="B57:K58"/>
    <mergeCell ref="Y37:AB37"/>
    <mergeCell ref="M37:P37"/>
    <mergeCell ref="Q37:T37"/>
    <mergeCell ref="U37:X37"/>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728A-306C-4A0F-BA67-AA233BBC8263}">
  <dimension ref="A1:R126"/>
  <sheetViews>
    <sheetView zoomScaleNormal="100" workbookViewId="0"/>
  </sheetViews>
  <sheetFormatPr defaultColWidth="8.85546875" defaultRowHeight="15.75"/>
  <cols>
    <col min="1" max="1" width="8.85546875" style="1" customWidth="1"/>
    <col min="2" max="2" width="15.85546875" style="1" customWidth="1"/>
    <col min="3" max="11" width="12.7109375" style="1" customWidth="1"/>
    <col min="12" max="16384" width="8.85546875" style="1"/>
  </cols>
  <sheetData>
    <row r="1" spans="1:18" ht="18.75">
      <c r="A1" s="2" t="s">
        <v>359</v>
      </c>
      <c r="B1" s="4"/>
      <c r="C1" s="9" t="s">
        <v>13</v>
      </c>
      <c r="D1" s="4"/>
      <c r="E1" s="4"/>
      <c r="F1" s="4"/>
      <c r="G1" s="4"/>
      <c r="H1" s="4"/>
      <c r="I1" s="4"/>
      <c r="J1" s="4"/>
      <c r="K1" s="4"/>
      <c r="L1" s="3"/>
    </row>
    <row r="2" spans="1:18">
      <c r="A2" s="4"/>
      <c r="B2" s="4"/>
      <c r="C2" s="4"/>
      <c r="D2" s="4"/>
      <c r="E2" s="4"/>
      <c r="F2" s="4"/>
      <c r="G2" s="4"/>
      <c r="H2" s="4"/>
      <c r="I2" s="4"/>
      <c r="J2" s="4"/>
      <c r="K2" s="4"/>
      <c r="L2" s="3"/>
    </row>
    <row r="3" spans="1:18">
      <c r="A3" s="14" t="s">
        <v>154</v>
      </c>
      <c r="B3" s="16"/>
      <c r="C3" s="9"/>
      <c r="D3" s="9"/>
      <c r="E3" s="9"/>
      <c r="F3" s="9"/>
      <c r="G3" s="9"/>
      <c r="H3" s="9"/>
      <c r="I3" s="4"/>
      <c r="J3" s="4"/>
      <c r="K3" s="4"/>
      <c r="L3" s="3"/>
    </row>
    <row r="4" spans="1:18">
      <c r="A4" s="303" t="s">
        <v>155</v>
      </c>
      <c r="B4" s="303"/>
      <c r="C4" s="303"/>
      <c r="D4" s="303"/>
      <c r="E4" s="303"/>
      <c r="F4" s="303"/>
      <c r="G4" s="303"/>
      <c r="H4" s="303"/>
      <c r="I4" s="303"/>
      <c r="J4" s="303"/>
      <c r="K4" s="303"/>
      <c r="L4" s="9"/>
    </row>
    <row r="5" spans="1:18">
      <c r="A5" s="303"/>
      <c r="B5" s="303"/>
      <c r="C5" s="303"/>
      <c r="D5" s="303"/>
      <c r="E5" s="303"/>
      <c r="F5" s="303"/>
      <c r="G5" s="303"/>
      <c r="H5" s="303"/>
      <c r="I5" s="303"/>
      <c r="J5" s="303"/>
      <c r="K5" s="303"/>
      <c r="L5" s="9"/>
    </row>
    <row r="6" spans="1:18">
      <c r="A6" s="14"/>
      <c r="B6" s="16"/>
      <c r="C6" s="9"/>
      <c r="D6" s="9"/>
      <c r="E6" s="9"/>
      <c r="F6" s="9"/>
      <c r="G6" s="9"/>
      <c r="H6" s="9"/>
      <c r="I6" s="9"/>
      <c r="J6" s="9"/>
      <c r="K6" s="9"/>
      <c r="L6" s="9"/>
    </row>
    <row r="7" spans="1:18">
      <c r="A7" s="9"/>
      <c r="B7" s="56" t="s">
        <v>156</v>
      </c>
      <c r="C7" s="51"/>
      <c r="D7" s="51"/>
      <c r="E7" s="57">
        <v>0.25</v>
      </c>
      <c r="F7" s="9"/>
      <c r="G7" s="9"/>
      <c r="H7" s="9"/>
      <c r="I7" s="9"/>
      <c r="J7" s="9"/>
      <c r="K7" s="9"/>
      <c r="L7" s="9"/>
    </row>
    <row r="8" spans="1:18">
      <c r="A8" s="9"/>
      <c r="B8" s="148" t="s">
        <v>157</v>
      </c>
      <c r="C8" s="51"/>
      <c r="D8" s="51"/>
      <c r="E8" s="57">
        <v>0.55000000000000004</v>
      </c>
      <c r="F8" s="9"/>
      <c r="G8" s="9"/>
      <c r="H8" s="9"/>
      <c r="I8" s="9"/>
      <c r="J8" s="9"/>
      <c r="K8" s="9"/>
      <c r="L8" s="9"/>
    </row>
    <row r="9" spans="1:18">
      <c r="A9" s="9"/>
      <c r="B9" s="148" t="s">
        <v>90</v>
      </c>
      <c r="C9" s="51"/>
      <c r="D9" s="51"/>
      <c r="E9" s="57">
        <v>0.2</v>
      </c>
      <c r="F9" s="9"/>
      <c r="G9" s="9"/>
      <c r="H9" s="9"/>
      <c r="I9" s="9"/>
      <c r="J9" s="9"/>
      <c r="K9" s="9"/>
      <c r="L9" s="9"/>
    </row>
    <row r="10" spans="1:18">
      <c r="A10" s="14"/>
      <c r="B10" s="16"/>
      <c r="C10" s="9"/>
      <c r="D10" s="9"/>
      <c r="E10" s="9"/>
      <c r="F10" s="9"/>
      <c r="G10" s="9"/>
      <c r="H10" s="9"/>
      <c r="I10" s="9"/>
      <c r="J10" s="9"/>
      <c r="K10" s="9"/>
      <c r="L10" s="9"/>
    </row>
    <row r="11" spans="1:18">
      <c r="A11" s="14" t="s">
        <v>365</v>
      </c>
      <c r="B11" s="16"/>
      <c r="C11" s="9"/>
      <c r="D11" s="9"/>
      <c r="E11" s="9"/>
      <c r="F11" s="9"/>
      <c r="G11" s="9"/>
      <c r="H11" s="9"/>
      <c r="I11" s="9"/>
      <c r="J11" s="9"/>
      <c r="K11" s="9"/>
      <c r="L11" s="9"/>
    </row>
    <row r="12" spans="1:18">
      <c r="A12" s="9"/>
      <c r="B12" s="9"/>
      <c r="C12" s="9"/>
      <c r="D12" s="9"/>
      <c r="E12" s="9"/>
      <c r="F12" s="9"/>
      <c r="G12" s="9"/>
      <c r="H12" s="9"/>
      <c r="I12" s="9"/>
      <c r="J12" s="9"/>
      <c r="K12" s="9"/>
      <c r="L12" s="9"/>
    </row>
    <row r="13" spans="1:18">
      <c r="A13" s="7"/>
      <c r="B13" s="7"/>
      <c r="C13" s="7"/>
      <c r="D13" s="7"/>
      <c r="E13" s="7"/>
      <c r="F13" s="7"/>
      <c r="G13" s="7"/>
      <c r="H13" s="7"/>
      <c r="I13" s="7"/>
      <c r="J13" s="7"/>
      <c r="K13" s="7"/>
      <c r="L13" s="7"/>
    </row>
    <row r="14" spans="1:18">
      <c r="A14" s="6" t="s">
        <v>4</v>
      </c>
      <c r="B14" s="9" t="s">
        <v>158</v>
      </c>
      <c r="C14" s="4"/>
      <c r="D14" s="4"/>
      <c r="E14" s="4"/>
      <c r="F14" s="4"/>
      <c r="G14" s="4"/>
      <c r="H14" s="4"/>
      <c r="I14" s="4"/>
      <c r="J14" s="4"/>
      <c r="K14" s="4"/>
      <c r="L14" s="4"/>
      <c r="M14" s="8"/>
      <c r="N14" s="8"/>
      <c r="O14" s="8"/>
      <c r="P14" s="8"/>
      <c r="Q14" s="8"/>
      <c r="R14" s="8"/>
    </row>
    <row r="15" spans="1:18">
      <c r="A15" s="3"/>
      <c r="B15" s="3"/>
      <c r="C15" s="3"/>
      <c r="D15" s="3"/>
      <c r="E15" s="3"/>
      <c r="F15" s="3"/>
      <c r="G15" s="4"/>
      <c r="H15" s="4"/>
      <c r="I15" s="4"/>
      <c r="J15" s="4"/>
      <c r="K15" s="4"/>
      <c r="L15" s="4"/>
    </row>
    <row r="16" spans="1:18">
      <c r="A16" s="7"/>
      <c r="B16" s="7"/>
      <c r="C16" s="7"/>
      <c r="D16" s="7"/>
      <c r="E16" s="7"/>
      <c r="F16" s="7"/>
      <c r="G16" s="7"/>
      <c r="H16" s="7"/>
      <c r="I16" s="7"/>
      <c r="J16" s="7"/>
      <c r="K16" s="7"/>
      <c r="L16" s="7"/>
      <c r="M16" s="7"/>
    </row>
    <row r="17" spans="1:14">
      <c r="A17" s="7" t="s">
        <v>1</v>
      </c>
      <c r="B17" s="7"/>
      <c r="C17" s="7"/>
      <c r="D17" s="7"/>
      <c r="E17" s="7"/>
      <c r="F17" s="7"/>
      <c r="G17" s="7"/>
      <c r="H17" s="7"/>
      <c r="I17" s="7"/>
      <c r="J17" s="7"/>
      <c r="K17" s="7"/>
      <c r="L17" s="7"/>
      <c r="M17" s="7"/>
      <c r="N17" s="8"/>
    </row>
    <row r="18" spans="1:14">
      <c r="A18" s="7"/>
      <c r="B18" s="7"/>
      <c r="C18" s="7"/>
      <c r="D18" s="7"/>
      <c r="E18" s="7"/>
      <c r="F18" s="7"/>
      <c r="G18" s="7"/>
      <c r="H18" s="7"/>
      <c r="I18" s="7"/>
      <c r="J18" s="7"/>
      <c r="K18" s="7"/>
      <c r="L18" s="7"/>
      <c r="M18" s="7"/>
      <c r="N18" s="8"/>
    </row>
    <row r="19" spans="1:14">
      <c r="A19" s="7" t="s">
        <v>465</v>
      </c>
      <c r="B19" s="7"/>
      <c r="C19" s="7"/>
      <c r="D19" s="7"/>
      <c r="E19" s="7"/>
      <c r="F19" s="7"/>
      <c r="G19" s="7"/>
      <c r="H19" s="7"/>
      <c r="I19" s="7"/>
      <c r="J19" s="7"/>
      <c r="K19" s="7"/>
      <c r="L19" s="7"/>
      <c r="M19" s="7"/>
      <c r="N19" s="8"/>
    </row>
    <row r="20" spans="1:14">
      <c r="A20" s="1" t="s">
        <v>466</v>
      </c>
      <c r="M20" s="8"/>
      <c r="N20" s="8"/>
    </row>
    <row r="21" spans="1:14">
      <c r="M21" s="8"/>
      <c r="N21" s="8"/>
    </row>
    <row r="22" spans="1:14">
      <c r="A22" s="3"/>
      <c r="B22" s="3"/>
      <c r="C22" s="3"/>
      <c r="D22" s="3"/>
      <c r="E22" s="3"/>
      <c r="F22" s="3"/>
      <c r="G22" s="4"/>
      <c r="H22" s="4"/>
      <c r="I22" s="4"/>
      <c r="J22" s="4"/>
      <c r="K22" s="4"/>
      <c r="L22" s="4"/>
      <c r="M22" s="8"/>
      <c r="N22" s="8"/>
    </row>
    <row r="23" spans="1:14">
      <c r="A23" s="14" t="s">
        <v>70</v>
      </c>
      <c r="B23" s="16"/>
      <c r="C23" s="16"/>
      <c r="D23" s="16"/>
      <c r="E23" s="16"/>
      <c r="F23" s="16"/>
      <c r="G23" s="16"/>
      <c r="H23" s="9"/>
      <c r="I23" s="9"/>
      <c r="J23" s="9"/>
      <c r="K23" s="4"/>
      <c r="L23" s="4"/>
      <c r="M23" s="8"/>
      <c r="N23" s="8"/>
    </row>
    <row r="24" spans="1:14">
      <c r="A24" s="14"/>
      <c r="B24" s="16"/>
      <c r="C24" s="16"/>
      <c r="D24" s="16"/>
      <c r="E24" s="16"/>
      <c r="F24" s="16"/>
      <c r="G24" s="16"/>
      <c r="H24" s="9"/>
      <c r="I24" s="9"/>
      <c r="J24" s="9"/>
      <c r="K24" s="4"/>
      <c r="L24" s="4"/>
      <c r="M24" s="8"/>
      <c r="N24" s="8"/>
    </row>
    <row r="25" spans="1:14">
      <c r="A25" s="9"/>
      <c r="B25" s="310" t="s">
        <v>79</v>
      </c>
      <c r="C25" s="310" t="s">
        <v>159</v>
      </c>
      <c r="D25" s="310"/>
      <c r="E25" s="310"/>
      <c r="F25" s="310"/>
      <c r="G25" s="310"/>
      <c r="H25" s="310"/>
      <c r="I25" s="9"/>
      <c r="J25" s="9"/>
      <c r="K25" s="4"/>
      <c r="L25" s="4"/>
      <c r="M25" s="8"/>
      <c r="N25" s="8"/>
    </row>
    <row r="26" spans="1:14">
      <c r="A26" s="9"/>
      <c r="B26" s="310"/>
      <c r="C26" s="38">
        <v>12</v>
      </c>
      <c r="D26" s="38">
        <v>24</v>
      </c>
      <c r="E26" s="38">
        <v>36</v>
      </c>
      <c r="F26" s="38">
        <v>48</v>
      </c>
      <c r="G26" s="38">
        <v>60</v>
      </c>
      <c r="H26" s="38">
        <v>72</v>
      </c>
      <c r="I26" s="9"/>
      <c r="J26" s="9"/>
      <c r="K26" s="4"/>
      <c r="L26" s="4"/>
      <c r="M26" s="8"/>
      <c r="N26" s="8"/>
    </row>
    <row r="27" spans="1:14">
      <c r="A27" s="9"/>
      <c r="B27" s="34">
        <v>2016</v>
      </c>
      <c r="C27" s="35">
        <v>1033</v>
      </c>
      <c r="D27" s="34">
        <v>28</v>
      </c>
      <c r="E27" s="34">
        <v>26</v>
      </c>
      <c r="F27" s="34">
        <v>1</v>
      </c>
      <c r="G27" s="34">
        <v>0</v>
      </c>
      <c r="H27" s="34">
        <v>0</v>
      </c>
      <c r="I27" s="9"/>
      <c r="J27" s="9"/>
      <c r="K27" s="4"/>
      <c r="L27" s="4"/>
      <c r="M27" s="8"/>
      <c r="N27" s="8"/>
    </row>
    <row r="28" spans="1:14">
      <c r="A28" s="9"/>
      <c r="B28" s="34">
        <v>2017</v>
      </c>
      <c r="C28" s="35">
        <v>1081</v>
      </c>
      <c r="D28" s="34">
        <v>32</v>
      </c>
      <c r="E28" s="34">
        <v>16</v>
      </c>
      <c r="F28" s="34">
        <v>0</v>
      </c>
      <c r="G28" s="34">
        <v>0</v>
      </c>
      <c r="H28" s="58"/>
      <c r="I28" s="9"/>
      <c r="J28" s="9"/>
      <c r="K28" s="4"/>
      <c r="L28" s="4"/>
      <c r="M28" s="8"/>
      <c r="N28" s="8"/>
    </row>
    <row r="29" spans="1:14">
      <c r="A29" s="9"/>
      <c r="B29" s="34">
        <v>2018</v>
      </c>
      <c r="C29" s="35">
        <v>1122</v>
      </c>
      <c r="D29" s="34">
        <v>59</v>
      </c>
      <c r="E29" s="34">
        <v>8</v>
      </c>
      <c r="F29" s="34">
        <v>0</v>
      </c>
      <c r="G29" s="58"/>
      <c r="H29" s="58"/>
      <c r="I29" s="9"/>
      <c r="J29" s="9"/>
      <c r="K29" s="4"/>
      <c r="L29" s="4"/>
      <c r="M29" s="8"/>
      <c r="N29" s="8"/>
    </row>
    <row r="30" spans="1:14">
      <c r="A30" s="9"/>
      <c r="B30" s="34">
        <v>2019</v>
      </c>
      <c r="C30" s="34">
        <v>828</v>
      </c>
      <c r="D30" s="34">
        <v>41</v>
      </c>
      <c r="E30" s="34">
        <v>25</v>
      </c>
      <c r="F30" s="58"/>
      <c r="G30" s="58"/>
      <c r="H30" s="58"/>
      <c r="I30" s="9"/>
      <c r="J30" s="9"/>
      <c r="K30" s="4"/>
      <c r="L30" s="4"/>
      <c r="M30" s="8"/>
      <c r="N30" s="8"/>
    </row>
    <row r="31" spans="1:14">
      <c r="A31" s="9"/>
      <c r="B31" s="34">
        <v>2020</v>
      </c>
      <c r="C31" s="34">
        <v>799</v>
      </c>
      <c r="D31" s="34">
        <v>34</v>
      </c>
      <c r="E31" s="58"/>
      <c r="F31" s="58"/>
      <c r="G31" s="58"/>
      <c r="H31" s="58"/>
      <c r="I31" s="9"/>
      <c r="J31" s="9"/>
      <c r="K31" s="4"/>
      <c r="L31" s="4"/>
      <c r="M31" s="8"/>
      <c r="N31" s="8"/>
    </row>
    <row r="32" spans="1:14">
      <c r="A32" s="9"/>
      <c r="B32" s="34">
        <v>2021</v>
      </c>
      <c r="C32" s="34">
        <v>806</v>
      </c>
      <c r="D32" s="34"/>
      <c r="E32" s="34"/>
      <c r="F32" s="34"/>
      <c r="G32" s="34"/>
      <c r="H32" s="34"/>
      <c r="I32" s="9"/>
      <c r="J32" s="9"/>
      <c r="K32" s="4"/>
      <c r="L32" s="4"/>
      <c r="M32" s="8"/>
      <c r="N32" s="8"/>
    </row>
    <row r="33" spans="1:14">
      <c r="A33" s="14"/>
      <c r="B33" s="16"/>
      <c r="C33" s="16"/>
      <c r="D33" s="16"/>
      <c r="E33" s="16"/>
      <c r="F33" s="16"/>
      <c r="G33" s="16"/>
      <c r="H33" s="9"/>
      <c r="I33" s="9"/>
      <c r="J33" s="9"/>
      <c r="K33" s="4"/>
      <c r="L33" s="4"/>
      <c r="M33" s="8"/>
      <c r="N33" s="8"/>
    </row>
    <row r="34" spans="1:14">
      <c r="A34" s="9"/>
      <c r="B34" s="310" t="s">
        <v>79</v>
      </c>
      <c r="C34" s="310" t="s">
        <v>160</v>
      </c>
      <c r="D34" s="310"/>
      <c r="E34" s="310"/>
      <c r="F34" s="310"/>
      <c r="G34" s="310"/>
      <c r="H34" s="310"/>
      <c r="I34" s="9"/>
      <c r="J34" s="9"/>
      <c r="K34" s="4"/>
      <c r="L34" s="4"/>
      <c r="M34" s="8"/>
      <c r="N34" s="8"/>
    </row>
    <row r="35" spans="1:14">
      <c r="A35" s="9"/>
      <c r="B35" s="310"/>
      <c r="C35" s="38">
        <v>12</v>
      </c>
      <c r="D35" s="38">
        <v>24</v>
      </c>
      <c r="E35" s="38">
        <v>36</v>
      </c>
      <c r="F35" s="38">
        <v>48</v>
      </c>
      <c r="G35" s="38">
        <v>60</v>
      </c>
      <c r="H35" s="38">
        <v>72</v>
      </c>
      <c r="I35" s="9"/>
      <c r="J35" s="9"/>
      <c r="K35" s="4"/>
      <c r="L35" s="4"/>
      <c r="M35" s="8"/>
      <c r="N35" s="8"/>
    </row>
    <row r="36" spans="1:14">
      <c r="A36" s="9"/>
      <c r="B36" s="34">
        <v>2016</v>
      </c>
      <c r="C36" s="34">
        <v>636</v>
      </c>
      <c r="D36" s="34">
        <v>210</v>
      </c>
      <c r="E36" s="34">
        <v>87</v>
      </c>
      <c r="F36" s="34">
        <v>21</v>
      </c>
      <c r="G36" s="34">
        <v>4</v>
      </c>
      <c r="H36" s="34">
        <v>1</v>
      </c>
      <c r="I36" s="9"/>
      <c r="J36" s="9"/>
      <c r="K36" s="4"/>
      <c r="L36" s="4"/>
      <c r="M36" s="8"/>
      <c r="N36" s="8"/>
    </row>
    <row r="37" spans="1:14">
      <c r="A37" s="9"/>
      <c r="B37" s="34">
        <v>2017</v>
      </c>
      <c r="C37" s="34">
        <v>650</v>
      </c>
      <c r="D37" s="34">
        <v>263</v>
      </c>
      <c r="E37" s="34">
        <v>64</v>
      </c>
      <c r="F37" s="34">
        <v>10</v>
      </c>
      <c r="G37" s="34">
        <v>0</v>
      </c>
      <c r="H37" s="34"/>
      <c r="I37" s="9"/>
      <c r="J37" s="9"/>
      <c r="K37" s="4"/>
      <c r="L37" s="4"/>
      <c r="M37" s="8"/>
      <c r="N37" s="8"/>
    </row>
    <row r="38" spans="1:14">
      <c r="A38" s="9"/>
      <c r="B38" s="34">
        <v>2018</v>
      </c>
      <c r="C38" s="34">
        <v>694</v>
      </c>
      <c r="D38" s="34">
        <v>274</v>
      </c>
      <c r="E38" s="34">
        <v>71</v>
      </c>
      <c r="F38" s="34">
        <v>12</v>
      </c>
      <c r="G38" s="58"/>
      <c r="H38" s="58"/>
      <c r="I38" s="9"/>
      <c r="J38" s="9"/>
      <c r="K38" s="4"/>
      <c r="L38" s="4"/>
      <c r="M38" s="8"/>
      <c r="N38" s="8"/>
    </row>
    <row r="39" spans="1:14">
      <c r="A39" s="9"/>
      <c r="B39" s="34">
        <v>2019</v>
      </c>
      <c r="C39" s="34">
        <v>521</v>
      </c>
      <c r="D39" s="34">
        <v>222</v>
      </c>
      <c r="E39" s="34">
        <v>69</v>
      </c>
      <c r="F39" s="58"/>
      <c r="G39" s="58"/>
      <c r="H39" s="58"/>
      <c r="I39" s="9"/>
      <c r="J39" s="9"/>
      <c r="K39" s="4"/>
      <c r="L39" s="4"/>
      <c r="M39" s="8"/>
      <c r="N39" s="8"/>
    </row>
    <row r="40" spans="1:14">
      <c r="A40" s="9"/>
      <c r="B40" s="34">
        <v>2020</v>
      </c>
      <c r="C40" s="34">
        <v>511</v>
      </c>
      <c r="D40" s="34">
        <v>210</v>
      </c>
      <c r="E40" s="58"/>
      <c r="F40" s="58"/>
      <c r="G40" s="58"/>
      <c r="H40" s="58"/>
      <c r="I40" s="9"/>
      <c r="J40" s="9"/>
      <c r="K40" s="4"/>
      <c r="L40" s="4"/>
      <c r="M40" s="8"/>
      <c r="N40" s="8"/>
    </row>
    <row r="41" spans="1:14">
      <c r="A41" s="9"/>
      <c r="B41" s="34">
        <v>2021</v>
      </c>
      <c r="C41" s="34">
        <v>530</v>
      </c>
      <c r="D41" s="34"/>
      <c r="E41" s="34"/>
      <c r="F41" s="34"/>
      <c r="G41" s="34"/>
      <c r="H41" s="34"/>
      <c r="I41" s="9"/>
      <c r="J41" s="9"/>
      <c r="K41" s="4"/>
      <c r="L41" s="4"/>
      <c r="M41" s="8"/>
      <c r="N41" s="8"/>
    </row>
    <row r="42" spans="1:14">
      <c r="A42" s="9"/>
      <c r="B42" s="14"/>
      <c r="C42" s="16"/>
      <c r="D42" s="16"/>
      <c r="E42" s="16"/>
      <c r="F42" s="16"/>
      <c r="G42" s="16"/>
      <c r="H42" s="16"/>
      <c r="I42" s="9"/>
      <c r="J42" s="9"/>
      <c r="K42" s="4"/>
      <c r="L42" s="4"/>
      <c r="M42" s="8"/>
      <c r="N42" s="8"/>
    </row>
    <row r="43" spans="1:14">
      <c r="A43" s="9"/>
      <c r="B43" s="19" t="s">
        <v>65</v>
      </c>
      <c r="C43" s="19" t="s">
        <v>161</v>
      </c>
      <c r="D43" s="16"/>
      <c r="E43" s="16"/>
      <c r="F43" s="16"/>
      <c r="G43" s="16"/>
      <c r="H43" s="16"/>
      <c r="I43" s="9"/>
      <c r="J43" s="9"/>
      <c r="K43" s="4"/>
      <c r="L43" s="4"/>
      <c r="M43" s="8"/>
      <c r="N43" s="8"/>
    </row>
    <row r="44" spans="1:14">
      <c r="A44" s="9"/>
      <c r="B44" s="26">
        <v>2018</v>
      </c>
      <c r="C44" s="27">
        <v>718960</v>
      </c>
      <c r="D44" s="16"/>
      <c r="E44" s="16"/>
      <c r="F44" s="16"/>
      <c r="G44" s="16"/>
      <c r="H44" s="16"/>
      <c r="I44" s="9"/>
      <c r="J44" s="9"/>
      <c r="K44" s="4"/>
      <c r="L44" s="4"/>
      <c r="M44" s="8"/>
      <c r="N44" s="8"/>
    </row>
    <row r="45" spans="1:14">
      <c r="A45" s="9"/>
      <c r="B45" s="26">
        <v>2019</v>
      </c>
      <c r="C45" s="27">
        <v>738400</v>
      </c>
      <c r="D45" s="16"/>
      <c r="E45" s="16"/>
      <c r="F45" s="16"/>
      <c r="G45" s="16"/>
      <c r="H45" s="16"/>
      <c r="I45" s="9"/>
      <c r="J45" s="9"/>
      <c r="K45" s="4"/>
      <c r="L45" s="4"/>
      <c r="M45" s="8"/>
      <c r="N45" s="8"/>
    </row>
    <row r="46" spans="1:14">
      <c r="A46" s="9"/>
      <c r="B46" s="26">
        <v>2020</v>
      </c>
      <c r="C46" s="27">
        <v>746800</v>
      </c>
      <c r="D46" s="16"/>
      <c r="E46" s="16"/>
      <c r="F46" s="16"/>
      <c r="G46" s="16"/>
      <c r="H46" s="16"/>
      <c r="I46" s="9"/>
      <c r="J46" s="9"/>
      <c r="K46" s="4"/>
      <c r="L46" s="4"/>
      <c r="M46" s="8"/>
      <c r="N46" s="8"/>
    </row>
    <row r="47" spans="1:14">
      <c r="A47" s="9"/>
      <c r="B47" s="26">
        <v>2021</v>
      </c>
      <c r="C47" s="27">
        <v>787600</v>
      </c>
      <c r="D47" s="16"/>
      <c r="E47" s="16"/>
      <c r="F47" s="16"/>
      <c r="G47" s="16"/>
      <c r="H47" s="16"/>
      <c r="I47" s="9"/>
      <c r="J47" s="9"/>
      <c r="K47" s="4"/>
      <c r="L47" s="4"/>
      <c r="M47" s="8"/>
      <c r="N47" s="8"/>
    </row>
    <row r="48" spans="1:14">
      <c r="A48" s="15"/>
      <c r="B48" s="16"/>
      <c r="C48" s="16"/>
      <c r="D48" s="16"/>
      <c r="E48" s="16"/>
      <c r="F48" s="16"/>
      <c r="G48" s="16"/>
      <c r="H48" s="9"/>
      <c r="I48" s="9"/>
      <c r="J48" s="9"/>
      <c r="K48" s="4"/>
      <c r="L48" s="4"/>
      <c r="M48" s="8"/>
      <c r="N48" s="8"/>
    </row>
    <row r="49" spans="1:17">
      <c r="A49" s="9"/>
      <c r="B49" s="17" t="s">
        <v>162</v>
      </c>
      <c r="C49" s="16"/>
      <c r="D49" s="16"/>
      <c r="E49" s="16"/>
      <c r="F49" s="16"/>
      <c r="G49" s="16"/>
      <c r="H49" s="9"/>
      <c r="I49" s="9"/>
      <c r="J49" s="9"/>
      <c r="K49" s="4"/>
      <c r="L49" s="4"/>
      <c r="M49" s="8"/>
      <c r="N49" s="8"/>
    </row>
    <row r="50" spans="1:17">
      <c r="A50" s="3"/>
      <c r="B50" s="3"/>
      <c r="C50" s="3"/>
      <c r="D50" s="3"/>
      <c r="E50" s="3"/>
      <c r="F50" s="3"/>
      <c r="G50" s="4"/>
      <c r="H50" s="4"/>
      <c r="I50" s="4"/>
      <c r="J50" s="4"/>
      <c r="K50" s="4"/>
      <c r="L50" s="4"/>
      <c r="M50" s="8"/>
      <c r="N50" s="8"/>
    </row>
    <row r="52" spans="1:17">
      <c r="A52" s="6" t="s">
        <v>5</v>
      </c>
      <c r="B52" s="9" t="s">
        <v>163</v>
      </c>
      <c r="C52" s="4"/>
      <c r="D52" s="4"/>
      <c r="E52" s="4"/>
      <c r="F52" s="4"/>
      <c r="G52" s="4"/>
      <c r="H52" s="4"/>
      <c r="I52" s="4"/>
      <c r="J52" s="4"/>
      <c r="K52" s="4"/>
      <c r="L52" s="4"/>
    </row>
    <row r="53" spans="1:17">
      <c r="A53" s="3"/>
      <c r="B53" s="3"/>
      <c r="C53" s="3"/>
      <c r="D53" s="3"/>
      <c r="E53" s="3"/>
      <c r="F53" s="3"/>
      <c r="G53" s="4"/>
      <c r="H53" s="4"/>
      <c r="I53" s="4"/>
      <c r="J53" s="4"/>
      <c r="K53" s="4"/>
      <c r="L53" s="4"/>
    </row>
    <row r="54" spans="1:17">
      <c r="A54" s="7"/>
      <c r="B54" s="7"/>
      <c r="C54" s="7"/>
      <c r="D54" s="7"/>
      <c r="E54" s="7"/>
      <c r="F54" s="7"/>
      <c r="G54" s="7"/>
      <c r="H54" s="7"/>
      <c r="I54" s="7"/>
      <c r="J54" s="7"/>
      <c r="K54" s="7"/>
      <c r="L54" s="7"/>
    </row>
    <row r="55" spans="1:17">
      <c r="A55" s="7" t="s">
        <v>1</v>
      </c>
      <c r="B55" s="7"/>
      <c r="C55" s="7"/>
      <c r="D55" s="7"/>
      <c r="E55" s="7"/>
      <c r="F55" s="7"/>
      <c r="G55" s="7"/>
      <c r="H55" s="7"/>
      <c r="I55" s="7"/>
      <c r="J55" s="7"/>
      <c r="K55" s="7"/>
      <c r="L55" s="7"/>
    </row>
    <row r="56" spans="1:17">
      <c r="A56" s="7"/>
      <c r="B56" s="7"/>
      <c r="C56" s="7"/>
      <c r="D56" s="7"/>
      <c r="E56" s="7"/>
      <c r="F56" s="7"/>
      <c r="G56" s="7"/>
      <c r="H56" s="7"/>
      <c r="I56" s="7"/>
      <c r="J56" s="7"/>
      <c r="K56" s="7"/>
      <c r="L56" s="7"/>
    </row>
    <row r="57" spans="1:17">
      <c r="A57" s="7"/>
      <c r="B57" s="147" t="s">
        <v>472</v>
      </c>
      <c r="C57" s="7"/>
      <c r="D57" s="7"/>
      <c r="E57" s="7"/>
      <c r="F57" s="7"/>
      <c r="G57" s="7"/>
      <c r="H57" s="7"/>
      <c r="I57" s="7"/>
      <c r="J57" s="7"/>
      <c r="K57" s="7"/>
      <c r="L57" s="7"/>
    </row>
    <row r="58" spans="1:17">
      <c r="A58" s="7"/>
      <c r="B58" s="127" t="s">
        <v>473</v>
      </c>
      <c r="C58" s="7"/>
      <c r="D58" s="7"/>
      <c r="E58" s="7"/>
      <c r="F58" s="7"/>
      <c r="G58" s="7"/>
      <c r="H58" s="7"/>
      <c r="I58" s="7"/>
      <c r="J58" s="7"/>
      <c r="K58" s="7"/>
      <c r="L58" s="7"/>
    </row>
    <row r="59" spans="1:17">
      <c r="A59" s="7"/>
      <c r="B59" s="127"/>
      <c r="C59" s="7"/>
      <c r="D59" s="7"/>
      <c r="E59" s="7"/>
      <c r="F59" s="7"/>
      <c r="G59" s="7"/>
      <c r="H59" s="7"/>
      <c r="I59" s="7"/>
      <c r="J59" s="7"/>
      <c r="K59" s="7"/>
      <c r="L59" s="7"/>
    </row>
    <row r="60" spans="1:17">
      <c r="A60" s="7"/>
      <c r="B60" s="160" t="s">
        <v>482</v>
      </c>
      <c r="C60" s="7"/>
      <c r="D60" s="7"/>
      <c r="E60" s="7"/>
      <c r="F60" s="7"/>
      <c r="G60" s="7"/>
      <c r="H60" s="7"/>
      <c r="I60" s="7"/>
      <c r="J60" s="7"/>
      <c r="K60" s="7"/>
      <c r="L60" s="7"/>
    </row>
    <row r="61" spans="1:17">
      <c r="A61" s="7"/>
      <c r="B61" s="7"/>
      <c r="C61" s="7" t="s">
        <v>479</v>
      </c>
      <c r="D61" s="7"/>
      <c r="F61" s="157">
        <f>C29+D28+E27</f>
        <v>1180</v>
      </c>
      <c r="G61" s="7"/>
      <c r="H61" s="7"/>
      <c r="I61" s="7"/>
      <c r="J61" s="7"/>
      <c r="K61" s="7"/>
      <c r="L61" s="7"/>
      <c r="O61" s="158"/>
    </row>
    <row r="62" spans="1:17">
      <c r="A62" s="7"/>
      <c r="B62" s="7"/>
      <c r="C62" s="7" t="s">
        <v>480</v>
      </c>
      <c r="D62" s="7"/>
      <c r="E62" s="7"/>
      <c r="F62" s="157">
        <f>(SUM(C27:C29)+SUM(D27:D28)+E27)-(SUM(C36:C38)+SUM(D36:D37)+E36)</f>
        <v>782</v>
      </c>
      <c r="G62" s="7"/>
      <c r="H62" s="7"/>
      <c r="I62" s="7"/>
      <c r="J62" s="7"/>
      <c r="K62" s="7"/>
      <c r="L62" s="7"/>
      <c r="O62" s="158"/>
    </row>
    <row r="63" spans="1:17">
      <c r="A63" s="7"/>
      <c r="B63" s="7"/>
      <c r="C63" s="7" t="s">
        <v>481</v>
      </c>
      <c r="D63" s="7"/>
      <c r="E63" s="7"/>
      <c r="F63" s="157">
        <f>C38+D37+E36</f>
        <v>1044</v>
      </c>
      <c r="G63" s="7"/>
      <c r="H63" s="7"/>
      <c r="I63" s="7"/>
      <c r="J63" s="7"/>
      <c r="K63" s="7"/>
      <c r="L63" s="7"/>
      <c r="O63" s="158"/>
      <c r="Q63" s="159"/>
    </row>
    <row r="64" spans="1:17">
      <c r="A64" s="7"/>
      <c r="B64" s="7"/>
      <c r="C64" s="7"/>
      <c r="D64" s="7"/>
      <c r="E64" s="7"/>
      <c r="F64" s="7"/>
      <c r="G64" s="7"/>
      <c r="H64" s="7"/>
      <c r="I64" s="7"/>
      <c r="J64" s="7"/>
      <c r="K64" s="7"/>
      <c r="L64" s="7"/>
    </row>
    <row r="65" spans="1:12">
      <c r="A65" s="7"/>
      <c r="B65" s="161" t="s">
        <v>483</v>
      </c>
      <c r="C65" s="7"/>
      <c r="D65" s="7"/>
      <c r="E65" s="7"/>
      <c r="F65" s="7"/>
      <c r="G65" s="7"/>
      <c r="H65" s="7"/>
      <c r="I65" s="7"/>
      <c r="J65" s="7"/>
      <c r="K65" s="7"/>
      <c r="L65" s="7"/>
    </row>
    <row r="66" spans="1:12">
      <c r="A66" s="7"/>
      <c r="B66" s="7"/>
      <c r="C66" s="7"/>
      <c r="D66" s="7"/>
      <c r="E66" s="7"/>
      <c r="F66" s="7"/>
      <c r="G66" s="7"/>
      <c r="H66" s="7"/>
      <c r="I66" s="7"/>
      <c r="J66" s="7"/>
      <c r="K66" s="7"/>
      <c r="L66" s="7"/>
    </row>
    <row r="67" spans="1:12">
      <c r="A67" s="7"/>
      <c r="B67" s="7" t="s">
        <v>471</v>
      </c>
      <c r="C67"/>
      <c r="D67"/>
      <c r="E67"/>
      <c r="F67"/>
      <c r="G67"/>
      <c r="H67"/>
      <c r="I67" s="7"/>
      <c r="J67"/>
      <c r="K67" s="7"/>
      <c r="L67" s="7"/>
    </row>
    <row r="68" spans="1:12">
      <c r="A68" s="7"/>
      <c r="B68" s="137" t="s">
        <v>467</v>
      </c>
      <c r="C68" s="146">
        <f>DATE(B69,12,31)</f>
        <v>42735</v>
      </c>
      <c r="D68" s="146">
        <f>DATE(1+YEAR(C68),12,31)</f>
        <v>43100</v>
      </c>
      <c r="E68" s="146">
        <f t="shared" ref="E68:H68" si="0">DATE(1+YEAR(D68),12,31)</f>
        <v>43465</v>
      </c>
      <c r="F68" s="146">
        <f t="shared" si="0"/>
        <v>43830</v>
      </c>
      <c r="G68" s="146">
        <f t="shared" si="0"/>
        <v>44196</v>
      </c>
      <c r="H68" s="146">
        <f t="shared" si="0"/>
        <v>44561</v>
      </c>
      <c r="I68" s="7"/>
      <c r="J68"/>
      <c r="K68"/>
      <c r="L68" s="7"/>
    </row>
    <row r="69" spans="1:12">
      <c r="A69" s="7"/>
      <c r="B69" s="138">
        <v>2016</v>
      </c>
      <c r="C69" s="142">
        <f t="shared" ref="C69:H69" si="1">C27</f>
        <v>1033</v>
      </c>
      <c r="D69" s="142">
        <f t="shared" si="1"/>
        <v>28</v>
      </c>
      <c r="E69" s="142">
        <f t="shared" si="1"/>
        <v>26</v>
      </c>
      <c r="F69" s="142">
        <f t="shared" si="1"/>
        <v>1</v>
      </c>
      <c r="G69" s="142">
        <f t="shared" si="1"/>
        <v>0</v>
      </c>
      <c r="H69" s="142">
        <f t="shared" si="1"/>
        <v>0</v>
      </c>
      <c r="I69" s="7"/>
      <c r="J69"/>
      <c r="K69"/>
      <c r="L69" s="7"/>
    </row>
    <row r="70" spans="1:12">
      <c r="A70" s="7"/>
      <c r="B70" s="138">
        <v>2017</v>
      </c>
      <c r="C70" s="130"/>
      <c r="D70" s="142">
        <f>C28</f>
        <v>1081</v>
      </c>
      <c r="E70" s="142">
        <f>D28</f>
        <v>32</v>
      </c>
      <c r="F70" s="142">
        <f>E28</f>
        <v>16</v>
      </c>
      <c r="G70" s="142">
        <f>F28</f>
        <v>0</v>
      </c>
      <c r="H70" s="142">
        <f>G28</f>
        <v>0</v>
      </c>
      <c r="J70"/>
      <c r="K70"/>
      <c r="L70" s="7"/>
    </row>
    <row r="71" spans="1:12">
      <c r="A71" s="7"/>
      <c r="B71" s="138">
        <v>2018</v>
      </c>
      <c r="C71" s="130"/>
      <c r="D71" s="130"/>
      <c r="E71" s="142">
        <f>C29</f>
        <v>1122</v>
      </c>
      <c r="F71" s="142">
        <f>D29</f>
        <v>59</v>
      </c>
      <c r="G71" s="142">
        <f>E29</f>
        <v>8</v>
      </c>
      <c r="H71" s="142">
        <f>F29</f>
        <v>0</v>
      </c>
      <c r="I71"/>
      <c r="J71"/>
      <c r="K71"/>
      <c r="L71" s="7"/>
    </row>
    <row r="72" spans="1:12">
      <c r="A72" s="7"/>
      <c r="B72" s="138">
        <v>2019</v>
      </c>
      <c r="C72" s="130"/>
      <c r="D72" s="130"/>
      <c r="E72" s="130"/>
      <c r="F72" s="130">
        <f>C30</f>
        <v>828</v>
      </c>
      <c r="G72" s="130">
        <f>D30</f>
        <v>41</v>
      </c>
      <c r="H72" s="130">
        <f>E30</f>
        <v>25</v>
      </c>
      <c r="I72"/>
      <c r="J72"/>
      <c r="K72"/>
      <c r="L72" s="7"/>
    </row>
    <row r="73" spans="1:12">
      <c r="A73" s="7"/>
      <c r="B73" s="138">
        <v>2020</v>
      </c>
      <c r="C73" s="130"/>
      <c r="D73" s="130"/>
      <c r="E73" s="130"/>
      <c r="F73" s="130"/>
      <c r="G73" s="130">
        <f>C31</f>
        <v>799</v>
      </c>
      <c r="H73" s="130">
        <f>D31</f>
        <v>34</v>
      </c>
      <c r="I73"/>
      <c r="J73"/>
      <c r="K73"/>
      <c r="L73" s="7"/>
    </row>
    <row r="74" spans="1:12">
      <c r="A74" s="7"/>
      <c r="B74" s="139">
        <v>2021</v>
      </c>
      <c r="C74" s="137"/>
      <c r="D74" s="137"/>
      <c r="E74" s="137"/>
      <c r="F74" s="137"/>
      <c r="G74" s="137"/>
      <c r="H74" s="137">
        <f>C32</f>
        <v>806</v>
      </c>
      <c r="I74"/>
      <c r="J74"/>
      <c r="K74"/>
      <c r="L74" s="7"/>
    </row>
    <row r="75" spans="1:12">
      <c r="A75" s="7"/>
      <c r="B75" s="7" t="s">
        <v>468</v>
      </c>
      <c r="C75" s="142">
        <f>SUM(C69:C74)</f>
        <v>1033</v>
      </c>
      <c r="D75" s="142">
        <f t="shared" ref="D75:H75" si="2">SUM(D69:D74)</f>
        <v>1109</v>
      </c>
      <c r="E75" s="142">
        <f t="shared" si="2"/>
        <v>1180</v>
      </c>
      <c r="F75" s="142">
        <f t="shared" si="2"/>
        <v>904</v>
      </c>
      <c r="G75" s="142">
        <f t="shared" si="2"/>
        <v>848</v>
      </c>
      <c r="H75" s="142">
        <f t="shared" si="2"/>
        <v>865</v>
      </c>
      <c r="I75"/>
      <c r="J75"/>
      <c r="K75"/>
      <c r="L75" s="7"/>
    </row>
    <row r="76" spans="1:12">
      <c r="A76" s="7"/>
      <c r="B76" s="7" t="s">
        <v>469</v>
      </c>
      <c r="C76" s="142">
        <f>C75</f>
        <v>1033</v>
      </c>
      <c r="D76" s="142">
        <f>D75+C76</f>
        <v>2142</v>
      </c>
      <c r="E76" s="142">
        <f t="shared" ref="E76:H76" si="3">E75+D76</f>
        <v>3322</v>
      </c>
      <c r="F76" s="142">
        <f t="shared" si="3"/>
        <v>4226</v>
      </c>
      <c r="G76" s="142">
        <f t="shared" si="3"/>
        <v>5074</v>
      </c>
      <c r="H76" s="142">
        <f t="shared" si="3"/>
        <v>5939</v>
      </c>
      <c r="I76"/>
      <c r="J76"/>
      <c r="K76"/>
      <c r="L76" s="7"/>
    </row>
    <row r="77" spans="1:12">
      <c r="A77" s="7"/>
      <c r="B77" s="7"/>
      <c r="I77"/>
      <c r="J77"/>
      <c r="K77"/>
      <c r="L77" s="7"/>
    </row>
    <row r="78" spans="1:12">
      <c r="A78" s="7"/>
      <c r="B78" s="7" t="s">
        <v>90</v>
      </c>
      <c r="I78"/>
      <c r="J78"/>
      <c r="K78"/>
      <c r="L78" s="7"/>
    </row>
    <row r="79" spans="1:12">
      <c r="A79" s="7"/>
      <c r="B79" s="137" t="s">
        <v>467</v>
      </c>
      <c r="C79" s="146">
        <f>DATE(B80,12,31)</f>
        <v>42735</v>
      </c>
      <c r="D79" s="146">
        <f>DATE(1+YEAR(C79),12,31)</f>
        <v>43100</v>
      </c>
      <c r="E79" s="146">
        <f t="shared" ref="E79:H79" si="4">DATE(1+YEAR(D79),12,31)</f>
        <v>43465</v>
      </c>
      <c r="F79" s="146">
        <f t="shared" si="4"/>
        <v>43830</v>
      </c>
      <c r="G79" s="146">
        <f t="shared" si="4"/>
        <v>44196</v>
      </c>
      <c r="H79" s="146">
        <f t="shared" si="4"/>
        <v>44561</v>
      </c>
      <c r="I79"/>
      <c r="J79"/>
      <c r="K79"/>
      <c r="L79" s="7"/>
    </row>
    <row r="80" spans="1:12">
      <c r="A80" s="7"/>
      <c r="B80" s="138">
        <v>2016</v>
      </c>
      <c r="C80" s="142">
        <f t="shared" ref="C80:H80" si="5">C36</f>
        <v>636</v>
      </c>
      <c r="D80" s="142">
        <f t="shared" si="5"/>
        <v>210</v>
      </c>
      <c r="E80" s="142">
        <f t="shared" si="5"/>
        <v>87</v>
      </c>
      <c r="F80" s="142">
        <f t="shared" si="5"/>
        <v>21</v>
      </c>
      <c r="G80" s="142">
        <f t="shared" si="5"/>
        <v>4</v>
      </c>
      <c r="H80" s="142">
        <f t="shared" si="5"/>
        <v>1</v>
      </c>
      <c r="I80"/>
      <c r="J80"/>
      <c r="K80"/>
      <c r="L80" s="7"/>
    </row>
    <row r="81" spans="1:12">
      <c r="A81" s="7"/>
      <c r="B81" s="138">
        <v>2017</v>
      </c>
      <c r="C81" s="130"/>
      <c r="D81" s="142">
        <f>C37</f>
        <v>650</v>
      </c>
      <c r="E81" s="142">
        <f>D37</f>
        <v>263</v>
      </c>
      <c r="F81" s="142">
        <f>E37</f>
        <v>64</v>
      </c>
      <c r="G81" s="142">
        <f>F37</f>
        <v>10</v>
      </c>
      <c r="H81" s="142">
        <f>G37</f>
        <v>0</v>
      </c>
      <c r="I81"/>
      <c r="J81"/>
      <c r="K81"/>
      <c r="L81" s="7"/>
    </row>
    <row r="82" spans="1:12">
      <c r="A82" s="7"/>
      <c r="B82" s="138">
        <v>2018</v>
      </c>
      <c r="C82" s="130"/>
      <c r="D82" s="130"/>
      <c r="E82" s="142">
        <f>C38</f>
        <v>694</v>
      </c>
      <c r="F82" s="142">
        <f>D38</f>
        <v>274</v>
      </c>
      <c r="G82" s="142">
        <f>E38</f>
        <v>71</v>
      </c>
      <c r="H82" s="142">
        <f>F38</f>
        <v>12</v>
      </c>
      <c r="I82"/>
      <c r="J82"/>
      <c r="K82"/>
      <c r="L82" s="7"/>
    </row>
    <row r="83" spans="1:12">
      <c r="A83" s="7"/>
      <c r="B83" s="138">
        <v>2019</v>
      </c>
      <c r="C83" s="130"/>
      <c r="D83" s="130"/>
      <c r="E83" s="130"/>
      <c r="F83" s="130">
        <f>C39</f>
        <v>521</v>
      </c>
      <c r="G83" s="130">
        <f>D39</f>
        <v>222</v>
      </c>
      <c r="H83" s="130">
        <f>E39</f>
        <v>69</v>
      </c>
      <c r="I83"/>
      <c r="J83"/>
      <c r="K83"/>
      <c r="L83" s="7"/>
    </row>
    <row r="84" spans="1:12">
      <c r="A84" s="7"/>
      <c r="B84" s="138">
        <v>2020</v>
      </c>
      <c r="C84" s="130"/>
      <c r="D84" s="130"/>
      <c r="E84" s="130"/>
      <c r="F84" s="130"/>
      <c r="G84" s="130">
        <f>C40</f>
        <v>511</v>
      </c>
      <c r="H84" s="130">
        <f>D40</f>
        <v>210</v>
      </c>
      <c r="I84"/>
      <c r="J84"/>
      <c r="K84"/>
      <c r="L84" s="7"/>
    </row>
    <row r="85" spans="1:12">
      <c r="A85" s="7"/>
      <c r="B85" s="139">
        <v>2021</v>
      </c>
      <c r="C85" s="137"/>
      <c r="D85" s="137"/>
      <c r="E85" s="137"/>
      <c r="F85" s="137"/>
      <c r="G85" s="137"/>
      <c r="H85" s="137">
        <f>C41</f>
        <v>530</v>
      </c>
      <c r="I85"/>
      <c r="J85"/>
      <c r="K85"/>
      <c r="L85" s="7"/>
    </row>
    <row r="86" spans="1:12">
      <c r="A86" s="7"/>
      <c r="B86" s="7" t="s">
        <v>468</v>
      </c>
      <c r="C86" s="142">
        <f>SUM(C80:C85)</f>
        <v>636</v>
      </c>
      <c r="D86" s="142">
        <f t="shared" ref="D86:H86" si="6">SUM(D80:D85)</f>
        <v>860</v>
      </c>
      <c r="E86" s="142">
        <f t="shared" si="6"/>
        <v>1044</v>
      </c>
      <c r="F86" s="142">
        <f t="shared" si="6"/>
        <v>880</v>
      </c>
      <c r="G86" s="142">
        <f t="shared" si="6"/>
        <v>818</v>
      </c>
      <c r="H86" s="142">
        <f t="shared" si="6"/>
        <v>822</v>
      </c>
      <c r="I86"/>
      <c r="J86"/>
      <c r="K86"/>
      <c r="L86" s="7"/>
    </row>
    <row r="87" spans="1:12">
      <c r="A87" s="7"/>
      <c r="B87" s="7" t="s">
        <v>469</v>
      </c>
      <c r="C87" s="142">
        <f>C86</f>
        <v>636</v>
      </c>
      <c r="D87" s="142">
        <f>D86+C87</f>
        <v>1496</v>
      </c>
      <c r="E87" s="142">
        <f t="shared" ref="E87:H87" si="7">E86+D87</f>
        <v>2540</v>
      </c>
      <c r="F87" s="142">
        <f t="shared" si="7"/>
        <v>3420</v>
      </c>
      <c r="G87" s="142">
        <f t="shared" si="7"/>
        <v>4238</v>
      </c>
      <c r="H87" s="142">
        <f t="shared" si="7"/>
        <v>5060</v>
      </c>
      <c r="I87"/>
      <c r="J87"/>
      <c r="K87"/>
      <c r="L87" s="7"/>
    </row>
    <row r="88" spans="1:12">
      <c r="A88" s="7"/>
      <c r="C88" s="142"/>
      <c r="D88" s="142"/>
      <c r="E88" s="156"/>
      <c r="F88" s="156"/>
      <c r="G88" s="156"/>
      <c r="H88" s="156"/>
      <c r="I88"/>
      <c r="J88"/>
      <c r="K88"/>
      <c r="L88" s="7"/>
    </row>
    <row r="89" spans="1:12">
      <c r="A89" s="7"/>
      <c r="B89" s="1" t="s">
        <v>470</v>
      </c>
      <c r="C89" s="130"/>
      <c r="D89" s="130"/>
      <c r="E89" s="142">
        <f>E76-E87</f>
        <v>782</v>
      </c>
      <c r="F89" s="142">
        <f>F76-F87</f>
        <v>806</v>
      </c>
      <c r="G89" s="142">
        <f>G76-G87</f>
        <v>836</v>
      </c>
      <c r="H89" s="142">
        <f>H76-H87</f>
        <v>879</v>
      </c>
      <c r="I89"/>
      <c r="J89"/>
      <c r="K89"/>
      <c r="L89" s="7"/>
    </row>
    <row r="90" spans="1:12">
      <c r="A90" s="7"/>
      <c r="B90"/>
      <c r="C90" s="162"/>
      <c r="D90" s="162"/>
      <c r="E90" s="162"/>
      <c r="F90" s="162"/>
      <c r="G90" s="162"/>
      <c r="H90" s="162"/>
      <c r="I90" s="162"/>
      <c r="J90" s="162"/>
      <c r="K90" s="162"/>
      <c r="L90" s="7"/>
    </row>
    <row r="91" spans="1:12">
      <c r="A91" s="7"/>
      <c r="D91" s="140" t="s">
        <v>81</v>
      </c>
      <c r="E91" s="140"/>
      <c r="F91" s="140"/>
      <c r="G91" s="140"/>
      <c r="H91" s="130" t="s">
        <v>447</v>
      </c>
      <c r="I91" s="130" t="s">
        <v>448</v>
      </c>
      <c r="J91" s="130" t="s">
        <v>449</v>
      </c>
      <c r="K91" s="130" t="s">
        <v>447</v>
      </c>
      <c r="L91" s="7"/>
    </row>
    <row r="92" spans="1:12">
      <c r="A92" s="7"/>
      <c r="B92" s="130" t="s">
        <v>450</v>
      </c>
      <c r="C92" s="130" t="s">
        <v>451</v>
      </c>
      <c r="D92" s="130" t="s">
        <v>452</v>
      </c>
      <c r="E92" s="130"/>
      <c r="F92" s="130"/>
      <c r="G92" s="130" t="s">
        <v>453</v>
      </c>
      <c r="H92" s="130" t="s">
        <v>454</v>
      </c>
      <c r="I92" s="130" t="s">
        <v>455</v>
      </c>
      <c r="J92" s="130" t="s">
        <v>456</v>
      </c>
      <c r="K92" s="130" t="s">
        <v>457</v>
      </c>
      <c r="L92" s="7"/>
    </row>
    <row r="93" spans="1:12">
      <c r="A93" s="7"/>
      <c r="B93" s="137" t="s">
        <v>194</v>
      </c>
      <c r="C93" s="137" t="s">
        <v>458</v>
      </c>
      <c r="D93" s="137" t="s">
        <v>459</v>
      </c>
      <c r="E93" s="137" t="s">
        <v>460</v>
      </c>
      <c r="F93" s="137" t="s">
        <v>461</v>
      </c>
      <c r="G93" s="137" t="s">
        <v>83</v>
      </c>
      <c r="H93" s="137" t="s">
        <v>462</v>
      </c>
      <c r="I93" s="137" t="s">
        <v>463</v>
      </c>
      <c r="J93" s="141">
        <v>0.02</v>
      </c>
      <c r="K93" s="137">
        <v>2022</v>
      </c>
      <c r="L93" s="7"/>
    </row>
    <row r="94" spans="1:12">
      <c r="A94" s="7"/>
      <c r="B94" s="130">
        <v>2018</v>
      </c>
      <c r="C94" s="142">
        <f>C44</f>
        <v>718960</v>
      </c>
      <c r="D94" s="142">
        <f>E75</f>
        <v>1180</v>
      </c>
      <c r="E94" s="142">
        <f>E89</f>
        <v>782</v>
      </c>
      <c r="F94" s="142">
        <f>E86</f>
        <v>1044</v>
      </c>
      <c r="G94" s="143">
        <f>SUMPRODUCT(D94:F94,$D$99:$F$99)</f>
        <v>933.90000000000009</v>
      </c>
      <c r="H94" s="143">
        <f>C94/G94</f>
        <v>769.84687868080084</v>
      </c>
      <c r="I94" s="130">
        <v>4</v>
      </c>
      <c r="J94" s="144">
        <f>(1+$J$93)^I94</f>
        <v>1.08243216</v>
      </c>
      <c r="K94" s="143">
        <f>H94*J94</f>
        <v>833.30701975971715</v>
      </c>
      <c r="L94" s="7"/>
    </row>
    <row r="95" spans="1:12">
      <c r="A95" s="7"/>
      <c r="B95" s="130">
        <v>2019</v>
      </c>
      <c r="C95" s="142">
        <f>C45</f>
        <v>738400</v>
      </c>
      <c r="D95" s="142">
        <f>F75</f>
        <v>904</v>
      </c>
      <c r="E95" s="142">
        <f>F89</f>
        <v>806</v>
      </c>
      <c r="F95" s="142">
        <f>F86</f>
        <v>880</v>
      </c>
      <c r="G95" s="143">
        <f>SUMPRODUCT(D95:F95,$D$99:$F$99)</f>
        <v>845.3</v>
      </c>
      <c r="H95" s="143">
        <f t="shared" ref="H95:H96" si="8">C95/G95</f>
        <v>873.53602271382942</v>
      </c>
      <c r="I95" s="130">
        <v>3</v>
      </c>
      <c r="J95" s="144">
        <f>(1+$J$93)^I95</f>
        <v>1.0612079999999999</v>
      </c>
      <c r="K95" s="143">
        <f t="shared" ref="K95:K96" si="9">H95*J95</f>
        <v>927.00341559209744</v>
      </c>
      <c r="L95" s="7"/>
    </row>
    <row r="96" spans="1:12">
      <c r="A96" s="7"/>
      <c r="B96" s="130">
        <v>2020</v>
      </c>
      <c r="C96" s="142">
        <f>C46</f>
        <v>746800</v>
      </c>
      <c r="D96" s="142">
        <f>G75</f>
        <v>848</v>
      </c>
      <c r="E96" s="142">
        <f>G89</f>
        <v>836</v>
      </c>
      <c r="F96" s="142">
        <f>G86</f>
        <v>818</v>
      </c>
      <c r="G96" s="143">
        <f>SUMPRODUCT(D96:F96,$D$99:$F$99)</f>
        <v>835.4</v>
      </c>
      <c r="H96" s="143">
        <f t="shared" si="8"/>
        <v>893.94302130715823</v>
      </c>
      <c r="I96" s="130">
        <v>2</v>
      </c>
      <c r="J96" s="144">
        <f>(1+$J$93)^I96</f>
        <v>1.0404</v>
      </c>
      <c r="K96" s="143">
        <f t="shared" si="9"/>
        <v>930.05831936796744</v>
      </c>
      <c r="L96" s="7"/>
    </row>
    <row r="97" spans="1:14">
      <c r="B97" s="130">
        <v>2021</v>
      </c>
      <c r="C97" s="142">
        <f>C47</f>
        <v>787600</v>
      </c>
      <c r="D97" s="142">
        <f>H75</f>
        <v>865</v>
      </c>
      <c r="E97" s="142">
        <f>H89</f>
        <v>879</v>
      </c>
      <c r="F97" s="142">
        <f>H86</f>
        <v>822</v>
      </c>
      <c r="G97" s="143">
        <f>SUMPRODUCT(D97:F97,$D$99:$F$99)</f>
        <v>864.1</v>
      </c>
      <c r="H97" s="143">
        <f>C97/G97</f>
        <v>911.46858002546003</v>
      </c>
      <c r="I97" s="130">
        <v>1</v>
      </c>
      <c r="J97" s="144">
        <f>(1+$J$93)^I97</f>
        <v>1.02</v>
      </c>
      <c r="K97" s="143">
        <f>H97*J97</f>
        <v>929.69795162596927</v>
      </c>
    </row>
    <row r="99" spans="1:14">
      <c r="B99" s="1" t="s">
        <v>464</v>
      </c>
      <c r="D99" s="155">
        <f>E7</f>
        <v>0.25</v>
      </c>
      <c r="E99" s="155">
        <f>E8</f>
        <v>0.55000000000000004</v>
      </c>
      <c r="F99" s="155">
        <f>E9</f>
        <v>0.2</v>
      </c>
      <c r="M99" s="7"/>
      <c r="N99" s="7"/>
    </row>
    <row r="100" spans="1:14">
      <c r="B100" s="1" t="s">
        <v>484</v>
      </c>
      <c r="D100" s="7"/>
      <c r="E100" s="7"/>
      <c r="F100" s="7"/>
      <c r="K100" s="145">
        <f>AVERAGE(K95:K97)</f>
        <v>928.91989552867801</v>
      </c>
      <c r="M100" s="7"/>
      <c r="N100" s="7"/>
    </row>
    <row r="101" spans="1:14">
      <c r="B101" s="1" t="s">
        <v>485</v>
      </c>
    </row>
    <row r="103" spans="1:14">
      <c r="A103" s="3"/>
      <c r="B103" s="3"/>
      <c r="C103" s="3"/>
      <c r="D103" s="3"/>
      <c r="E103" s="3"/>
      <c r="F103" s="3"/>
      <c r="G103" s="4"/>
      <c r="H103" s="4"/>
      <c r="I103" s="4"/>
      <c r="J103" s="4"/>
      <c r="K103" s="4"/>
      <c r="L103" s="4"/>
    </row>
    <row r="104" spans="1:14">
      <c r="A104" s="14" t="s">
        <v>366</v>
      </c>
      <c r="B104" s="16"/>
      <c r="C104" s="16"/>
      <c r="D104" s="9"/>
      <c r="E104" s="9"/>
      <c r="F104" s="9"/>
      <c r="G104" s="9"/>
      <c r="H104" s="9"/>
      <c r="I104" s="4"/>
      <c r="J104" s="4"/>
      <c r="K104" s="4"/>
      <c r="L104" s="4"/>
    </row>
    <row r="105" spans="1:14">
      <c r="A105" s="14"/>
      <c r="B105" s="16"/>
      <c r="C105" s="16"/>
      <c r="D105" s="9"/>
      <c r="E105" s="9"/>
      <c r="F105" s="9"/>
      <c r="G105" s="9"/>
      <c r="H105" s="9"/>
      <c r="I105" s="4"/>
      <c r="J105" s="4"/>
      <c r="K105" s="4"/>
      <c r="L105" s="4"/>
    </row>
    <row r="106" spans="1:14" ht="47.25">
      <c r="A106" s="9"/>
      <c r="B106" s="30" t="s">
        <v>65</v>
      </c>
      <c r="C106" s="30" t="s">
        <v>156</v>
      </c>
      <c r="D106" s="30" t="s">
        <v>90</v>
      </c>
      <c r="E106" s="9"/>
      <c r="F106" s="9"/>
      <c r="G106" s="9"/>
      <c r="H106" s="9"/>
      <c r="I106" s="4"/>
      <c r="J106" s="4"/>
      <c r="K106" s="4"/>
      <c r="L106" s="4"/>
    </row>
    <row r="107" spans="1:14">
      <c r="A107" s="9"/>
      <c r="B107" s="26">
        <v>2022</v>
      </c>
      <c r="C107" s="26">
        <v>208</v>
      </c>
      <c r="D107" s="26">
        <v>528</v>
      </c>
      <c r="E107" s="9"/>
      <c r="F107" s="9"/>
      <c r="G107" s="9"/>
      <c r="H107" s="9"/>
      <c r="I107" s="4"/>
      <c r="J107" s="4"/>
      <c r="K107" s="4"/>
      <c r="L107" s="4"/>
    </row>
    <row r="108" spans="1:14">
      <c r="A108" s="9"/>
      <c r="B108" s="26">
        <v>2023</v>
      </c>
      <c r="C108" s="26">
        <v>69</v>
      </c>
      <c r="D108" s="26">
        <v>350</v>
      </c>
      <c r="E108" s="9"/>
      <c r="F108" s="9"/>
      <c r="G108" s="9"/>
      <c r="H108" s="9"/>
      <c r="I108" s="4"/>
      <c r="J108" s="4"/>
      <c r="K108" s="4"/>
      <c r="L108" s="4"/>
    </row>
    <row r="109" spans="1:14">
      <c r="A109" s="9"/>
      <c r="B109" s="26">
        <v>2024</v>
      </c>
      <c r="C109" s="26">
        <v>5</v>
      </c>
      <c r="D109" s="26">
        <v>150</v>
      </c>
      <c r="E109" s="9"/>
      <c r="F109" s="9"/>
      <c r="G109" s="9"/>
      <c r="H109" s="9"/>
      <c r="I109" s="4"/>
      <c r="J109" s="4"/>
      <c r="K109" s="4"/>
      <c r="L109" s="4"/>
    </row>
    <row r="110" spans="1:14">
      <c r="A110" s="9"/>
      <c r="B110" s="26">
        <v>2025</v>
      </c>
      <c r="C110" s="26">
        <v>0</v>
      </c>
      <c r="D110" s="26">
        <v>108</v>
      </c>
      <c r="E110" s="9"/>
      <c r="F110" s="9"/>
      <c r="G110" s="9"/>
      <c r="H110" s="9"/>
      <c r="I110" s="4"/>
      <c r="J110" s="4"/>
      <c r="K110" s="4"/>
      <c r="L110" s="4"/>
    </row>
    <row r="111" spans="1:14">
      <c r="A111" s="9"/>
      <c r="B111" s="26">
        <v>2026</v>
      </c>
      <c r="C111" s="26">
        <v>0</v>
      </c>
      <c r="D111" s="26">
        <v>25</v>
      </c>
      <c r="E111" s="9"/>
      <c r="F111" s="9"/>
      <c r="G111" s="9"/>
      <c r="H111" s="9"/>
      <c r="I111" s="4"/>
      <c r="J111" s="4"/>
      <c r="K111" s="4"/>
      <c r="L111" s="4"/>
    </row>
    <row r="112" spans="1:14">
      <c r="A112" s="3"/>
      <c r="B112" s="3"/>
      <c r="C112" s="3"/>
      <c r="D112" s="3"/>
      <c r="E112" s="3"/>
      <c r="F112" s="3"/>
      <c r="G112" s="4"/>
      <c r="H112" s="4"/>
      <c r="I112" s="4"/>
      <c r="J112" s="4"/>
      <c r="K112" s="4"/>
      <c r="L112" s="4"/>
    </row>
    <row r="114" spans="1:13">
      <c r="A114" s="6" t="s">
        <v>0</v>
      </c>
      <c r="B114" s="9" t="s">
        <v>164</v>
      </c>
      <c r="C114" s="4"/>
      <c r="D114" s="4"/>
      <c r="E114" s="4"/>
      <c r="F114" s="4"/>
      <c r="G114" s="4"/>
      <c r="H114" s="4"/>
      <c r="I114" s="4"/>
      <c r="J114" s="4"/>
      <c r="K114" s="4"/>
      <c r="L114" s="4"/>
    </row>
    <row r="115" spans="1:13">
      <c r="A115" s="3"/>
      <c r="B115" s="3"/>
      <c r="C115" s="3"/>
      <c r="D115" s="3"/>
      <c r="E115" s="3"/>
      <c r="F115" s="3"/>
      <c r="G115" s="4"/>
      <c r="H115" s="4"/>
      <c r="I115" s="4"/>
      <c r="J115" s="4"/>
      <c r="K115" s="4"/>
      <c r="L115" s="4"/>
    </row>
    <row r="116" spans="1:13">
      <c r="A116" s="7"/>
      <c r="B116" s="7"/>
      <c r="C116" s="7"/>
      <c r="D116" s="7"/>
      <c r="E116" s="7"/>
      <c r="F116" s="7"/>
      <c r="G116" s="7"/>
      <c r="H116" s="7"/>
      <c r="I116" s="7"/>
      <c r="J116" s="7"/>
      <c r="K116" s="7"/>
      <c r="L116" s="7"/>
    </row>
    <row r="117" spans="1:13">
      <c r="A117" s="7" t="s">
        <v>1</v>
      </c>
      <c r="B117" s="7"/>
      <c r="C117" s="7"/>
      <c r="D117" s="7"/>
      <c r="E117" s="7"/>
      <c r="F117" s="7"/>
      <c r="G117" s="7"/>
      <c r="H117" s="7"/>
      <c r="I117" s="7"/>
      <c r="J117" s="7"/>
      <c r="K117" s="7"/>
      <c r="L117" s="7"/>
    </row>
    <row r="118" spans="1:13">
      <c r="A118" s="7"/>
      <c r="B118" s="7"/>
      <c r="C118" s="149" t="s">
        <v>81</v>
      </c>
      <c r="D118" s="149"/>
      <c r="E118" s="149"/>
      <c r="F118" s="149"/>
      <c r="G118" s="110" t="s">
        <v>448</v>
      </c>
      <c r="H118" s="110" t="s">
        <v>474</v>
      </c>
      <c r="I118" s="110" t="s">
        <v>475</v>
      </c>
      <c r="J118" s="110" t="s">
        <v>476</v>
      </c>
      <c r="K118" s="7"/>
      <c r="L118" s="7"/>
    </row>
    <row r="119" spans="1:13">
      <c r="B119" s="110" t="s">
        <v>450</v>
      </c>
      <c r="C119" s="110" t="s">
        <v>452</v>
      </c>
      <c r="D119" s="110"/>
      <c r="E119" s="110"/>
      <c r="F119" s="110" t="s">
        <v>453</v>
      </c>
      <c r="G119" s="110" t="s">
        <v>455</v>
      </c>
      <c r="H119" s="110" t="str">
        <f>B121&amp;" at"</f>
        <v>2022 at</v>
      </c>
      <c r="I119" s="110" t="s">
        <v>477</v>
      </c>
      <c r="J119" s="110" t="s">
        <v>478</v>
      </c>
    </row>
    <row r="120" spans="1:13">
      <c r="B120" s="116" t="s">
        <v>194</v>
      </c>
      <c r="C120" s="116" t="s">
        <v>459</v>
      </c>
      <c r="D120" s="116" t="s">
        <v>460</v>
      </c>
      <c r="E120" s="116" t="s">
        <v>461</v>
      </c>
      <c r="F120" s="116" t="s">
        <v>83</v>
      </c>
      <c r="G120" s="116" t="s">
        <v>463</v>
      </c>
      <c r="H120" s="141">
        <v>0.02</v>
      </c>
      <c r="I120" s="116" t="s">
        <v>458</v>
      </c>
      <c r="J120" s="116" t="s">
        <v>458</v>
      </c>
    </row>
    <row r="121" spans="1:13">
      <c r="B121" s="110">
        <v>2022</v>
      </c>
      <c r="C121" s="150">
        <f>C107</f>
        <v>208</v>
      </c>
      <c r="D121" s="150">
        <f>E97+C121-E121</f>
        <v>559</v>
      </c>
      <c r="E121" s="150">
        <f>D107</f>
        <v>528</v>
      </c>
      <c r="F121" s="145">
        <f>SUMPRODUCT(C121:E121,$D$99:$F$99)</f>
        <v>465.05000000000007</v>
      </c>
      <c r="G121" s="110">
        <v>0</v>
      </c>
      <c r="H121" s="151">
        <f>(1+$H$120)^G121</f>
        <v>1</v>
      </c>
      <c r="I121" s="145">
        <f>$K$100*H121</f>
        <v>928.91989552867801</v>
      </c>
      <c r="J121" s="150">
        <f>F121*I121</f>
        <v>431994.19741561176</v>
      </c>
      <c r="M121" s="7"/>
    </row>
    <row r="122" spans="1:13">
      <c r="B122" s="110">
        <v>2023</v>
      </c>
      <c r="C122" s="150">
        <f t="shared" ref="C122:C125" si="10">C108</f>
        <v>69</v>
      </c>
      <c r="D122" s="150">
        <f t="shared" ref="D122:D124" si="11">D121+C122-E122</f>
        <v>278</v>
      </c>
      <c r="E122" s="150">
        <f t="shared" ref="E122:E125" si="12">D108</f>
        <v>350</v>
      </c>
      <c r="F122" s="145">
        <f>SUMPRODUCT(C122:E122,$D$99:$F$99)</f>
        <v>240.15</v>
      </c>
      <c r="G122" s="110">
        <v>1</v>
      </c>
      <c r="H122" s="151">
        <f t="shared" ref="H122:H125" si="13">(1+$H$120)^G122</f>
        <v>1.02</v>
      </c>
      <c r="I122" s="145">
        <f t="shared" ref="I122:I125" si="14">$K$100*H122</f>
        <v>947.4982934392516</v>
      </c>
      <c r="J122" s="150">
        <f t="shared" ref="J122:J125" si="15">F122*I122</f>
        <v>227541.71516943627</v>
      </c>
      <c r="M122" s="7"/>
    </row>
    <row r="123" spans="1:13">
      <c r="B123" s="110">
        <v>2024</v>
      </c>
      <c r="C123" s="150">
        <f t="shared" si="10"/>
        <v>5</v>
      </c>
      <c r="D123" s="150">
        <f>D122+C123-E123</f>
        <v>133</v>
      </c>
      <c r="E123" s="150">
        <f t="shared" si="12"/>
        <v>150</v>
      </c>
      <c r="F123" s="145">
        <f>SUMPRODUCT(C123:E123,$D$99:$F$99)</f>
        <v>104.4</v>
      </c>
      <c r="G123" s="110">
        <v>2</v>
      </c>
      <c r="H123" s="151">
        <f t="shared" si="13"/>
        <v>1.0404</v>
      </c>
      <c r="I123" s="145">
        <f t="shared" si="14"/>
        <v>966.44825930803654</v>
      </c>
      <c r="J123" s="150">
        <f t="shared" si="15"/>
        <v>100897.19827175901</v>
      </c>
    </row>
    <row r="124" spans="1:13">
      <c r="B124" s="110">
        <v>2025</v>
      </c>
      <c r="C124" s="150">
        <f t="shared" si="10"/>
        <v>0</v>
      </c>
      <c r="D124" s="150">
        <f t="shared" si="11"/>
        <v>25</v>
      </c>
      <c r="E124" s="150">
        <f t="shared" si="12"/>
        <v>108</v>
      </c>
      <c r="F124" s="145">
        <f>SUMPRODUCT(C124:E124,$D$99:$F$99)</f>
        <v>35.35</v>
      </c>
      <c r="G124" s="110">
        <v>3</v>
      </c>
      <c r="H124" s="151">
        <f t="shared" si="13"/>
        <v>1.0612079999999999</v>
      </c>
      <c r="I124" s="145">
        <f t="shared" si="14"/>
        <v>985.7772244941973</v>
      </c>
      <c r="J124" s="150">
        <f t="shared" si="15"/>
        <v>34847.224885869873</v>
      </c>
    </row>
    <row r="125" spans="1:13">
      <c r="B125" s="116">
        <v>2026</v>
      </c>
      <c r="C125" s="152">
        <f t="shared" si="10"/>
        <v>0</v>
      </c>
      <c r="D125" s="152">
        <f>D124+C125-E125</f>
        <v>0</v>
      </c>
      <c r="E125" s="152">
        <f t="shared" si="12"/>
        <v>25</v>
      </c>
      <c r="F125" s="153">
        <f>SUMPRODUCT(C125:E125,$D$99:$F$99)</f>
        <v>5</v>
      </c>
      <c r="G125" s="116">
        <v>4</v>
      </c>
      <c r="H125" s="154">
        <f t="shared" si="13"/>
        <v>1.08243216</v>
      </c>
      <c r="I125" s="153">
        <f t="shared" si="14"/>
        <v>1005.4927689840813</v>
      </c>
      <c r="J125" s="152">
        <f t="shared" si="15"/>
        <v>5027.4638449204067</v>
      </c>
    </row>
    <row r="126" spans="1:13">
      <c r="B126" s="110" t="s">
        <v>83</v>
      </c>
      <c r="C126" s="7"/>
      <c r="D126" s="7"/>
      <c r="E126" s="7"/>
      <c r="F126" s="7"/>
      <c r="G126" s="7"/>
      <c r="H126" s="7"/>
      <c r="I126" s="7"/>
      <c r="J126" s="150">
        <f>SUM(J121:J125)</f>
        <v>800307.79958759726</v>
      </c>
    </row>
  </sheetData>
  <mergeCells count="5">
    <mergeCell ref="B25:B26"/>
    <mergeCell ref="C25:H25"/>
    <mergeCell ref="B34:B35"/>
    <mergeCell ref="C34:H34"/>
    <mergeCell ref="A4:K5"/>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818D5-4AA1-40D1-94FB-0757B6BFB652}">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165</v>
      </c>
      <c r="B1" s="4"/>
      <c r="C1" s="9" t="s">
        <v>11</v>
      </c>
      <c r="D1" s="4"/>
      <c r="E1" s="4"/>
      <c r="F1" s="4"/>
      <c r="G1" s="4"/>
      <c r="H1" s="4"/>
      <c r="I1" s="4"/>
      <c r="J1" s="4"/>
      <c r="K1" s="4"/>
      <c r="L1" s="3"/>
    </row>
    <row r="2" spans="1:12">
      <c r="A2" s="4"/>
      <c r="B2" s="4"/>
      <c r="C2" s="4"/>
      <c r="D2" s="4"/>
      <c r="E2" s="4"/>
      <c r="F2" s="4"/>
      <c r="G2" s="4"/>
      <c r="H2" s="4"/>
      <c r="I2" s="4"/>
      <c r="J2" s="4"/>
      <c r="K2" s="4"/>
      <c r="L2" s="3"/>
    </row>
    <row r="3" spans="1:12">
      <c r="A3" s="11" t="s">
        <v>166</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A632-856E-49BC-8063-84524FF4FDB8}">
  <dimension ref="A1:R127"/>
  <sheetViews>
    <sheetView zoomScaleNormal="100" workbookViewId="0"/>
  </sheetViews>
  <sheetFormatPr defaultColWidth="8.85546875" defaultRowHeight="15.75"/>
  <cols>
    <col min="1" max="1" width="8.85546875" style="1" customWidth="1"/>
    <col min="2" max="2" width="14.7109375" style="1" customWidth="1"/>
    <col min="3" max="3" width="18.28515625" style="1" customWidth="1"/>
    <col min="4" max="8" width="17.7109375" style="1" customWidth="1"/>
    <col min="9" max="16384" width="8.85546875" style="1"/>
  </cols>
  <sheetData>
    <row r="1" spans="1:18" ht="18.75">
      <c r="A1" s="2" t="s">
        <v>167</v>
      </c>
      <c r="B1" s="4"/>
      <c r="C1" s="9" t="s">
        <v>114</v>
      </c>
      <c r="D1" s="4"/>
      <c r="E1" s="4"/>
      <c r="F1" s="4"/>
      <c r="G1" s="4"/>
      <c r="H1" s="4"/>
      <c r="I1" s="4"/>
      <c r="J1" s="4"/>
      <c r="K1" s="4"/>
      <c r="L1" s="3"/>
    </row>
    <row r="2" spans="1:18">
      <c r="A2" s="4"/>
      <c r="B2" s="4"/>
      <c r="C2" s="4"/>
      <c r="D2" s="4"/>
      <c r="E2" s="4"/>
      <c r="F2" s="4"/>
      <c r="G2" s="4"/>
      <c r="H2" s="4"/>
      <c r="I2" s="4"/>
      <c r="J2" s="4"/>
      <c r="K2" s="4"/>
      <c r="L2" s="3"/>
    </row>
    <row r="3" spans="1:18" ht="15.6" customHeight="1">
      <c r="A3" s="9" t="s">
        <v>168</v>
      </c>
      <c r="B3" s="9"/>
      <c r="C3" s="9"/>
      <c r="D3" s="9"/>
      <c r="E3" s="9"/>
      <c r="F3" s="9"/>
      <c r="G3" s="9"/>
      <c r="H3" s="9"/>
      <c r="I3" s="9"/>
      <c r="J3" s="9"/>
      <c r="K3" s="9"/>
      <c r="L3" s="3"/>
    </row>
    <row r="4" spans="1:18">
      <c r="A4" s="9"/>
      <c r="B4" s="9"/>
      <c r="C4" s="9"/>
      <c r="D4" s="9"/>
      <c r="E4" s="9"/>
      <c r="F4" s="9"/>
      <c r="G4" s="9"/>
      <c r="H4" s="9"/>
      <c r="I4" s="9"/>
      <c r="J4" s="9"/>
      <c r="K4" s="9"/>
      <c r="L4" s="9"/>
    </row>
    <row r="5" spans="1:18">
      <c r="A5" s="7"/>
      <c r="B5" s="7"/>
      <c r="C5" s="7"/>
      <c r="D5" s="7"/>
      <c r="E5" s="7"/>
      <c r="F5" s="7"/>
      <c r="G5" s="7"/>
      <c r="H5" s="7"/>
      <c r="I5" s="7"/>
      <c r="J5" s="7"/>
      <c r="K5" s="7"/>
      <c r="L5" s="7"/>
    </row>
    <row r="6" spans="1:18">
      <c r="A6" s="6" t="s">
        <v>4</v>
      </c>
      <c r="B6" s="9" t="s">
        <v>351</v>
      </c>
      <c r="C6" s="4"/>
      <c r="D6" s="4"/>
      <c r="E6" s="4"/>
      <c r="F6" s="4"/>
      <c r="G6" s="4"/>
      <c r="H6" s="4"/>
      <c r="I6" s="4"/>
      <c r="J6" s="4"/>
      <c r="K6" s="4"/>
      <c r="L6" s="4"/>
      <c r="M6" s="8"/>
      <c r="N6" s="8"/>
      <c r="O6" s="8"/>
      <c r="P6" s="8"/>
      <c r="Q6" s="8"/>
      <c r="R6" s="8"/>
    </row>
    <row r="7" spans="1:18">
      <c r="A7" s="3"/>
      <c r="B7" s="3"/>
      <c r="C7" s="3"/>
      <c r="D7" s="3"/>
      <c r="E7" s="3"/>
      <c r="F7" s="3"/>
      <c r="G7" s="4"/>
      <c r="H7" s="4"/>
      <c r="I7" s="4"/>
      <c r="J7" s="4"/>
      <c r="K7" s="4"/>
      <c r="L7" s="4"/>
    </row>
    <row r="8" spans="1:18">
      <c r="A8" s="7"/>
      <c r="B8" s="7"/>
      <c r="C8" s="7"/>
      <c r="D8" s="7"/>
      <c r="E8" s="7"/>
      <c r="F8" s="7"/>
      <c r="G8" s="7"/>
      <c r="H8" s="7"/>
      <c r="I8" s="7"/>
      <c r="J8" s="7"/>
      <c r="K8" s="7"/>
      <c r="L8" s="7"/>
      <c r="M8" s="7"/>
    </row>
    <row r="9" spans="1:18">
      <c r="A9" s="7" t="s">
        <v>1</v>
      </c>
      <c r="B9" s="7"/>
      <c r="C9" s="7"/>
      <c r="D9" s="7"/>
      <c r="E9" s="7"/>
      <c r="F9" s="7"/>
      <c r="G9" s="7"/>
      <c r="H9" s="7"/>
      <c r="I9" s="7"/>
      <c r="J9" s="7"/>
      <c r="K9" s="7"/>
      <c r="L9" s="7"/>
      <c r="M9" s="7"/>
      <c r="N9" s="8"/>
    </row>
    <row r="10" spans="1:18">
      <c r="A10" s="7"/>
      <c r="B10" s="1" t="s">
        <v>662</v>
      </c>
      <c r="C10" s="7"/>
      <c r="D10" s="7"/>
      <c r="E10" s="7"/>
      <c r="F10" s="7"/>
      <c r="G10" s="7"/>
      <c r="H10" s="7"/>
      <c r="I10" s="7"/>
      <c r="J10" s="7"/>
      <c r="K10" s="7"/>
      <c r="L10" s="7"/>
      <c r="M10" s="7"/>
      <c r="N10" s="8"/>
    </row>
    <row r="11" spans="1:18">
      <c r="A11" s="7"/>
      <c r="B11" s="242" t="s">
        <v>663</v>
      </c>
      <c r="C11" s="7"/>
      <c r="D11" s="7"/>
      <c r="E11" s="7"/>
      <c r="F11" s="7"/>
      <c r="G11" s="7"/>
      <c r="H11" s="7"/>
      <c r="I11" s="7"/>
      <c r="J11" s="7"/>
      <c r="K11" s="7"/>
      <c r="L11" s="7"/>
      <c r="M11" s="7"/>
      <c r="N11" s="8"/>
    </row>
    <row r="12" spans="1:18">
      <c r="B12" s="242" t="s">
        <v>664</v>
      </c>
      <c r="M12" s="8"/>
      <c r="N12" s="8"/>
    </row>
    <row r="13" spans="1:18">
      <c r="B13" s="242" t="s">
        <v>665</v>
      </c>
      <c r="M13" s="8"/>
      <c r="N13" s="8"/>
    </row>
    <row r="14" spans="1:18">
      <c r="M14" s="8"/>
      <c r="N14" s="8"/>
    </row>
    <row r="15" spans="1:18">
      <c r="A15" s="3"/>
      <c r="B15" s="3"/>
      <c r="C15" s="3"/>
      <c r="D15" s="3"/>
      <c r="E15" s="3"/>
      <c r="F15" s="3"/>
      <c r="G15" s="4"/>
      <c r="H15" s="4"/>
      <c r="I15" s="4"/>
      <c r="J15" s="4"/>
      <c r="K15" s="4"/>
      <c r="L15" s="4"/>
      <c r="M15" s="8"/>
      <c r="N15" s="8"/>
    </row>
    <row r="16" spans="1:18" ht="15.6" customHeight="1">
      <c r="A16" s="9" t="s">
        <v>169</v>
      </c>
      <c r="B16" s="9"/>
      <c r="C16" s="9"/>
      <c r="D16" s="9"/>
      <c r="E16" s="9"/>
      <c r="F16" s="9"/>
      <c r="G16" s="9"/>
      <c r="H16" s="9"/>
      <c r="I16" s="9"/>
      <c r="J16" s="9"/>
      <c r="K16" s="9"/>
      <c r="L16" s="4"/>
      <c r="M16" s="8"/>
      <c r="N16" s="8"/>
    </row>
    <row r="17" spans="1:14">
      <c r="A17" s="14"/>
      <c r="B17" s="16"/>
      <c r="C17" s="9"/>
      <c r="D17" s="9"/>
      <c r="E17" s="9"/>
      <c r="F17" s="9"/>
      <c r="G17" s="9"/>
      <c r="H17" s="9"/>
      <c r="I17" s="4"/>
      <c r="J17" s="4"/>
      <c r="K17" s="4"/>
      <c r="L17" s="4"/>
      <c r="M17" s="8"/>
      <c r="N17" s="8"/>
    </row>
    <row r="18" spans="1:14" ht="31.5">
      <c r="A18" s="9"/>
      <c r="B18" s="30" t="s">
        <v>79</v>
      </c>
      <c r="C18" s="19" t="s">
        <v>170</v>
      </c>
      <c r="D18" s="9"/>
      <c r="E18" s="9"/>
      <c r="F18" s="9"/>
      <c r="G18" s="9"/>
      <c r="H18" s="9"/>
      <c r="I18" s="4"/>
      <c r="J18" s="4"/>
      <c r="K18" s="4"/>
      <c r="L18" s="4"/>
      <c r="M18" s="8"/>
      <c r="N18" s="8"/>
    </row>
    <row r="19" spans="1:14">
      <c r="A19" s="9"/>
      <c r="B19" s="34">
        <v>2010</v>
      </c>
      <c r="C19" s="35">
        <v>5280</v>
      </c>
      <c r="D19" s="9"/>
      <c r="E19" s="9"/>
      <c r="F19" s="9"/>
      <c r="G19" s="9"/>
      <c r="H19" s="9"/>
      <c r="I19" s="4"/>
      <c r="J19" s="4"/>
      <c r="K19" s="4"/>
      <c r="L19" s="4"/>
      <c r="M19" s="8"/>
      <c r="N19" s="8"/>
    </row>
    <row r="20" spans="1:14">
      <c r="A20" s="9"/>
      <c r="B20" s="34">
        <v>2011</v>
      </c>
      <c r="C20" s="35">
        <v>5770</v>
      </c>
      <c r="D20" s="9"/>
      <c r="E20" s="9"/>
      <c r="F20" s="9"/>
      <c r="G20" s="9"/>
      <c r="H20" s="9"/>
      <c r="I20" s="4"/>
      <c r="J20" s="4"/>
      <c r="K20" s="4"/>
      <c r="L20" s="4"/>
      <c r="M20" s="8"/>
      <c r="N20" s="8"/>
    </row>
    <row r="21" spans="1:14">
      <c r="A21" s="9"/>
      <c r="B21" s="34">
        <v>2012</v>
      </c>
      <c r="C21" s="35">
        <v>6330</v>
      </c>
      <c r="D21" s="9"/>
      <c r="E21" s="9"/>
      <c r="F21" s="9"/>
      <c r="G21" s="9"/>
      <c r="H21" s="9"/>
      <c r="I21" s="4"/>
      <c r="J21" s="4"/>
      <c r="K21" s="4"/>
      <c r="L21" s="4"/>
      <c r="M21" s="8"/>
      <c r="N21" s="8"/>
    </row>
    <row r="22" spans="1:14">
      <c r="A22" s="9"/>
      <c r="B22" s="34">
        <v>2013</v>
      </c>
      <c r="C22" s="35">
        <v>6200</v>
      </c>
      <c r="D22" s="9"/>
      <c r="E22" s="9"/>
      <c r="F22" s="9"/>
      <c r="G22" s="9"/>
      <c r="H22" s="9"/>
      <c r="I22" s="4"/>
      <c r="J22" s="4"/>
      <c r="K22" s="4"/>
      <c r="L22" s="4"/>
      <c r="M22" s="8"/>
      <c r="N22" s="8"/>
    </row>
    <row r="23" spans="1:14">
      <c r="A23" s="9"/>
      <c r="B23" s="34">
        <v>2014</v>
      </c>
      <c r="C23" s="35">
        <v>6920</v>
      </c>
      <c r="D23" s="9"/>
      <c r="E23" s="9"/>
      <c r="F23" s="9"/>
      <c r="G23" s="9"/>
      <c r="H23" s="9"/>
      <c r="I23" s="4"/>
      <c r="J23" s="4"/>
      <c r="K23" s="4"/>
      <c r="L23" s="4"/>
      <c r="M23" s="8"/>
      <c r="N23" s="8"/>
    </row>
    <row r="24" spans="1:14">
      <c r="A24" s="9"/>
      <c r="B24" s="34">
        <v>2015</v>
      </c>
      <c r="C24" s="35">
        <v>7140</v>
      </c>
      <c r="D24" s="9"/>
      <c r="E24" s="9"/>
      <c r="F24" s="9"/>
      <c r="G24" s="9"/>
      <c r="H24" s="9"/>
      <c r="I24" s="4"/>
      <c r="J24" s="4"/>
      <c r="K24" s="4"/>
      <c r="L24" s="4"/>
      <c r="M24" s="8"/>
      <c r="N24" s="8"/>
    </row>
    <row r="25" spans="1:14">
      <c r="A25" s="9"/>
      <c r="B25" s="34">
        <v>2016</v>
      </c>
      <c r="C25" s="35">
        <v>7560</v>
      </c>
      <c r="D25" s="9"/>
      <c r="E25" s="9"/>
      <c r="F25" s="9"/>
      <c r="G25" s="9"/>
      <c r="H25" s="9"/>
      <c r="I25" s="4"/>
      <c r="J25" s="4"/>
      <c r="K25" s="4"/>
      <c r="L25" s="4"/>
      <c r="M25" s="8"/>
      <c r="N25" s="8"/>
    </row>
    <row r="26" spans="1:14">
      <c r="A26" s="9"/>
      <c r="B26" s="34">
        <v>2017</v>
      </c>
      <c r="C26" s="35">
        <v>8300</v>
      </c>
      <c r="D26" s="9"/>
      <c r="E26" s="9"/>
      <c r="F26" s="9"/>
      <c r="G26" s="9"/>
      <c r="H26" s="9"/>
      <c r="I26" s="4"/>
      <c r="J26" s="4"/>
      <c r="K26" s="4"/>
      <c r="L26" s="4"/>
      <c r="M26" s="8"/>
      <c r="N26" s="8"/>
    </row>
    <row r="27" spans="1:14">
      <c r="A27" s="9"/>
      <c r="B27" s="34">
        <v>2018</v>
      </c>
      <c r="C27" s="35">
        <v>8460</v>
      </c>
      <c r="D27" s="9"/>
      <c r="E27" s="9"/>
      <c r="F27" s="9"/>
      <c r="G27" s="9"/>
      <c r="H27" s="9"/>
      <c r="I27" s="4"/>
      <c r="J27" s="4"/>
      <c r="K27" s="4"/>
      <c r="L27" s="4"/>
      <c r="M27" s="8"/>
      <c r="N27" s="8"/>
    </row>
    <row r="28" spans="1:14">
      <c r="A28" s="9"/>
      <c r="B28" s="34">
        <v>2019</v>
      </c>
      <c r="C28" s="35">
        <v>8850</v>
      </c>
      <c r="D28" s="9"/>
      <c r="E28" s="9"/>
      <c r="F28" s="9"/>
      <c r="G28" s="9"/>
      <c r="H28" s="9"/>
      <c r="I28" s="4"/>
      <c r="J28" s="4"/>
      <c r="K28" s="4"/>
      <c r="L28" s="4"/>
      <c r="M28" s="8"/>
      <c r="N28" s="8"/>
    </row>
    <row r="29" spans="1:14">
      <c r="A29" s="9"/>
      <c r="B29" s="34">
        <v>2020</v>
      </c>
      <c r="C29" s="35">
        <v>9400</v>
      </c>
      <c r="D29" s="9"/>
      <c r="E29" s="9"/>
      <c r="F29" s="9"/>
      <c r="G29" s="9"/>
      <c r="H29" s="9"/>
      <c r="I29" s="4"/>
      <c r="J29" s="4"/>
      <c r="K29" s="4"/>
      <c r="L29" s="4"/>
      <c r="M29" s="8"/>
      <c r="N29" s="8"/>
    </row>
    <row r="30" spans="1:14">
      <c r="A30" s="9"/>
      <c r="B30" s="34">
        <v>2021</v>
      </c>
      <c r="C30" s="35">
        <v>9940</v>
      </c>
      <c r="D30" s="9"/>
      <c r="E30" s="9"/>
      <c r="F30" s="9"/>
      <c r="G30" s="9"/>
      <c r="H30" s="9"/>
      <c r="I30" s="4"/>
      <c r="J30" s="4"/>
      <c r="K30" s="4"/>
      <c r="L30" s="4"/>
      <c r="M30" s="8"/>
      <c r="N30" s="8"/>
    </row>
    <row r="31" spans="1:14">
      <c r="A31" s="9"/>
      <c r="B31" s="14"/>
      <c r="C31" s="16"/>
      <c r="D31" s="9"/>
      <c r="E31" s="9"/>
      <c r="F31" s="9"/>
      <c r="G31" s="9"/>
      <c r="H31" s="9"/>
      <c r="I31" s="4"/>
      <c r="J31" s="4"/>
      <c r="K31" s="4"/>
      <c r="L31" s="4"/>
      <c r="M31" s="8"/>
      <c r="N31" s="8"/>
    </row>
    <row r="32" spans="1:14">
      <c r="A32" s="9"/>
      <c r="B32" s="17" t="s">
        <v>173</v>
      </c>
      <c r="C32" s="16"/>
      <c r="D32" s="37">
        <v>45139</v>
      </c>
      <c r="E32" s="9" t="s">
        <v>350</v>
      </c>
      <c r="F32" s="32"/>
      <c r="G32" s="9"/>
      <c r="H32" s="9"/>
      <c r="I32" s="4"/>
      <c r="J32" s="4"/>
      <c r="K32" s="4"/>
      <c r="L32" s="4"/>
      <c r="M32" s="8"/>
      <c r="N32" s="8"/>
    </row>
    <row r="33" spans="1:14">
      <c r="A33" s="9"/>
      <c r="B33" s="17" t="s">
        <v>171</v>
      </c>
      <c r="C33" s="16"/>
      <c r="D33" s="9"/>
      <c r="E33" s="9"/>
      <c r="F33" s="9"/>
      <c r="G33" s="9"/>
      <c r="H33" s="9"/>
      <c r="I33" s="4"/>
      <c r="J33" s="4"/>
      <c r="K33" s="4"/>
      <c r="L33" s="4"/>
      <c r="M33" s="8"/>
      <c r="N33" s="8"/>
    </row>
    <row r="34" spans="1:14">
      <c r="A34" s="3"/>
      <c r="B34" s="3"/>
      <c r="C34" s="3"/>
      <c r="D34" s="3"/>
      <c r="E34" s="3"/>
      <c r="F34" s="3"/>
      <c r="G34" s="4"/>
      <c r="H34" s="4"/>
      <c r="I34" s="4"/>
      <c r="J34" s="4"/>
      <c r="K34" s="4"/>
      <c r="L34" s="4"/>
      <c r="M34" s="8"/>
      <c r="N34" s="8"/>
    </row>
    <row r="36" spans="1:14">
      <c r="A36" s="6" t="s">
        <v>5</v>
      </c>
      <c r="B36" s="9" t="s">
        <v>174</v>
      </c>
      <c r="C36" s="4"/>
      <c r="D36" s="4"/>
      <c r="E36" s="4"/>
      <c r="F36" s="4"/>
      <c r="G36" s="4"/>
      <c r="H36" s="4"/>
      <c r="I36" s="4"/>
      <c r="J36" s="4"/>
      <c r="K36" s="4"/>
      <c r="L36" s="4"/>
    </row>
    <row r="37" spans="1:14">
      <c r="A37" s="3"/>
      <c r="B37" s="3"/>
      <c r="C37" s="3"/>
      <c r="D37" s="3"/>
      <c r="E37" s="3"/>
      <c r="F37" s="3"/>
      <c r="G37" s="4"/>
      <c r="H37" s="4"/>
      <c r="I37" s="4"/>
      <c r="J37" s="4"/>
      <c r="K37" s="4"/>
      <c r="L37" s="4"/>
    </row>
    <row r="38" spans="1:14">
      <c r="A38" s="7"/>
      <c r="B38" s="7"/>
      <c r="C38" s="7"/>
      <c r="D38" s="7"/>
      <c r="E38" s="7"/>
      <c r="F38" s="7"/>
      <c r="G38" s="7"/>
      <c r="H38" s="7"/>
      <c r="I38" s="7"/>
      <c r="J38" s="7"/>
      <c r="K38" s="7"/>
      <c r="L38" s="7"/>
    </row>
    <row r="39" spans="1:14">
      <c r="A39" s="7" t="s">
        <v>1</v>
      </c>
      <c r="B39" s="7"/>
      <c r="C39" s="7"/>
      <c r="D39" s="7"/>
      <c r="E39" s="7"/>
      <c r="F39" s="7"/>
      <c r="G39" s="7"/>
      <c r="H39" s="7"/>
      <c r="I39" s="7"/>
      <c r="J39" s="7"/>
      <c r="K39" s="7"/>
      <c r="L39" s="7"/>
    </row>
    <row r="40" spans="1:14" ht="31.5">
      <c r="A40" s="7"/>
      <c r="B40" s="115" t="s">
        <v>79</v>
      </c>
      <c r="C40" s="115" t="s">
        <v>170</v>
      </c>
      <c r="D40" s="115" t="s">
        <v>641</v>
      </c>
      <c r="E40" s="7"/>
      <c r="F40" s="7"/>
      <c r="G40" s="7"/>
      <c r="H40" s="7"/>
      <c r="I40" s="7"/>
      <c r="J40" s="7"/>
      <c r="K40" s="7"/>
      <c r="L40" s="7"/>
    </row>
    <row r="41" spans="1:14">
      <c r="A41" s="7"/>
      <c r="B41" s="110">
        <v>2010</v>
      </c>
      <c r="C41" s="150">
        <f>C19</f>
        <v>5280</v>
      </c>
      <c r="D41" s="7"/>
      <c r="E41" s="7"/>
      <c r="F41" s="7"/>
      <c r="G41" s="7"/>
      <c r="H41" s="7"/>
      <c r="I41" s="7"/>
      <c r="J41" s="7"/>
      <c r="K41" s="7"/>
      <c r="L41" s="7"/>
    </row>
    <row r="42" spans="1:14">
      <c r="B42" s="110">
        <f>B41+1</f>
        <v>2011</v>
      </c>
      <c r="C42" s="150">
        <f t="shared" ref="C42:C52" si="0">C20</f>
        <v>5770</v>
      </c>
      <c r="D42" s="286">
        <f>C42/C41-1</f>
        <v>9.2803030303030276E-2</v>
      </c>
      <c r="E42" s="7"/>
      <c r="F42" s="7"/>
      <c r="G42" s="7"/>
      <c r="H42" s="7"/>
      <c r="M42" s="7"/>
    </row>
    <row r="43" spans="1:14">
      <c r="B43" s="110">
        <f t="shared" ref="B43:B52" si="1">B42+1</f>
        <v>2012</v>
      </c>
      <c r="C43" s="150">
        <f t="shared" si="0"/>
        <v>6330</v>
      </c>
      <c r="D43" s="286">
        <f t="shared" ref="D43:D52" si="2">C43/C42-1</f>
        <v>9.705372616984409E-2</v>
      </c>
      <c r="E43" s="7"/>
      <c r="F43" s="7"/>
      <c r="G43" s="7"/>
      <c r="H43" s="7"/>
      <c r="M43" s="7"/>
    </row>
    <row r="44" spans="1:14">
      <c r="B44" s="110">
        <f t="shared" si="1"/>
        <v>2013</v>
      </c>
      <c r="C44" s="150">
        <f t="shared" si="0"/>
        <v>6200</v>
      </c>
      <c r="D44" s="286">
        <f t="shared" si="2"/>
        <v>-2.0537124802527673E-2</v>
      </c>
      <c r="E44" s="7"/>
      <c r="F44" s="7"/>
      <c r="G44" s="7"/>
      <c r="H44" s="7"/>
      <c r="M44" s="7"/>
    </row>
    <row r="45" spans="1:14">
      <c r="B45" s="110">
        <f t="shared" si="1"/>
        <v>2014</v>
      </c>
      <c r="C45" s="150">
        <f t="shared" si="0"/>
        <v>6920</v>
      </c>
      <c r="D45" s="286">
        <f t="shared" si="2"/>
        <v>0.11612903225806459</v>
      </c>
      <c r="E45" s="7"/>
      <c r="F45" s="7"/>
      <c r="G45" s="7"/>
      <c r="H45" s="7"/>
      <c r="M45" s="7"/>
    </row>
    <row r="46" spans="1:14">
      <c r="B46" s="110">
        <f t="shared" si="1"/>
        <v>2015</v>
      </c>
      <c r="C46" s="150">
        <f t="shared" si="0"/>
        <v>7140</v>
      </c>
      <c r="D46" s="286">
        <f t="shared" si="2"/>
        <v>3.1791907514450823E-2</v>
      </c>
      <c r="E46" s="7"/>
      <c r="F46" s="7"/>
      <c r="G46" s="7"/>
      <c r="H46" s="7"/>
      <c r="M46" s="7"/>
    </row>
    <row r="47" spans="1:14">
      <c r="B47" s="110">
        <f t="shared" si="1"/>
        <v>2016</v>
      </c>
      <c r="C47" s="150">
        <f t="shared" si="0"/>
        <v>7560</v>
      </c>
      <c r="D47" s="286">
        <f t="shared" si="2"/>
        <v>5.8823529411764719E-2</v>
      </c>
      <c r="E47" s="7"/>
      <c r="F47" s="7"/>
      <c r="G47" s="7"/>
      <c r="H47" s="7"/>
      <c r="M47" s="7"/>
    </row>
    <row r="48" spans="1:14">
      <c r="B48" s="110">
        <f t="shared" si="1"/>
        <v>2017</v>
      </c>
      <c r="C48" s="150">
        <f t="shared" si="0"/>
        <v>8300</v>
      </c>
      <c r="D48" s="286">
        <f t="shared" si="2"/>
        <v>9.7883597883597906E-2</v>
      </c>
      <c r="E48" s="7"/>
      <c r="F48" s="7"/>
      <c r="G48" s="7"/>
      <c r="H48" s="7"/>
      <c r="M48" s="7"/>
    </row>
    <row r="49" spans="1:13">
      <c r="B49" s="110">
        <f t="shared" si="1"/>
        <v>2018</v>
      </c>
      <c r="C49" s="150">
        <f t="shared" si="0"/>
        <v>8460</v>
      </c>
      <c r="D49" s="286">
        <f t="shared" si="2"/>
        <v>1.9277108433734869E-2</v>
      </c>
      <c r="E49" s="7"/>
      <c r="F49" s="7"/>
      <c r="G49" s="7"/>
      <c r="H49" s="7"/>
      <c r="M49" s="7"/>
    </row>
    <row r="50" spans="1:13">
      <c r="B50" s="110">
        <f t="shared" si="1"/>
        <v>2019</v>
      </c>
      <c r="C50" s="150">
        <f t="shared" si="0"/>
        <v>8850</v>
      </c>
      <c r="D50" s="286">
        <f t="shared" si="2"/>
        <v>4.6099290780141855E-2</v>
      </c>
      <c r="E50" s="7"/>
      <c r="F50" s="7"/>
      <c r="G50" s="7"/>
      <c r="H50" s="7"/>
      <c r="M50" s="7"/>
    </row>
    <row r="51" spans="1:13">
      <c r="B51" s="110">
        <f t="shared" si="1"/>
        <v>2020</v>
      </c>
      <c r="C51" s="150">
        <f t="shared" si="0"/>
        <v>9400</v>
      </c>
      <c r="D51" s="286">
        <f t="shared" si="2"/>
        <v>6.2146892655367214E-2</v>
      </c>
      <c r="E51" s="7"/>
      <c r="F51" s="7"/>
      <c r="G51" s="7"/>
      <c r="H51" s="7"/>
      <c r="M51" s="7"/>
    </row>
    <row r="52" spans="1:13">
      <c r="B52" s="116">
        <f t="shared" si="1"/>
        <v>2021</v>
      </c>
      <c r="C52" s="152">
        <f t="shared" si="0"/>
        <v>9940</v>
      </c>
      <c r="D52" s="117">
        <f t="shared" si="2"/>
        <v>5.7446808510638325E-2</v>
      </c>
      <c r="E52" s="7"/>
      <c r="F52" s="7"/>
      <c r="G52" s="7"/>
      <c r="H52" s="7"/>
      <c r="M52" s="7"/>
    </row>
    <row r="53" spans="1:13">
      <c r="B53" s="288" t="s">
        <v>626</v>
      </c>
      <c r="C53" s="288"/>
      <c r="D53" s="287">
        <f>AVERAGE(D42:D52)</f>
        <v>5.9901618101646091E-2</v>
      </c>
      <c r="E53" s="7"/>
      <c r="F53" s="7"/>
      <c r="G53" s="7"/>
      <c r="H53" s="7"/>
      <c r="M53" s="7"/>
    </row>
    <row r="54" spans="1:13">
      <c r="B54" s="7" t="s">
        <v>631</v>
      </c>
      <c r="C54" s="7"/>
      <c r="D54" s="287">
        <f>AVERAGE(D48:D52)</f>
        <v>5.6570739652696031E-2</v>
      </c>
      <c r="E54" s="7"/>
      <c r="F54" s="7"/>
      <c r="G54" s="7"/>
      <c r="H54" s="7"/>
      <c r="M54" s="7"/>
    </row>
    <row r="55" spans="1:13">
      <c r="B55" s="7" t="s">
        <v>673</v>
      </c>
      <c r="C55" s="7"/>
      <c r="D55" s="287">
        <f>(SUM(D42:D52)-MIN(D42:D52)-MAX(D42:D52))/9</f>
        <v>6.2591765740285563E-2</v>
      </c>
      <c r="E55" s="7"/>
      <c r="F55" s="7"/>
      <c r="G55" s="7"/>
      <c r="H55" s="7"/>
      <c r="M55" s="7"/>
    </row>
    <row r="56" spans="1:13">
      <c r="B56" s="7"/>
      <c r="C56" s="7"/>
      <c r="D56" s="188"/>
      <c r="E56" s="7"/>
      <c r="F56" s="7"/>
      <c r="G56" s="7"/>
      <c r="H56" s="7"/>
      <c r="M56" s="7"/>
    </row>
    <row r="57" spans="1:13">
      <c r="B57" s="7" t="s">
        <v>666</v>
      </c>
      <c r="C57" s="7"/>
      <c r="D57" s="287">
        <f>D55</f>
        <v>6.2591765740285563E-2</v>
      </c>
      <c r="E57" s="7"/>
      <c r="F57" s="7"/>
      <c r="G57" s="7"/>
      <c r="H57" s="7"/>
      <c r="M57" s="7"/>
    </row>
    <row r="58" spans="1:13">
      <c r="B58" s="7" t="s">
        <v>667</v>
      </c>
      <c r="C58" s="7"/>
      <c r="D58" s="188"/>
      <c r="E58" s="7"/>
      <c r="F58" s="7"/>
      <c r="G58" s="7"/>
      <c r="H58" s="7"/>
      <c r="M58" s="7"/>
    </row>
    <row r="60" spans="1:13" ht="15.6" customHeight="1">
      <c r="A60" s="6" t="s">
        <v>0</v>
      </c>
      <c r="B60" s="9" t="s">
        <v>175</v>
      </c>
      <c r="C60" s="9"/>
      <c r="D60" s="9"/>
      <c r="E60" s="9"/>
      <c r="F60" s="9"/>
      <c r="G60" s="9"/>
      <c r="H60" s="9"/>
      <c r="I60" s="9"/>
      <c r="J60" s="9"/>
      <c r="K60" s="9"/>
      <c r="L60" s="4"/>
    </row>
    <row r="61" spans="1:13">
      <c r="A61" s="3"/>
      <c r="B61" s="3"/>
      <c r="C61" s="3"/>
      <c r="D61" s="3"/>
      <c r="E61" s="3"/>
      <c r="F61" s="3"/>
      <c r="G61" s="4"/>
      <c r="H61" s="4"/>
      <c r="I61" s="4"/>
      <c r="J61" s="4"/>
      <c r="K61" s="4"/>
      <c r="L61" s="4"/>
    </row>
    <row r="62" spans="1:13">
      <c r="A62" s="7"/>
      <c r="B62" s="7"/>
      <c r="C62" s="7"/>
      <c r="D62" s="7"/>
      <c r="E62" s="7"/>
      <c r="F62" s="7"/>
      <c r="G62" s="7"/>
      <c r="H62" s="7"/>
      <c r="I62" s="7"/>
      <c r="J62" s="7"/>
      <c r="K62" s="7"/>
      <c r="L62" s="7"/>
    </row>
    <row r="63" spans="1:13">
      <c r="A63" s="7" t="s">
        <v>1</v>
      </c>
      <c r="B63" s="7"/>
      <c r="C63" s="7"/>
      <c r="D63" s="7"/>
      <c r="E63" s="7"/>
      <c r="F63" s="7"/>
      <c r="G63" s="7"/>
      <c r="H63" s="7"/>
      <c r="I63" s="7"/>
      <c r="J63" s="7"/>
      <c r="K63" s="7"/>
      <c r="L63" s="7"/>
    </row>
    <row r="64" spans="1:13">
      <c r="A64" s="7"/>
      <c r="B64" s="7" t="s">
        <v>668</v>
      </c>
      <c r="C64" s="188"/>
      <c r="D64" s="7">
        <f>(12*(1+YEAR(D32))+MONTH(D32))-(12*B52+7)</f>
        <v>37</v>
      </c>
      <c r="E64" s="7" t="s">
        <v>669</v>
      </c>
      <c r="F64" s="7"/>
      <c r="G64" s="7"/>
      <c r="H64" s="7"/>
      <c r="I64" s="7"/>
      <c r="J64" s="7"/>
      <c r="K64" s="7"/>
      <c r="L64" s="7"/>
    </row>
    <row r="65" spans="1:14">
      <c r="A65" s="7"/>
      <c r="B65" s="7"/>
      <c r="C65" s="7"/>
      <c r="D65" s="7"/>
      <c r="E65" s="7"/>
      <c r="F65" s="7"/>
      <c r="G65" s="7"/>
      <c r="H65" s="7"/>
      <c r="I65" s="7"/>
      <c r="J65" s="7"/>
      <c r="K65" s="7"/>
      <c r="L65" s="7"/>
    </row>
    <row r="66" spans="1:14" ht="78.75">
      <c r="A66" s="7"/>
      <c r="B66" s="115" t="s">
        <v>79</v>
      </c>
      <c r="C66" s="115" t="s">
        <v>674</v>
      </c>
      <c r="D66" s="115" t="s">
        <v>670</v>
      </c>
      <c r="E66" s="115" t="s">
        <v>671</v>
      </c>
      <c r="F66" s="7"/>
      <c r="G66" s="7"/>
      <c r="H66" s="7"/>
      <c r="I66" s="7"/>
      <c r="J66" s="7"/>
      <c r="K66" s="7"/>
      <c r="L66" s="7"/>
    </row>
    <row r="67" spans="1:14">
      <c r="A67" s="7"/>
      <c r="B67" s="110">
        <v>2010</v>
      </c>
      <c r="C67" s="110">
        <f t="shared" ref="C67:C76" si="3">C68+12</f>
        <v>169</v>
      </c>
      <c r="D67" s="151">
        <f>(1+$D$57)^(C67/12)</f>
        <v>2.3514050676579843</v>
      </c>
      <c r="E67" s="150">
        <f>D67*C41</f>
        <v>12415.418757234158</v>
      </c>
      <c r="F67" s="7"/>
      <c r="G67" s="7"/>
      <c r="H67" s="7"/>
      <c r="I67" s="7"/>
      <c r="J67" s="7"/>
      <c r="K67" s="7"/>
      <c r="L67" s="7"/>
    </row>
    <row r="68" spans="1:14">
      <c r="A68" s="7"/>
      <c r="B68" s="110">
        <f>B67+1</f>
        <v>2011</v>
      </c>
      <c r="C68" s="110">
        <f t="shared" si="3"/>
        <v>157</v>
      </c>
      <c r="D68" s="151">
        <f t="shared" ref="D68:D78" si="4">(1+$D$57)^(C68/12)</f>
        <v>2.2128959996408493</v>
      </c>
      <c r="E68" s="150">
        <f t="shared" ref="E68:E78" si="5">D68*C42</f>
        <v>12768.4099179277</v>
      </c>
      <c r="F68" s="7"/>
      <c r="G68" s="7"/>
      <c r="H68" s="7"/>
      <c r="I68" s="7"/>
      <c r="J68" s="7"/>
      <c r="K68" s="7"/>
      <c r="L68" s="7"/>
    </row>
    <row r="69" spans="1:14">
      <c r="A69" s="7"/>
      <c r="B69" s="110">
        <f t="shared" ref="B69:B78" si="6">B68+1</f>
        <v>2012</v>
      </c>
      <c r="C69" s="110">
        <f t="shared" si="3"/>
        <v>145</v>
      </c>
      <c r="D69" s="151">
        <f t="shared" si="4"/>
        <v>2.0825457819157589</v>
      </c>
      <c r="E69" s="150">
        <f t="shared" si="5"/>
        <v>13182.514799526754</v>
      </c>
      <c r="F69" s="7"/>
      <c r="G69" s="7"/>
      <c r="H69" s="7"/>
      <c r="I69" s="7"/>
      <c r="J69" s="7"/>
      <c r="K69" s="7"/>
      <c r="L69" s="7"/>
    </row>
    <row r="70" spans="1:14">
      <c r="A70" s="7"/>
      <c r="B70" s="110">
        <f t="shared" si="6"/>
        <v>2013</v>
      </c>
      <c r="C70" s="110">
        <f t="shared" si="3"/>
        <v>133</v>
      </c>
      <c r="D70" s="151">
        <f t="shared" si="4"/>
        <v>1.9598738189589608</v>
      </c>
      <c r="E70" s="150">
        <f t="shared" si="5"/>
        <v>12151.217677545557</v>
      </c>
      <c r="F70" s="7"/>
      <c r="G70" s="7"/>
      <c r="H70" s="7"/>
      <c r="I70" s="7"/>
      <c r="J70" s="7"/>
      <c r="K70" s="7"/>
      <c r="L70" s="7"/>
    </row>
    <row r="71" spans="1:14">
      <c r="A71" s="7"/>
      <c r="B71" s="110">
        <f t="shared" si="6"/>
        <v>2014</v>
      </c>
      <c r="C71" s="110">
        <f t="shared" si="3"/>
        <v>121</v>
      </c>
      <c r="D71" s="151">
        <f t="shared" si="4"/>
        <v>1.8444278246345696</v>
      </c>
      <c r="E71" s="150">
        <f t="shared" si="5"/>
        <v>12763.440546471222</v>
      </c>
      <c r="F71" s="7"/>
      <c r="G71" s="7"/>
      <c r="H71" s="7"/>
      <c r="I71" s="7"/>
      <c r="J71" s="7"/>
      <c r="K71" s="7"/>
      <c r="L71" s="7"/>
    </row>
    <row r="72" spans="1:14">
      <c r="A72" s="7"/>
      <c r="B72" s="110">
        <f t="shared" si="6"/>
        <v>2015</v>
      </c>
      <c r="C72" s="110">
        <f t="shared" si="3"/>
        <v>109</v>
      </c>
      <c r="D72" s="151">
        <f t="shared" si="4"/>
        <v>1.7357821546354588</v>
      </c>
      <c r="E72" s="150">
        <f t="shared" si="5"/>
        <v>12393.484584097176</v>
      </c>
      <c r="F72" s="7"/>
      <c r="G72" s="7"/>
      <c r="H72" s="7"/>
      <c r="I72" s="7"/>
      <c r="J72" s="7"/>
      <c r="K72" s="7"/>
      <c r="L72" s="7"/>
    </row>
    <row r="73" spans="1:14">
      <c r="A73" s="7"/>
      <c r="B73" s="110">
        <f t="shared" si="6"/>
        <v>2016</v>
      </c>
      <c r="C73" s="110">
        <f t="shared" si="3"/>
        <v>97</v>
      </c>
      <c r="D73" s="151">
        <f t="shared" si="4"/>
        <v>1.6335362371514104</v>
      </c>
      <c r="E73" s="150">
        <f t="shared" si="5"/>
        <v>12349.533952864662</v>
      </c>
      <c r="F73" s="7"/>
      <c r="G73" s="7"/>
      <c r="H73" s="7"/>
      <c r="I73" s="7"/>
      <c r="J73" s="7"/>
      <c r="K73" s="7"/>
      <c r="L73" s="7"/>
    </row>
    <row r="74" spans="1:14">
      <c r="A74" s="7"/>
      <c r="B74" s="110">
        <f t="shared" si="6"/>
        <v>2017</v>
      </c>
      <c r="C74" s="110">
        <f t="shared" si="3"/>
        <v>85</v>
      </c>
      <c r="D74" s="151">
        <f t="shared" si="4"/>
        <v>1.537313095978454</v>
      </c>
      <c r="E74" s="150">
        <f t="shared" si="5"/>
        <v>12759.698696621168</v>
      </c>
      <c r="F74" s="7"/>
      <c r="G74" s="7"/>
      <c r="H74" s="7"/>
      <c r="I74" s="7"/>
      <c r="J74" s="7"/>
      <c r="K74" s="7"/>
      <c r="L74" s="7"/>
    </row>
    <row r="75" spans="1:14">
      <c r="A75" s="7"/>
      <c r="B75" s="110">
        <f t="shared" si="6"/>
        <v>2018</v>
      </c>
      <c r="C75" s="110">
        <f t="shared" si="3"/>
        <v>73</v>
      </c>
      <c r="D75" s="151">
        <f t="shared" si="4"/>
        <v>1.4467579606241727</v>
      </c>
      <c r="E75" s="150">
        <f t="shared" si="5"/>
        <v>12239.572346880501</v>
      </c>
      <c r="F75" s="7"/>
      <c r="G75" s="7"/>
      <c r="H75" s="7"/>
      <c r="I75" s="7"/>
      <c r="J75" s="7"/>
      <c r="K75" s="7"/>
      <c r="L75" s="7"/>
    </row>
    <row r="76" spans="1:14">
      <c r="A76" s="7"/>
      <c r="B76" s="110">
        <f t="shared" si="6"/>
        <v>2019</v>
      </c>
      <c r="C76" s="110">
        <f t="shared" si="3"/>
        <v>61</v>
      </c>
      <c r="D76" s="151">
        <f t="shared" si="4"/>
        <v>1.361536958284489</v>
      </c>
      <c r="E76" s="150">
        <f t="shared" si="5"/>
        <v>12049.602080817727</v>
      </c>
      <c r="F76" s="7"/>
      <c r="G76" s="7"/>
      <c r="H76" s="7"/>
      <c r="I76" s="7"/>
      <c r="J76" s="7"/>
      <c r="K76" s="7"/>
      <c r="L76" s="7"/>
    </row>
    <row r="77" spans="1:14">
      <c r="B77" s="110">
        <f t="shared" si="6"/>
        <v>2020</v>
      </c>
      <c r="C77" s="110">
        <f>C78+12</f>
        <v>49</v>
      </c>
      <c r="D77" s="151">
        <f t="shared" si="4"/>
        <v>1.2813358828693113</v>
      </c>
      <c r="E77" s="150">
        <f t="shared" si="5"/>
        <v>12044.557298971526</v>
      </c>
      <c r="F77" s="7"/>
      <c r="G77" s="7"/>
    </row>
    <row r="78" spans="1:14">
      <c r="B78" s="116">
        <f t="shared" si="6"/>
        <v>2021</v>
      </c>
      <c r="C78" s="116">
        <f>D64</f>
        <v>37</v>
      </c>
      <c r="D78" s="154">
        <f t="shared" si="4"/>
        <v>1.205859036538488</v>
      </c>
      <c r="E78" s="152">
        <f t="shared" si="5"/>
        <v>11986.238823192571</v>
      </c>
      <c r="F78" s="7"/>
      <c r="G78" s="7"/>
    </row>
    <row r="79" spans="1:14">
      <c r="B79" s="323" t="s">
        <v>626</v>
      </c>
      <c r="C79" s="323"/>
      <c r="D79" s="7"/>
      <c r="E79" s="150">
        <f>AVERAGE(E67:E78)</f>
        <v>12425.307456845892</v>
      </c>
      <c r="F79" s="7"/>
      <c r="G79" s="7"/>
      <c r="M79" s="7"/>
      <c r="N79" s="7"/>
    </row>
    <row r="80" spans="1:14">
      <c r="B80" s="324" t="s">
        <v>631</v>
      </c>
      <c r="C80" s="324"/>
      <c r="D80" s="7"/>
      <c r="E80" s="150">
        <f>AVERAGE(E74:E78)</f>
        <v>12215.933849296698</v>
      </c>
      <c r="F80" s="7"/>
      <c r="G80" s="7"/>
      <c r="M80" s="7"/>
      <c r="N80" s="7"/>
    </row>
    <row r="81" spans="1:14">
      <c r="B81" s="324" t="s">
        <v>672</v>
      </c>
      <c r="C81" s="324"/>
      <c r="D81" s="7"/>
      <c r="E81" s="150">
        <f>AVERAGE(E76:E78)</f>
        <v>12026.799400993941</v>
      </c>
      <c r="F81" s="7"/>
      <c r="G81" s="7"/>
      <c r="M81" s="7"/>
      <c r="N81" s="7"/>
    </row>
    <row r="82" spans="1:14">
      <c r="B82" s="7"/>
      <c r="C82" s="7"/>
      <c r="D82" s="7"/>
      <c r="E82" s="7"/>
      <c r="F82" s="7"/>
      <c r="G82" s="7"/>
      <c r="M82" s="7"/>
      <c r="N82" s="7"/>
    </row>
    <row r="83" spans="1:14">
      <c r="B83" s="324" t="s">
        <v>666</v>
      </c>
      <c r="C83" s="324"/>
      <c r="D83" s="7"/>
      <c r="E83" s="150">
        <f>E81</f>
        <v>12026.799400993941</v>
      </c>
      <c r="F83" s="7"/>
      <c r="G83" s="7"/>
      <c r="M83" s="7"/>
      <c r="N83" s="7"/>
    </row>
    <row r="84" spans="1:14">
      <c r="B84" s="7" t="s">
        <v>675</v>
      </c>
      <c r="C84" s="7"/>
      <c r="D84" s="7"/>
      <c r="E84" s="7"/>
      <c r="F84" s="7"/>
      <c r="G84" s="7"/>
      <c r="M84" s="7"/>
      <c r="N84" s="7"/>
    </row>
    <row r="86" spans="1:14">
      <c r="A86" s="3"/>
      <c r="B86" s="3"/>
      <c r="C86" s="3"/>
      <c r="D86" s="3"/>
      <c r="E86" s="3"/>
      <c r="F86" s="3"/>
      <c r="G86" s="4"/>
      <c r="H86" s="4"/>
      <c r="I86" s="4"/>
      <c r="J86" s="4"/>
      <c r="K86" s="4"/>
      <c r="L86" s="4"/>
    </row>
    <row r="87" spans="1:14">
      <c r="A87" s="14" t="s">
        <v>70</v>
      </c>
      <c r="B87" s="16"/>
      <c r="C87" s="16"/>
      <c r="D87" s="16"/>
      <c r="E87" s="16"/>
      <c r="F87" s="16"/>
      <c r="G87" s="16"/>
      <c r="H87" s="9"/>
      <c r="I87" s="9"/>
      <c r="J87" s="4"/>
      <c r="K87" s="4"/>
      <c r="L87" s="4"/>
    </row>
    <row r="88" spans="1:14">
      <c r="A88" s="14"/>
      <c r="B88" s="16"/>
      <c r="C88" s="16"/>
      <c r="D88" s="16"/>
      <c r="E88" s="16"/>
      <c r="F88" s="16"/>
      <c r="G88" s="16"/>
      <c r="H88" s="9"/>
      <c r="I88" s="9"/>
      <c r="J88" s="4"/>
      <c r="K88" s="4"/>
      <c r="L88" s="4"/>
    </row>
    <row r="89" spans="1:14">
      <c r="A89" s="9"/>
      <c r="B89" s="310" t="s">
        <v>342</v>
      </c>
      <c r="C89" s="310"/>
      <c r="D89" s="310"/>
      <c r="E89" s="310"/>
      <c r="F89" s="310"/>
      <c r="G89" s="310"/>
      <c r="H89" s="310"/>
      <c r="I89" s="9"/>
      <c r="J89" s="4"/>
      <c r="K89" s="4"/>
      <c r="L89" s="4"/>
    </row>
    <row r="90" spans="1:14" ht="63">
      <c r="A90" s="9"/>
      <c r="B90" s="30" t="s">
        <v>79</v>
      </c>
      <c r="C90" s="30" t="s">
        <v>176</v>
      </c>
      <c r="D90" s="30" t="s">
        <v>66</v>
      </c>
      <c r="E90" s="30" t="s">
        <v>67</v>
      </c>
      <c r="F90" s="30" t="s">
        <v>177</v>
      </c>
      <c r="G90" s="30" t="s">
        <v>178</v>
      </c>
      <c r="H90" s="30" t="s">
        <v>179</v>
      </c>
      <c r="I90" s="9"/>
      <c r="J90" s="4"/>
      <c r="K90" s="4"/>
      <c r="L90" s="4"/>
    </row>
    <row r="91" spans="1:14">
      <c r="A91" s="9"/>
      <c r="B91" s="34">
        <v>2019</v>
      </c>
      <c r="C91" s="35">
        <v>16080</v>
      </c>
      <c r="D91" s="35">
        <v>10537200</v>
      </c>
      <c r="E91" s="35">
        <v>11064120</v>
      </c>
      <c r="F91" s="35">
        <v>12545160</v>
      </c>
      <c r="G91" s="35">
        <v>7130200</v>
      </c>
      <c r="H91" s="59">
        <v>0.25</v>
      </c>
      <c r="I91" s="9"/>
      <c r="J91" s="4"/>
      <c r="K91" s="4"/>
      <c r="L91" s="4"/>
    </row>
    <row r="92" spans="1:14">
      <c r="A92" s="9"/>
      <c r="B92" s="34">
        <v>2020</v>
      </c>
      <c r="C92" s="35">
        <v>16560</v>
      </c>
      <c r="D92" s="35">
        <v>11330400</v>
      </c>
      <c r="E92" s="35">
        <v>11606760</v>
      </c>
      <c r="F92" s="35">
        <v>12777120</v>
      </c>
      <c r="G92" s="35">
        <v>7449200</v>
      </c>
      <c r="H92" s="59">
        <v>0.3</v>
      </c>
      <c r="I92" s="9"/>
      <c r="J92" s="4"/>
      <c r="K92" s="4"/>
      <c r="L92" s="4"/>
    </row>
    <row r="93" spans="1:14">
      <c r="A93" s="9"/>
      <c r="B93" s="34">
        <v>2021</v>
      </c>
      <c r="C93" s="35">
        <v>16860</v>
      </c>
      <c r="D93" s="35">
        <v>11802000</v>
      </c>
      <c r="E93" s="35">
        <v>11802000</v>
      </c>
      <c r="F93" s="35">
        <v>12613560</v>
      </c>
      <c r="G93" s="35">
        <v>6824400</v>
      </c>
      <c r="H93" s="59">
        <v>0.45</v>
      </c>
      <c r="I93" s="9"/>
      <c r="J93" s="4"/>
      <c r="K93" s="4"/>
      <c r="L93" s="4"/>
    </row>
    <row r="94" spans="1:14">
      <c r="A94" s="9"/>
      <c r="B94" s="38" t="s">
        <v>83</v>
      </c>
      <c r="C94" s="39">
        <f t="shared" ref="C94:H94" si="7">SUM(C91:C93)</f>
        <v>49500</v>
      </c>
      <c r="D94" s="39">
        <f t="shared" si="7"/>
        <v>33669600</v>
      </c>
      <c r="E94" s="39">
        <f t="shared" si="7"/>
        <v>34472880</v>
      </c>
      <c r="F94" s="39">
        <f t="shared" si="7"/>
        <v>37935840</v>
      </c>
      <c r="G94" s="39">
        <f t="shared" si="7"/>
        <v>21403800</v>
      </c>
      <c r="H94" s="60">
        <f t="shared" si="7"/>
        <v>1</v>
      </c>
      <c r="I94" s="9"/>
      <c r="J94" s="4"/>
      <c r="K94" s="4"/>
      <c r="L94" s="4"/>
    </row>
    <row r="95" spans="1:14">
      <c r="A95" s="14"/>
      <c r="B95" s="16"/>
      <c r="C95" s="9"/>
      <c r="D95" s="9"/>
      <c r="E95" s="9"/>
      <c r="F95" s="9"/>
      <c r="G95" s="9"/>
      <c r="H95" s="9"/>
      <c r="I95" s="9"/>
      <c r="J95" s="4"/>
      <c r="K95" s="4"/>
      <c r="L95" s="4"/>
    </row>
    <row r="96" spans="1:14">
      <c r="A96" s="9"/>
      <c r="B96" s="17" t="s">
        <v>182</v>
      </c>
      <c r="C96" s="9"/>
      <c r="D96" s="61">
        <v>80000</v>
      </c>
      <c r="E96" s="9" t="s">
        <v>181</v>
      </c>
      <c r="F96" s="9"/>
      <c r="G96" s="9"/>
      <c r="H96" s="9"/>
      <c r="I96" s="9"/>
      <c r="J96" s="4"/>
      <c r="K96" s="4"/>
      <c r="L96" s="4"/>
    </row>
    <row r="97" spans="1:12">
      <c r="A97" s="9"/>
      <c r="B97" s="17" t="s">
        <v>180</v>
      </c>
      <c r="C97" s="9"/>
      <c r="D97" s="9"/>
      <c r="E97" s="9"/>
      <c r="F97" s="9"/>
      <c r="G97" s="9"/>
      <c r="H97" s="9"/>
      <c r="I97" s="9"/>
      <c r="J97" s="4"/>
      <c r="K97" s="4"/>
      <c r="L97" s="4"/>
    </row>
    <row r="98" spans="1:12">
      <c r="A98" s="9"/>
      <c r="B98" s="17" t="s">
        <v>183</v>
      </c>
      <c r="C98" s="9"/>
      <c r="D98" s="9"/>
      <c r="E98" s="9"/>
      <c r="F98" s="22">
        <v>0.7</v>
      </c>
      <c r="G98" s="9"/>
      <c r="H98" s="9"/>
      <c r="I98" s="9"/>
      <c r="J98" s="4"/>
      <c r="K98" s="4"/>
      <c r="L98" s="4"/>
    </row>
    <row r="99" spans="1:12">
      <c r="A99" s="9"/>
      <c r="B99" s="17" t="s">
        <v>184</v>
      </c>
      <c r="C99" s="9"/>
      <c r="D99" s="22">
        <v>0.12</v>
      </c>
      <c r="E99" s="9"/>
      <c r="F99" s="9"/>
      <c r="G99" s="9"/>
      <c r="H99" s="9"/>
      <c r="I99" s="9"/>
      <c r="J99" s="4"/>
      <c r="K99" s="4"/>
      <c r="L99" s="4"/>
    </row>
    <row r="100" spans="1:12">
      <c r="A100" s="9"/>
      <c r="B100" s="17" t="s">
        <v>186</v>
      </c>
      <c r="C100" s="9"/>
      <c r="D100" s="22">
        <v>0.05</v>
      </c>
      <c r="E100" s="9" t="s">
        <v>185</v>
      </c>
      <c r="F100" s="9"/>
      <c r="G100" s="9"/>
      <c r="H100" s="9"/>
      <c r="I100" s="9"/>
      <c r="J100" s="4"/>
      <c r="K100" s="4"/>
      <c r="L100" s="4"/>
    </row>
    <row r="101" spans="1:12">
      <c r="A101" s="9"/>
      <c r="B101" s="17" t="s">
        <v>187</v>
      </c>
      <c r="C101" s="9"/>
      <c r="D101" s="9"/>
      <c r="E101" s="22">
        <v>0.15</v>
      </c>
      <c r="F101" s="9" t="s">
        <v>185</v>
      </c>
      <c r="G101" s="9"/>
      <c r="H101" s="9"/>
      <c r="I101" s="9"/>
      <c r="J101" s="4"/>
      <c r="K101" s="4"/>
      <c r="L101" s="4"/>
    </row>
    <row r="102" spans="1:12">
      <c r="A102" s="9"/>
      <c r="B102" s="17" t="s">
        <v>188</v>
      </c>
      <c r="C102" s="9"/>
      <c r="D102" s="9"/>
      <c r="E102" s="22">
        <v>0.04</v>
      </c>
      <c r="F102" s="9" t="s">
        <v>185</v>
      </c>
      <c r="G102" s="9"/>
      <c r="H102" s="9"/>
      <c r="I102" s="9"/>
      <c r="J102" s="4"/>
      <c r="K102" s="4"/>
      <c r="L102" s="4"/>
    </row>
    <row r="103" spans="1:12">
      <c r="A103" s="3"/>
      <c r="B103" s="3"/>
      <c r="C103" s="3"/>
      <c r="D103" s="3"/>
      <c r="E103" s="3"/>
      <c r="F103" s="3"/>
      <c r="G103" s="4"/>
      <c r="H103" s="4"/>
      <c r="I103" s="4"/>
      <c r="J103" s="4"/>
      <c r="K103" s="4"/>
      <c r="L103" s="4"/>
    </row>
    <row r="105" spans="1:12">
      <c r="A105" s="6" t="s">
        <v>2</v>
      </c>
      <c r="B105" s="9" t="s">
        <v>189</v>
      </c>
      <c r="C105" s="4"/>
      <c r="D105" s="4"/>
      <c r="E105" s="4"/>
      <c r="F105" s="4"/>
      <c r="G105" s="4"/>
      <c r="H105" s="4"/>
      <c r="I105" s="4"/>
      <c r="J105" s="4"/>
      <c r="K105" s="4"/>
      <c r="L105" s="4"/>
    </row>
    <row r="106" spans="1:12">
      <c r="A106" s="3"/>
      <c r="B106" s="3"/>
      <c r="C106" s="3"/>
      <c r="D106" s="3"/>
      <c r="E106" s="3"/>
      <c r="F106" s="3"/>
      <c r="G106" s="4"/>
      <c r="H106" s="4"/>
      <c r="I106" s="4"/>
      <c r="J106" s="4"/>
      <c r="K106" s="4"/>
      <c r="L106" s="4"/>
    </row>
    <row r="107" spans="1:12">
      <c r="A107" s="7"/>
      <c r="B107" s="7"/>
      <c r="C107" s="7"/>
      <c r="D107" s="7"/>
      <c r="E107" s="7"/>
      <c r="F107" s="7"/>
      <c r="G107" s="7"/>
      <c r="H107" s="7"/>
      <c r="I107" s="7"/>
      <c r="J107" s="7"/>
      <c r="K107" s="7"/>
      <c r="L107" s="7"/>
    </row>
    <row r="108" spans="1:12">
      <c r="A108" s="7" t="s">
        <v>1</v>
      </c>
      <c r="B108" s="7"/>
      <c r="C108" s="7"/>
      <c r="D108" s="7"/>
      <c r="E108" s="7"/>
      <c r="F108" s="7"/>
      <c r="G108" s="7"/>
      <c r="H108" s="7"/>
      <c r="I108" s="7"/>
      <c r="J108" s="7"/>
      <c r="K108" s="7"/>
      <c r="L108" s="7"/>
    </row>
    <row r="109" spans="1:12" ht="47.25">
      <c r="A109" s="7"/>
      <c r="B109" s="115" t="s">
        <v>79</v>
      </c>
      <c r="C109" s="115" t="s">
        <v>177</v>
      </c>
      <c r="D109" s="115" t="s">
        <v>178</v>
      </c>
      <c r="E109" s="115" t="s">
        <v>676</v>
      </c>
      <c r="F109" s="115" t="s">
        <v>179</v>
      </c>
      <c r="G109"/>
      <c r="H109"/>
      <c r="J109" s="7"/>
      <c r="K109" s="7"/>
      <c r="L109" s="7"/>
    </row>
    <row r="110" spans="1:12">
      <c r="A110" s="7"/>
      <c r="B110" s="110">
        <v>2019</v>
      </c>
      <c r="C110" s="142">
        <f>F91</f>
        <v>12545160</v>
      </c>
      <c r="D110" s="142">
        <f t="shared" ref="D110:D112" si="8">G91</f>
        <v>7130200</v>
      </c>
      <c r="E110" s="270">
        <f>D110/C110</f>
        <v>0.56836261952816858</v>
      </c>
      <c r="F110" s="155">
        <f>H91</f>
        <v>0.25</v>
      </c>
      <c r="G110"/>
      <c r="H110"/>
      <c r="J110" s="7"/>
      <c r="K110" s="7"/>
      <c r="L110" s="7"/>
    </row>
    <row r="111" spans="1:12">
      <c r="B111" s="110">
        <f>B110+1</f>
        <v>2020</v>
      </c>
      <c r="C111" s="142">
        <f t="shared" ref="C111:C112" si="9">F92</f>
        <v>12777120</v>
      </c>
      <c r="D111" s="142">
        <f t="shared" si="8"/>
        <v>7449200</v>
      </c>
      <c r="E111" s="270">
        <f>D111/C111</f>
        <v>0.58301088195148831</v>
      </c>
      <c r="F111" s="155">
        <f t="shared" ref="F111:F112" si="10">H92</f>
        <v>0.3</v>
      </c>
      <c r="G111"/>
      <c r="H111"/>
    </row>
    <row r="112" spans="1:12">
      <c r="B112" s="116">
        <f>B111+1</f>
        <v>2021</v>
      </c>
      <c r="C112" s="199">
        <f t="shared" si="9"/>
        <v>12613560</v>
      </c>
      <c r="D112" s="199">
        <f t="shared" si="8"/>
        <v>6824400</v>
      </c>
      <c r="E112" s="290">
        <f>D112/C112</f>
        <v>0.54103678897947927</v>
      </c>
      <c r="F112" s="291">
        <f t="shared" si="10"/>
        <v>0.45</v>
      </c>
      <c r="G112"/>
      <c r="H112"/>
    </row>
    <row r="113" spans="2:13">
      <c r="B113" s="7" t="s">
        <v>687</v>
      </c>
      <c r="C113" s="142"/>
      <c r="D113" s="142"/>
      <c r="E113" s="264">
        <f>SUMPRODUCT(E110:E112,F110:F112)</f>
        <v>0.56046047450825431</v>
      </c>
      <c r="F113" s="155"/>
      <c r="G113"/>
      <c r="H113"/>
    </row>
    <row r="114" spans="2:13">
      <c r="B114" s="7"/>
      <c r="C114" s="7"/>
      <c r="D114" s="7"/>
      <c r="E114" s="7"/>
      <c r="F114" s="7"/>
      <c r="G114" s="7"/>
      <c r="H114" s="7"/>
      <c r="I114" s="188"/>
      <c r="M114" s="7"/>
    </row>
    <row r="115" spans="2:13">
      <c r="B115" s="7" t="s">
        <v>677</v>
      </c>
      <c r="C115" s="7"/>
      <c r="D115" s="7"/>
      <c r="E115" s="7"/>
      <c r="F115" s="157">
        <f>E83</f>
        <v>12026.799400993941</v>
      </c>
      <c r="G115" s="7"/>
      <c r="H115" s="7"/>
      <c r="I115" s="188"/>
    </row>
    <row r="116" spans="2:13">
      <c r="B116" s="7" t="s">
        <v>686</v>
      </c>
      <c r="C116" s="7"/>
      <c r="D116" s="7"/>
      <c r="E116" s="7"/>
      <c r="F116" s="157">
        <f>C93</f>
        <v>16860</v>
      </c>
      <c r="G116" s="7"/>
      <c r="H116" s="7"/>
      <c r="I116" s="188"/>
    </row>
    <row r="117" spans="2:13">
      <c r="B117" s="7" t="s">
        <v>685</v>
      </c>
      <c r="C117" s="7"/>
      <c r="D117" s="7"/>
      <c r="E117" s="7"/>
      <c r="F117" s="157">
        <f>F93</f>
        <v>12613560</v>
      </c>
      <c r="G117" s="7"/>
      <c r="H117" s="7"/>
      <c r="I117" s="188"/>
    </row>
    <row r="118" spans="2:13">
      <c r="B118" s="7" t="s">
        <v>684</v>
      </c>
      <c r="C118" s="7"/>
      <c r="D118" s="7"/>
      <c r="E118" s="7"/>
      <c r="F118" s="240">
        <f>(F115/100)*F116/F117</f>
        <v>0.16075702490078761</v>
      </c>
      <c r="G118" s="7"/>
      <c r="H118" s="7"/>
      <c r="I118" s="188"/>
    </row>
    <row r="119" spans="2:13">
      <c r="B119" s="7" t="s">
        <v>678</v>
      </c>
      <c r="C119" s="7"/>
      <c r="D119" s="7"/>
      <c r="E119" s="7"/>
      <c r="F119" s="239">
        <f>D99</f>
        <v>0.12</v>
      </c>
      <c r="G119"/>
      <c r="H119"/>
      <c r="I119" s="7"/>
    </row>
    <row r="120" spans="2:13">
      <c r="B120" s="7" t="s">
        <v>679</v>
      </c>
      <c r="C120" s="7"/>
      <c r="D120" s="7"/>
      <c r="E120" s="7"/>
      <c r="F120" s="289">
        <f>(E113+F118)*(1+F119)</f>
        <v>0.80776359933812703</v>
      </c>
      <c r="G120"/>
      <c r="H120"/>
      <c r="I120" s="7"/>
    </row>
    <row r="121" spans="2:13">
      <c r="B121" s="7" t="str">
        <f>"Credibility of experience period (full credibility = "&amp;TEXT(D96,"0,000")&amp;")"</f>
        <v>Credibility of experience period (full credibility = 80,000)</v>
      </c>
      <c r="C121" s="7"/>
      <c r="D121" s="7"/>
      <c r="E121" s="7"/>
      <c r="F121" s="289">
        <f>SQRT(C94/D96)</f>
        <v>0.78660663612761372</v>
      </c>
      <c r="G121"/>
      <c r="H121"/>
      <c r="I121" s="7"/>
    </row>
    <row r="122" spans="2:13">
      <c r="B122" s="7" t="s">
        <v>680</v>
      </c>
      <c r="C122" s="7"/>
      <c r="D122" s="7"/>
      <c r="E122" s="7"/>
      <c r="F122" s="239">
        <f>F98</f>
        <v>0.7</v>
      </c>
      <c r="G122" s="7"/>
      <c r="H122" s="7"/>
      <c r="I122" s="7"/>
    </row>
    <row r="123" spans="2:13">
      <c r="B123" s="7" t="s">
        <v>688</v>
      </c>
      <c r="C123" s="7"/>
      <c r="D123" s="7"/>
      <c r="E123" s="7"/>
      <c r="F123" s="289">
        <f>F121*F120+(1-F121)*F122</f>
        <v>0.784767562372368</v>
      </c>
      <c r="G123" s="7"/>
      <c r="H123" s="7"/>
      <c r="I123" s="7"/>
    </row>
    <row r="124" spans="2:13">
      <c r="B124" s="7" t="s">
        <v>681</v>
      </c>
      <c r="C124" s="7"/>
      <c r="D124" s="7"/>
      <c r="E124" s="7"/>
      <c r="F124" s="239">
        <f>D100</f>
        <v>0.05</v>
      </c>
      <c r="G124" s="7"/>
      <c r="H124" s="7"/>
      <c r="I124" s="7"/>
    </row>
    <row r="125" spans="2:13">
      <c r="B125" s="7" t="s">
        <v>682</v>
      </c>
      <c r="C125" s="7"/>
      <c r="D125" s="7"/>
      <c r="E125" s="7"/>
      <c r="F125" s="239">
        <f>E101</f>
        <v>0.15</v>
      </c>
      <c r="G125" s="7"/>
      <c r="H125" s="7"/>
      <c r="I125" s="7"/>
    </row>
    <row r="126" spans="2:13">
      <c r="B126" s="7" t="s">
        <v>683</v>
      </c>
      <c r="C126" s="7"/>
      <c r="D126" s="7"/>
      <c r="E126" s="7"/>
      <c r="F126" s="239">
        <f>E102</f>
        <v>0.04</v>
      </c>
      <c r="G126" s="7"/>
      <c r="H126" s="7"/>
      <c r="I126" s="7"/>
    </row>
    <row r="127" spans="2:13">
      <c r="B127" s="7" t="s">
        <v>689</v>
      </c>
      <c r="C127" s="7"/>
      <c r="D127" s="7"/>
      <c r="E127" s="7"/>
      <c r="F127" s="289">
        <f>(F123+F124)/(1-F125-F126)-1</f>
        <v>3.0577237496750787E-2</v>
      </c>
      <c r="G127" s="7"/>
      <c r="H127" s="7"/>
      <c r="I127" s="7"/>
    </row>
  </sheetData>
  <mergeCells count="5">
    <mergeCell ref="B79:C79"/>
    <mergeCell ref="B80:C80"/>
    <mergeCell ref="B81:C81"/>
    <mergeCell ref="B83:C83"/>
    <mergeCell ref="B89:H89"/>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4262-368A-42B0-A72F-11B35E1BB2BC}">
  <dimension ref="A1:R148"/>
  <sheetViews>
    <sheetView zoomScaleNormal="100" workbookViewId="0"/>
  </sheetViews>
  <sheetFormatPr defaultColWidth="8.85546875" defaultRowHeight="15.75"/>
  <cols>
    <col min="1" max="1" width="8.85546875" style="1" customWidth="1"/>
    <col min="2" max="10" width="11.7109375" style="1" customWidth="1"/>
    <col min="11" max="16384" width="8.85546875" style="1"/>
  </cols>
  <sheetData>
    <row r="1" spans="1:12" ht="18.75">
      <c r="A1" s="2" t="s">
        <v>190</v>
      </c>
      <c r="B1" s="4"/>
      <c r="C1" s="9" t="s">
        <v>114</v>
      </c>
      <c r="D1" s="4"/>
      <c r="E1" s="4"/>
      <c r="F1" s="4"/>
      <c r="G1" s="4"/>
      <c r="H1" s="4"/>
      <c r="I1" s="4"/>
      <c r="J1" s="4"/>
      <c r="K1" s="4"/>
      <c r="L1" s="3"/>
    </row>
    <row r="2" spans="1:12">
      <c r="A2" s="4"/>
      <c r="B2" s="4"/>
      <c r="C2" s="4"/>
      <c r="D2" s="4"/>
      <c r="E2" s="4"/>
      <c r="F2" s="4"/>
      <c r="G2" s="4"/>
      <c r="H2" s="4"/>
      <c r="I2" s="4"/>
      <c r="J2" s="4"/>
      <c r="K2" s="4"/>
      <c r="L2" s="3"/>
    </row>
    <row r="3" spans="1:12">
      <c r="A3" s="14" t="s">
        <v>191</v>
      </c>
      <c r="B3" s="40"/>
      <c r="C3" s="40"/>
      <c r="D3" s="40"/>
      <c r="E3" s="40"/>
      <c r="F3" s="40"/>
      <c r="G3" s="40"/>
      <c r="H3" s="40"/>
      <c r="I3" s="40"/>
      <c r="J3" s="9"/>
      <c r="K3" s="9"/>
      <c r="L3" s="9"/>
    </row>
    <row r="4" spans="1:12">
      <c r="A4" s="14"/>
      <c r="B4" s="40"/>
      <c r="C4" s="40"/>
      <c r="D4" s="40"/>
      <c r="E4" s="40"/>
      <c r="F4" s="40"/>
      <c r="G4" s="40"/>
      <c r="H4" s="40"/>
      <c r="I4" s="40"/>
      <c r="J4" s="9"/>
      <c r="K4" s="9"/>
      <c r="L4" s="9"/>
    </row>
    <row r="5" spans="1:12" ht="31.5">
      <c r="A5" s="9"/>
      <c r="B5" s="19" t="s">
        <v>79</v>
      </c>
      <c r="C5" s="19" t="s">
        <v>80</v>
      </c>
      <c r="D5" s="40"/>
      <c r="E5" s="40"/>
      <c r="F5" s="40"/>
      <c r="G5" s="40"/>
      <c r="H5" s="40"/>
      <c r="I5" s="40"/>
      <c r="J5" s="40"/>
      <c r="K5" s="9"/>
      <c r="L5" s="9"/>
    </row>
    <row r="6" spans="1:12">
      <c r="A6" s="9"/>
      <c r="B6" s="34">
        <v>2014</v>
      </c>
      <c r="C6" s="35">
        <v>15262</v>
      </c>
      <c r="D6" s="40"/>
      <c r="E6" s="40"/>
      <c r="F6" s="40"/>
      <c r="G6" s="40"/>
      <c r="H6" s="40"/>
      <c r="I6" s="40"/>
      <c r="J6" s="40"/>
      <c r="K6" s="9"/>
      <c r="L6" s="9"/>
    </row>
    <row r="7" spans="1:12">
      <c r="A7" s="9"/>
      <c r="B7" s="34">
        <v>2015</v>
      </c>
      <c r="C7" s="35">
        <v>15567</v>
      </c>
      <c r="D7" s="40"/>
      <c r="E7" s="40"/>
      <c r="F7" s="40"/>
      <c r="G7" s="40"/>
      <c r="H7" s="40"/>
      <c r="I7" s="40"/>
      <c r="J7" s="40"/>
      <c r="K7" s="9"/>
      <c r="L7" s="9"/>
    </row>
    <row r="8" spans="1:12">
      <c r="A8" s="9"/>
      <c r="B8" s="34">
        <v>2016</v>
      </c>
      <c r="C8" s="35">
        <v>15878</v>
      </c>
      <c r="D8" s="40"/>
      <c r="E8" s="40"/>
      <c r="F8" s="40"/>
      <c r="G8" s="40"/>
      <c r="H8" s="40"/>
      <c r="I8" s="40"/>
      <c r="J8" s="40"/>
      <c r="K8" s="9"/>
      <c r="L8" s="9"/>
    </row>
    <row r="9" spans="1:12">
      <c r="A9" s="9"/>
      <c r="B9" s="34">
        <v>2017</v>
      </c>
      <c r="C9" s="35">
        <v>16354</v>
      </c>
      <c r="D9" s="40"/>
      <c r="E9" s="40"/>
      <c r="F9" s="40"/>
      <c r="G9" s="40"/>
      <c r="H9" s="40"/>
      <c r="I9" s="40"/>
      <c r="J9" s="40"/>
      <c r="K9" s="9"/>
      <c r="L9" s="9"/>
    </row>
    <row r="10" spans="1:12">
      <c r="A10" s="9"/>
      <c r="B10" s="34">
        <v>2018</v>
      </c>
      <c r="C10" s="35">
        <v>16845</v>
      </c>
      <c r="D10" s="40"/>
      <c r="E10" s="40"/>
      <c r="F10" s="40"/>
      <c r="G10" s="40"/>
      <c r="H10" s="40"/>
      <c r="I10" s="40"/>
      <c r="J10" s="40"/>
      <c r="K10" s="9"/>
      <c r="L10" s="9"/>
    </row>
    <row r="11" spans="1:12">
      <c r="A11" s="9"/>
      <c r="B11" s="34">
        <v>2019</v>
      </c>
      <c r="C11" s="35">
        <v>17687</v>
      </c>
      <c r="D11" s="40"/>
      <c r="E11" s="40"/>
      <c r="F11" s="40"/>
      <c r="G11" s="40"/>
      <c r="H11" s="40"/>
      <c r="I11" s="40"/>
      <c r="J11" s="40"/>
      <c r="K11" s="9"/>
      <c r="L11" s="9"/>
    </row>
    <row r="12" spans="1:12">
      <c r="A12" s="9"/>
      <c r="B12" s="34">
        <v>2020</v>
      </c>
      <c r="C12" s="35">
        <v>19456</v>
      </c>
      <c r="D12" s="40"/>
      <c r="E12" s="40"/>
      <c r="F12" s="40"/>
      <c r="G12" s="40"/>
      <c r="H12" s="40"/>
      <c r="I12" s="40"/>
      <c r="J12" s="40"/>
      <c r="K12" s="9"/>
      <c r="L12" s="9"/>
    </row>
    <row r="13" spans="1:12">
      <c r="A13" s="9"/>
      <c r="B13" s="34">
        <v>2021</v>
      </c>
      <c r="C13" s="35">
        <v>24320</v>
      </c>
      <c r="D13" s="40"/>
      <c r="E13" s="40"/>
      <c r="F13" s="40"/>
      <c r="G13" s="40"/>
      <c r="H13" s="40"/>
      <c r="I13" s="40"/>
      <c r="J13" s="40"/>
      <c r="K13" s="9"/>
      <c r="L13" s="9"/>
    </row>
    <row r="14" spans="1:12">
      <c r="A14" s="9"/>
      <c r="B14" s="14"/>
      <c r="C14" s="40"/>
      <c r="D14" s="40"/>
      <c r="E14" s="40"/>
      <c r="F14" s="40"/>
      <c r="G14" s="40"/>
      <c r="H14" s="40"/>
      <c r="I14" s="40"/>
      <c r="J14" s="40"/>
      <c r="K14" s="9"/>
      <c r="L14" s="9"/>
    </row>
    <row r="15" spans="1:12">
      <c r="A15" s="9"/>
      <c r="B15" s="67" t="s">
        <v>192</v>
      </c>
      <c r="C15" s="313" t="s">
        <v>193</v>
      </c>
      <c r="D15" s="313"/>
      <c r="E15" s="313"/>
      <c r="F15" s="313"/>
      <c r="G15" s="313"/>
      <c r="H15" s="313"/>
      <c r="I15" s="313"/>
      <c r="J15" s="313"/>
      <c r="K15" s="9"/>
      <c r="L15" s="9"/>
    </row>
    <row r="16" spans="1:12">
      <c r="A16" s="9"/>
      <c r="B16" s="25" t="s">
        <v>194</v>
      </c>
      <c r="C16" s="38">
        <v>12</v>
      </c>
      <c r="D16" s="38">
        <v>24</v>
      </c>
      <c r="E16" s="38">
        <v>36</v>
      </c>
      <c r="F16" s="38">
        <v>48</v>
      </c>
      <c r="G16" s="38">
        <v>60</v>
      </c>
      <c r="H16" s="38">
        <v>72</v>
      </c>
      <c r="I16" s="38">
        <v>84</v>
      </c>
      <c r="J16" s="38">
        <v>96</v>
      </c>
      <c r="K16" s="9"/>
      <c r="L16" s="9"/>
    </row>
    <row r="17" spans="1:12">
      <c r="A17" s="9"/>
      <c r="B17" s="34">
        <v>2014</v>
      </c>
      <c r="C17" s="35">
        <v>311663</v>
      </c>
      <c r="D17" s="35">
        <v>795722</v>
      </c>
      <c r="E17" s="35">
        <v>1524180</v>
      </c>
      <c r="F17" s="35">
        <v>1990256</v>
      </c>
      <c r="G17" s="35">
        <v>2519542</v>
      </c>
      <c r="H17" s="35">
        <v>2855100</v>
      </c>
      <c r="I17" s="35">
        <v>3024598</v>
      </c>
      <c r="J17" s="35">
        <v>3150859</v>
      </c>
      <c r="K17" s="9"/>
      <c r="L17" s="9"/>
    </row>
    <row r="18" spans="1:12">
      <c r="A18" s="9"/>
      <c r="B18" s="34">
        <v>2015</v>
      </c>
      <c r="C18" s="35">
        <v>352341</v>
      </c>
      <c r="D18" s="35">
        <v>930301</v>
      </c>
      <c r="E18" s="35">
        <v>1580111</v>
      </c>
      <c r="F18" s="35">
        <v>2104607</v>
      </c>
      <c r="G18" s="35">
        <v>2700873</v>
      </c>
      <c r="H18" s="35">
        <v>3066239</v>
      </c>
      <c r="I18" s="35">
        <v>3334361</v>
      </c>
      <c r="J18" s="34"/>
      <c r="K18" s="9"/>
      <c r="L18" s="9"/>
    </row>
    <row r="19" spans="1:12">
      <c r="A19" s="9"/>
      <c r="B19" s="34">
        <v>2016</v>
      </c>
      <c r="C19" s="35">
        <v>328658</v>
      </c>
      <c r="D19" s="35">
        <v>1005033</v>
      </c>
      <c r="E19" s="35">
        <v>1875126</v>
      </c>
      <c r="F19" s="35">
        <v>2382118</v>
      </c>
      <c r="G19" s="35">
        <v>2941424</v>
      </c>
      <c r="H19" s="35">
        <v>3340680</v>
      </c>
      <c r="I19" s="34"/>
      <c r="J19" s="34"/>
      <c r="K19" s="9"/>
      <c r="L19" s="9"/>
    </row>
    <row r="20" spans="1:12">
      <c r="A20" s="9"/>
      <c r="B20" s="34">
        <v>2017</v>
      </c>
      <c r="C20" s="35">
        <v>365949</v>
      </c>
      <c r="D20" s="35">
        <v>1062531</v>
      </c>
      <c r="E20" s="35">
        <v>1891013</v>
      </c>
      <c r="F20" s="35">
        <v>2706041</v>
      </c>
      <c r="G20" s="35">
        <v>3211463</v>
      </c>
      <c r="H20" s="34"/>
      <c r="I20" s="34"/>
      <c r="J20" s="34"/>
      <c r="K20" s="9"/>
      <c r="L20" s="9"/>
    </row>
    <row r="21" spans="1:12">
      <c r="A21" s="9"/>
      <c r="B21" s="34">
        <v>2018</v>
      </c>
      <c r="C21" s="35">
        <v>484892</v>
      </c>
      <c r="D21" s="35">
        <v>1196440</v>
      </c>
      <c r="E21" s="35">
        <v>2104325</v>
      </c>
      <c r="F21" s="35">
        <v>3005560</v>
      </c>
      <c r="G21" s="34"/>
      <c r="H21" s="34"/>
      <c r="I21" s="34"/>
      <c r="J21" s="34"/>
      <c r="K21" s="9"/>
      <c r="L21" s="9"/>
    </row>
    <row r="22" spans="1:12">
      <c r="A22" s="9"/>
      <c r="B22" s="34">
        <v>2019</v>
      </c>
      <c r="C22" s="35">
        <v>520095</v>
      </c>
      <c r="D22" s="35">
        <v>1227907</v>
      </c>
      <c r="E22" s="35">
        <v>2385228</v>
      </c>
      <c r="F22" s="34"/>
      <c r="G22" s="34"/>
      <c r="H22" s="34"/>
      <c r="I22" s="34"/>
      <c r="J22" s="34"/>
      <c r="K22" s="9"/>
      <c r="L22" s="9"/>
    </row>
    <row r="23" spans="1:12">
      <c r="A23" s="9"/>
      <c r="B23" s="34">
        <v>2020</v>
      </c>
      <c r="C23" s="35">
        <v>535233</v>
      </c>
      <c r="D23" s="35">
        <v>1491676</v>
      </c>
      <c r="E23" s="34"/>
      <c r="F23" s="34"/>
      <c r="G23" s="34"/>
      <c r="H23" s="34"/>
      <c r="I23" s="34"/>
      <c r="J23" s="34"/>
      <c r="K23" s="9"/>
      <c r="L23" s="9"/>
    </row>
    <row r="24" spans="1:12">
      <c r="A24" s="9"/>
      <c r="B24" s="34">
        <v>2021</v>
      </c>
      <c r="C24" s="35">
        <v>766038</v>
      </c>
      <c r="D24" s="34"/>
      <c r="E24" s="34"/>
      <c r="F24" s="34"/>
      <c r="G24" s="34"/>
      <c r="H24" s="34"/>
      <c r="I24" s="34"/>
      <c r="J24" s="34"/>
      <c r="K24" s="9"/>
      <c r="L24" s="9"/>
    </row>
    <row r="25" spans="1:12">
      <c r="A25" s="9"/>
      <c r="B25" s="9"/>
      <c r="C25" s="9"/>
      <c r="D25" s="9"/>
      <c r="E25" s="9"/>
      <c r="F25" s="9"/>
      <c r="G25" s="9"/>
      <c r="H25" s="9"/>
      <c r="I25" s="9"/>
      <c r="J25" s="9"/>
      <c r="K25" s="9"/>
      <c r="L25" s="9"/>
    </row>
    <row r="26" spans="1:12">
      <c r="A26" s="9"/>
      <c r="B26" s="67" t="s">
        <v>192</v>
      </c>
      <c r="C26" s="325" t="s">
        <v>195</v>
      </c>
      <c r="D26" s="313"/>
      <c r="E26" s="313"/>
      <c r="F26" s="313"/>
      <c r="G26" s="313"/>
      <c r="H26" s="313"/>
      <c r="I26" s="313"/>
      <c r="J26" s="313"/>
      <c r="K26" s="9"/>
      <c r="L26" s="9"/>
    </row>
    <row r="27" spans="1:12">
      <c r="A27" s="9"/>
      <c r="B27" s="25" t="s">
        <v>194</v>
      </c>
      <c r="C27" s="65">
        <v>44919</v>
      </c>
      <c r="D27" s="38" t="s">
        <v>50</v>
      </c>
      <c r="E27" s="38" t="s">
        <v>51</v>
      </c>
      <c r="F27" s="38" t="s">
        <v>52</v>
      </c>
      <c r="G27" s="38" t="s">
        <v>53</v>
      </c>
      <c r="H27" s="38" t="s">
        <v>196</v>
      </c>
      <c r="I27" s="38" t="s">
        <v>197</v>
      </c>
      <c r="J27" s="38" t="s">
        <v>198</v>
      </c>
      <c r="K27" s="9"/>
      <c r="L27" s="9"/>
    </row>
    <row r="28" spans="1:12">
      <c r="A28" s="9"/>
      <c r="B28" s="66">
        <v>2014</v>
      </c>
      <c r="C28" s="44">
        <v>2.5529999999999999</v>
      </c>
      <c r="D28" s="44">
        <v>1.915</v>
      </c>
      <c r="E28" s="44">
        <v>1.306</v>
      </c>
      <c r="F28" s="44">
        <v>1.266</v>
      </c>
      <c r="G28" s="44">
        <v>1.133</v>
      </c>
      <c r="H28" s="44">
        <v>1.0589999999999999</v>
      </c>
      <c r="I28" s="44">
        <v>1.042</v>
      </c>
      <c r="J28" s="44"/>
      <c r="K28" s="9"/>
      <c r="L28" s="9"/>
    </row>
    <row r="29" spans="1:12">
      <c r="A29" s="9"/>
      <c r="B29" s="34">
        <v>2015</v>
      </c>
      <c r="C29" s="44">
        <v>2.64</v>
      </c>
      <c r="D29" s="44">
        <v>1.698</v>
      </c>
      <c r="E29" s="44">
        <v>1.3320000000000001</v>
      </c>
      <c r="F29" s="44">
        <v>1.2829999999999999</v>
      </c>
      <c r="G29" s="44">
        <v>1.135</v>
      </c>
      <c r="H29" s="44">
        <v>1.087</v>
      </c>
      <c r="I29" s="44"/>
      <c r="J29" s="44"/>
      <c r="K29" s="9"/>
      <c r="L29" s="9"/>
    </row>
    <row r="30" spans="1:12">
      <c r="A30" s="9"/>
      <c r="B30" s="34">
        <v>2016</v>
      </c>
      <c r="C30" s="44">
        <v>3.0579999999999998</v>
      </c>
      <c r="D30" s="44">
        <v>1.8660000000000001</v>
      </c>
      <c r="E30" s="44">
        <v>1.27</v>
      </c>
      <c r="F30" s="44">
        <v>1.2350000000000001</v>
      </c>
      <c r="G30" s="44">
        <v>1.1359999999999999</v>
      </c>
      <c r="H30" s="44"/>
      <c r="I30" s="44"/>
      <c r="J30" s="44"/>
      <c r="K30" s="9"/>
      <c r="L30" s="9"/>
    </row>
    <row r="31" spans="1:12">
      <c r="A31" s="9"/>
      <c r="B31" s="34">
        <v>2017</v>
      </c>
      <c r="C31" s="44">
        <v>2.903</v>
      </c>
      <c r="D31" s="44">
        <v>1.78</v>
      </c>
      <c r="E31" s="44">
        <v>1.431</v>
      </c>
      <c r="F31" s="44">
        <v>1.1870000000000001</v>
      </c>
      <c r="G31" s="44"/>
      <c r="H31" s="44"/>
      <c r="I31" s="44"/>
      <c r="J31" s="44"/>
      <c r="K31" s="9"/>
      <c r="L31" s="9"/>
    </row>
    <row r="32" spans="1:12">
      <c r="A32" s="9"/>
      <c r="B32" s="34">
        <v>2018</v>
      </c>
      <c r="C32" s="44">
        <v>2.4670000000000001</v>
      </c>
      <c r="D32" s="44">
        <v>1.7589999999999999</v>
      </c>
      <c r="E32" s="44">
        <v>1.4279999999999999</v>
      </c>
      <c r="F32" s="44"/>
      <c r="G32" s="44"/>
      <c r="H32" s="44"/>
      <c r="I32" s="44"/>
      <c r="J32" s="44"/>
      <c r="K32" s="9"/>
      <c r="L32" s="9"/>
    </row>
    <row r="33" spans="1:18">
      <c r="A33" s="9"/>
      <c r="B33" s="34">
        <v>2019</v>
      </c>
      <c r="C33" s="44">
        <v>2.3610000000000002</v>
      </c>
      <c r="D33" s="44">
        <v>1.9430000000000001</v>
      </c>
      <c r="E33" s="44"/>
      <c r="F33" s="44"/>
      <c r="G33" s="44"/>
      <c r="H33" s="44"/>
      <c r="I33" s="44"/>
      <c r="J33" s="44"/>
      <c r="K33" s="9"/>
      <c r="L33" s="9"/>
    </row>
    <row r="34" spans="1:18">
      <c r="A34" s="9"/>
      <c r="B34" s="34">
        <v>2020</v>
      </c>
      <c r="C34" s="44">
        <v>2.7869999999999999</v>
      </c>
      <c r="D34" s="44"/>
      <c r="E34" s="44"/>
      <c r="F34" s="44"/>
      <c r="G34" s="44"/>
      <c r="H34" s="44"/>
      <c r="I34" s="44"/>
      <c r="J34" s="63"/>
      <c r="K34" s="9"/>
      <c r="L34" s="9"/>
    </row>
    <row r="35" spans="1:18">
      <c r="A35" s="9"/>
      <c r="B35" s="38" t="s">
        <v>199</v>
      </c>
      <c r="C35" s="64">
        <v>2.681</v>
      </c>
      <c r="D35" s="64">
        <v>1.827</v>
      </c>
      <c r="E35" s="64">
        <v>1.353</v>
      </c>
      <c r="F35" s="64">
        <v>1.2430000000000001</v>
      </c>
      <c r="G35" s="64">
        <v>1.135</v>
      </c>
      <c r="H35" s="64">
        <v>1.073</v>
      </c>
      <c r="I35" s="64">
        <v>1.042</v>
      </c>
      <c r="J35" s="64">
        <v>1</v>
      </c>
      <c r="K35" s="9"/>
      <c r="L35" s="9"/>
    </row>
    <row r="36" spans="1:18">
      <c r="A36" s="14"/>
      <c r="B36" s="40"/>
      <c r="C36" s="40"/>
      <c r="D36" s="40"/>
      <c r="E36" s="40"/>
      <c r="F36" s="40"/>
      <c r="G36" s="40"/>
      <c r="H36" s="40"/>
      <c r="I36" s="40"/>
      <c r="J36" s="9"/>
      <c r="K36" s="9"/>
      <c r="L36" s="9"/>
    </row>
    <row r="37" spans="1:18">
      <c r="A37" s="9" t="s">
        <v>200</v>
      </c>
      <c r="B37" s="40"/>
      <c r="C37" s="40"/>
      <c r="D37" s="40"/>
      <c r="E37" s="40"/>
      <c r="F37" s="40"/>
      <c r="G37" s="40"/>
      <c r="H37" s="40"/>
      <c r="I37" s="40"/>
      <c r="J37" s="9"/>
      <c r="K37" s="9"/>
      <c r="L37" s="9"/>
    </row>
    <row r="38" spans="1:18">
      <c r="A38" s="9"/>
      <c r="B38" s="9"/>
      <c r="C38" s="9"/>
      <c r="D38" s="9"/>
      <c r="E38" s="9"/>
      <c r="F38" s="9"/>
      <c r="G38" s="9"/>
      <c r="H38" s="9"/>
      <c r="I38" s="9"/>
      <c r="J38" s="9"/>
      <c r="K38" s="9"/>
      <c r="L38" s="9"/>
    </row>
    <row r="39" spans="1:18">
      <c r="A39" s="7"/>
      <c r="B39" s="7"/>
      <c r="C39" s="7"/>
      <c r="D39" s="7"/>
      <c r="E39" s="7"/>
      <c r="F39" s="7"/>
      <c r="G39" s="7"/>
      <c r="H39" s="7"/>
      <c r="I39" s="7"/>
      <c r="J39" s="7"/>
      <c r="K39" s="7"/>
      <c r="L39" s="7"/>
    </row>
    <row r="40" spans="1:18">
      <c r="A40" s="6" t="s">
        <v>4</v>
      </c>
      <c r="B40" s="9" t="s">
        <v>201</v>
      </c>
      <c r="C40" s="4"/>
      <c r="D40" s="4"/>
      <c r="E40" s="4"/>
      <c r="F40" s="4"/>
      <c r="G40" s="4"/>
      <c r="H40" s="4"/>
      <c r="I40" s="4"/>
      <c r="J40" s="4"/>
      <c r="K40" s="4"/>
      <c r="L40" s="4"/>
      <c r="M40" s="8"/>
      <c r="N40" s="8"/>
      <c r="O40" s="8"/>
      <c r="P40" s="8"/>
      <c r="Q40" s="8"/>
      <c r="R40" s="8"/>
    </row>
    <row r="41" spans="1:18">
      <c r="A41" s="3"/>
      <c r="B41" s="3"/>
      <c r="C41" s="3"/>
      <c r="D41" s="3"/>
      <c r="E41" s="3"/>
      <c r="F41" s="3"/>
      <c r="G41" s="4"/>
      <c r="H41" s="4"/>
      <c r="I41" s="4"/>
      <c r="J41" s="4"/>
      <c r="K41" s="4"/>
      <c r="L41" s="4"/>
    </row>
    <row r="42" spans="1:18">
      <c r="A42" s="7"/>
      <c r="B42" s="7"/>
      <c r="C42" s="7"/>
      <c r="D42" s="7"/>
      <c r="E42" s="7"/>
      <c r="F42" s="7"/>
      <c r="G42" s="7"/>
      <c r="H42" s="7"/>
      <c r="I42" s="7"/>
      <c r="J42" s="7"/>
      <c r="K42" s="7"/>
      <c r="L42" s="7"/>
      <c r="M42" s="7"/>
    </row>
    <row r="43" spans="1:18">
      <c r="A43" s="7" t="s">
        <v>1</v>
      </c>
      <c r="B43" s="7"/>
      <c r="C43" s="7"/>
      <c r="D43" s="7"/>
      <c r="E43" s="7"/>
      <c r="F43" s="7"/>
      <c r="G43" s="7"/>
      <c r="H43" s="7"/>
      <c r="I43" s="7"/>
      <c r="J43" s="7"/>
      <c r="K43" s="7"/>
      <c r="L43" s="7"/>
      <c r="M43" s="7"/>
      <c r="N43" s="8"/>
    </row>
    <row r="44" spans="1:18" ht="31.5">
      <c r="A44" s="7"/>
      <c r="B44" s="168" t="s">
        <v>690</v>
      </c>
      <c r="C44" s="168" t="s">
        <v>691</v>
      </c>
      <c r="D44" s="168" t="s">
        <v>692</v>
      </c>
      <c r="E44" s="168" t="s">
        <v>88</v>
      </c>
      <c r="F44" s="168" t="s">
        <v>544</v>
      </c>
      <c r="G44" s="7"/>
      <c r="H44" s="7"/>
      <c r="I44" s="7"/>
      <c r="J44" s="7"/>
      <c r="K44" s="7"/>
      <c r="L44" s="7"/>
      <c r="M44" s="7"/>
      <c r="N44" s="8"/>
    </row>
    <row r="45" spans="1:18">
      <c r="A45" s="7"/>
      <c r="B45" s="122">
        <f>B17</f>
        <v>2014</v>
      </c>
      <c r="C45" s="151">
        <f ca="1">OFFSET($J$35,0,(2014-B45),1,1)</f>
        <v>1</v>
      </c>
      <c r="D45" s="151">
        <f ca="1">C45</f>
        <v>1</v>
      </c>
      <c r="E45" s="157">
        <f ca="1">OFFSET($J$17,(B45-2014),(2014-B45),1,1)</f>
        <v>3150859</v>
      </c>
      <c r="F45" s="157">
        <f ca="1">E45*D45</f>
        <v>3150859</v>
      </c>
      <c r="G45" s="7"/>
      <c r="H45" s="7"/>
      <c r="I45" s="7"/>
      <c r="J45" s="7"/>
      <c r="K45" s="7"/>
      <c r="L45" s="7"/>
      <c r="M45" s="7"/>
      <c r="N45" s="8"/>
    </row>
    <row r="46" spans="1:18">
      <c r="A46" s="7"/>
      <c r="B46" s="122">
        <f t="shared" ref="B46:B52" si="0">B18</f>
        <v>2015</v>
      </c>
      <c r="C46" s="151">
        <f t="shared" ref="C46:C52" ca="1" si="1">OFFSET($J$35,0,(2014-B46),1,1)</f>
        <v>1.042</v>
      </c>
      <c r="D46" s="151">
        <f ca="1">C46*D45</f>
        <v>1.042</v>
      </c>
      <c r="E46" s="157">
        <f t="shared" ref="E46:E52" ca="1" si="2">OFFSET($J$17,(B46-2014),(2014-B46),1,1)</f>
        <v>3334361</v>
      </c>
      <c r="F46" s="157">
        <f t="shared" ref="F46:F52" ca="1" si="3">E46*D46</f>
        <v>3474404.162</v>
      </c>
      <c r="G46" s="7"/>
      <c r="H46" s="7"/>
      <c r="I46" s="7"/>
      <c r="J46" s="7"/>
      <c r="K46" s="7"/>
      <c r="L46" s="7"/>
      <c r="M46" s="7"/>
      <c r="N46" s="8"/>
    </row>
    <row r="47" spans="1:18">
      <c r="A47" s="7"/>
      <c r="B47" s="122">
        <f t="shared" si="0"/>
        <v>2016</v>
      </c>
      <c r="C47" s="151">
        <f t="shared" ca="1" si="1"/>
        <v>1.073</v>
      </c>
      <c r="D47" s="151">
        <f t="shared" ref="D47:D52" ca="1" si="4">C47*D46</f>
        <v>1.118066</v>
      </c>
      <c r="E47" s="157">
        <f t="shared" ca="1" si="2"/>
        <v>3340680</v>
      </c>
      <c r="F47" s="157">
        <f t="shared" ca="1" si="3"/>
        <v>3735100.7248800001</v>
      </c>
      <c r="G47" s="7"/>
      <c r="H47" s="7"/>
      <c r="I47" s="7"/>
      <c r="J47" s="7"/>
      <c r="K47" s="7"/>
      <c r="L47" s="7"/>
      <c r="M47" s="7"/>
      <c r="N47" s="8"/>
    </row>
    <row r="48" spans="1:18">
      <c r="A48" s="7"/>
      <c r="B48" s="122">
        <f t="shared" si="0"/>
        <v>2017</v>
      </c>
      <c r="C48" s="151">
        <f t="shared" ca="1" si="1"/>
        <v>1.135</v>
      </c>
      <c r="D48" s="151">
        <f t="shared" ca="1" si="4"/>
        <v>1.26900491</v>
      </c>
      <c r="E48" s="157">
        <f t="shared" ca="1" si="2"/>
        <v>3211463</v>
      </c>
      <c r="F48" s="157">
        <f t="shared" ca="1" si="3"/>
        <v>4075362.3152833302</v>
      </c>
      <c r="G48" s="7"/>
      <c r="H48" s="7"/>
      <c r="I48" s="7"/>
      <c r="J48" s="7"/>
      <c r="K48" s="7"/>
      <c r="L48" s="7"/>
      <c r="M48" s="7"/>
      <c r="N48" s="8"/>
    </row>
    <row r="49" spans="1:14">
      <c r="A49" s="7"/>
      <c r="B49" s="122">
        <f t="shared" si="0"/>
        <v>2018</v>
      </c>
      <c r="C49" s="151">
        <f t="shared" ca="1" si="1"/>
        <v>1.2430000000000001</v>
      </c>
      <c r="D49" s="151">
        <f t="shared" ca="1" si="4"/>
        <v>1.5773731031300002</v>
      </c>
      <c r="E49" s="157">
        <f t="shared" ca="1" si="2"/>
        <v>3005560</v>
      </c>
      <c r="F49" s="157">
        <f t="shared" ca="1" si="3"/>
        <v>4740889.5038434034</v>
      </c>
      <c r="G49" s="7"/>
      <c r="H49" s="7"/>
      <c r="I49" s="7"/>
      <c r="J49" s="7"/>
      <c r="K49" s="7"/>
      <c r="L49" s="7"/>
      <c r="M49" s="7"/>
      <c r="N49" s="8"/>
    </row>
    <row r="50" spans="1:14">
      <c r="A50" s="7"/>
      <c r="B50" s="122">
        <f t="shared" si="0"/>
        <v>2019</v>
      </c>
      <c r="C50" s="151">
        <f t="shared" ca="1" si="1"/>
        <v>1.353</v>
      </c>
      <c r="D50" s="151">
        <f t="shared" ca="1" si="4"/>
        <v>2.1341858085348901</v>
      </c>
      <c r="E50" s="157">
        <f t="shared" ca="1" si="2"/>
        <v>2385228</v>
      </c>
      <c r="F50" s="157">
        <f t="shared" ca="1" si="3"/>
        <v>5090519.747720059</v>
      </c>
      <c r="G50" s="7"/>
      <c r="H50" s="7"/>
      <c r="I50" s="7"/>
      <c r="J50" s="7"/>
      <c r="K50" s="7"/>
      <c r="L50" s="7"/>
      <c r="M50" s="7"/>
      <c r="N50" s="8"/>
    </row>
    <row r="51" spans="1:14">
      <c r="B51" s="122">
        <f t="shared" si="0"/>
        <v>2020</v>
      </c>
      <c r="C51" s="151">
        <f t="shared" ca="1" si="1"/>
        <v>1.827</v>
      </c>
      <c r="D51" s="151">
        <f t="shared" ca="1" si="4"/>
        <v>3.8991574721932443</v>
      </c>
      <c r="E51" s="157">
        <f t="shared" ca="1" si="2"/>
        <v>1491676</v>
      </c>
      <c r="F51" s="157">
        <f t="shared" ca="1" si="3"/>
        <v>5816279.6214913297</v>
      </c>
      <c r="M51" s="8"/>
      <c r="N51" s="8"/>
    </row>
    <row r="52" spans="1:14">
      <c r="B52" s="167">
        <f t="shared" si="0"/>
        <v>2021</v>
      </c>
      <c r="C52" s="154">
        <f t="shared" ca="1" si="1"/>
        <v>2.681</v>
      </c>
      <c r="D52" s="154">
        <f t="shared" ca="1" si="4"/>
        <v>10.453641182950088</v>
      </c>
      <c r="E52" s="292">
        <f t="shared" ca="1" si="2"/>
        <v>766038</v>
      </c>
      <c r="F52" s="292">
        <f t="shared" ca="1" si="3"/>
        <v>8007886.3845047196</v>
      </c>
      <c r="M52" s="8"/>
      <c r="N52" s="8"/>
    </row>
    <row r="53" spans="1:14">
      <c r="B53" s="110" t="s">
        <v>83</v>
      </c>
      <c r="C53" s="188"/>
      <c r="D53" s="188"/>
      <c r="E53" s="157">
        <f ca="1">SUM(E45:E52)</f>
        <v>20685865</v>
      </c>
      <c r="F53" s="157">
        <f ca="1">SUM(F45:F52)</f>
        <v>38091301.459722847</v>
      </c>
      <c r="M53" s="8"/>
      <c r="N53" s="8"/>
    </row>
    <row r="55" spans="1:14">
      <c r="A55" s="6" t="s">
        <v>5</v>
      </c>
      <c r="B55" s="9" t="s">
        <v>379</v>
      </c>
      <c r="C55" s="4"/>
      <c r="D55" s="4"/>
      <c r="E55" s="4"/>
      <c r="F55" s="4"/>
      <c r="G55" s="4"/>
      <c r="H55" s="4"/>
      <c r="I55" s="4"/>
      <c r="J55" s="4"/>
      <c r="K55" s="4"/>
      <c r="L55" s="4"/>
    </row>
    <row r="56" spans="1:14">
      <c r="A56" s="3"/>
      <c r="B56" s="3"/>
      <c r="C56" s="3"/>
      <c r="D56" s="3"/>
      <c r="E56" s="3"/>
      <c r="F56" s="3"/>
      <c r="G56" s="4"/>
      <c r="H56" s="4"/>
      <c r="I56" s="4"/>
      <c r="J56" s="4"/>
      <c r="K56" s="4"/>
      <c r="L56" s="4"/>
    </row>
    <row r="57" spans="1:14">
      <c r="A57" s="7"/>
      <c r="B57" s="7"/>
      <c r="C57" s="7"/>
      <c r="D57" s="7"/>
      <c r="E57" s="7"/>
      <c r="F57" s="7"/>
      <c r="G57" s="7"/>
      <c r="H57" s="7"/>
      <c r="I57" s="7"/>
      <c r="J57" s="7"/>
      <c r="K57" s="7"/>
      <c r="L57" s="7"/>
    </row>
    <row r="58" spans="1:14">
      <c r="A58" s="7" t="s">
        <v>1</v>
      </c>
      <c r="B58" s="7"/>
      <c r="C58" s="7"/>
      <c r="D58" s="7"/>
      <c r="E58" s="7"/>
      <c r="F58" s="7"/>
      <c r="G58" s="7"/>
      <c r="H58" s="7"/>
      <c r="I58" s="7"/>
      <c r="J58" s="7"/>
      <c r="K58" s="7"/>
      <c r="L58" s="7"/>
    </row>
    <row r="59" spans="1:14">
      <c r="A59" s="7"/>
      <c r="B59" s="293" t="s">
        <v>472</v>
      </c>
      <c r="C59" s="7"/>
      <c r="D59" s="7"/>
      <c r="E59" s="7"/>
      <c r="F59" s="7"/>
      <c r="G59" s="7"/>
      <c r="H59" s="7"/>
      <c r="I59" s="7"/>
      <c r="J59" s="7"/>
      <c r="K59" s="7"/>
      <c r="L59" s="7"/>
    </row>
    <row r="60" spans="1:14">
      <c r="A60" s="7"/>
      <c r="B60" s="294" t="s">
        <v>693</v>
      </c>
      <c r="C60" s="7"/>
      <c r="D60" s="7"/>
      <c r="E60" s="7"/>
      <c r="F60" s="7"/>
      <c r="G60" s="7"/>
      <c r="H60" s="7"/>
      <c r="I60" s="7"/>
      <c r="J60" s="7"/>
      <c r="K60" s="7"/>
      <c r="L60" s="7"/>
    </row>
    <row r="61" spans="1:14">
      <c r="A61" s="7"/>
      <c r="B61" s="7"/>
      <c r="C61" s="7"/>
      <c r="D61" s="7"/>
      <c r="E61" s="7"/>
      <c r="F61" s="7"/>
      <c r="G61" s="7"/>
      <c r="H61" s="7"/>
      <c r="I61" s="7"/>
      <c r="J61" s="7"/>
      <c r="K61" s="7"/>
      <c r="L61" s="7"/>
    </row>
    <row r="62" spans="1:14">
      <c r="A62" s="7"/>
      <c r="B62" s="7" t="s">
        <v>695</v>
      </c>
      <c r="C62" s="7"/>
      <c r="D62" s="7"/>
      <c r="E62" s="7"/>
      <c r="F62" s="7"/>
      <c r="G62" s="7"/>
      <c r="H62" s="7"/>
      <c r="I62" s="7"/>
      <c r="J62" s="7"/>
      <c r="K62" s="7"/>
      <c r="L62" s="7"/>
    </row>
    <row r="63" spans="1:14">
      <c r="B63" s="1" t="s">
        <v>694</v>
      </c>
      <c r="M63" s="7"/>
    </row>
    <row r="65" spans="1:12">
      <c r="A65" s="6" t="s">
        <v>0</v>
      </c>
      <c r="B65" s="9" t="s">
        <v>202</v>
      </c>
      <c r="C65" s="4"/>
      <c r="D65" s="4"/>
      <c r="E65" s="4"/>
      <c r="F65" s="4"/>
      <c r="G65" s="4"/>
      <c r="H65" s="4"/>
      <c r="I65" s="4"/>
      <c r="J65" s="4"/>
      <c r="K65" s="4"/>
      <c r="L65" s="4"/>
    </row>
    <row r="66" spans="1:12">
      <c r="A66" s="3"/>
      <c r="B66" s="3"/>
      <c r="C66" s="3"/>
      <c r="D66" s="3"/>
      <c r="E66" s="3"/>
      <c r="F66" s="3"/>
      <c r="G66" s="4"/>
      <c r="H66" s="4"/>
      <c r="I66" s="4"/>
      <c r="J66" s="4"/>
      <c r="K66" s="4"/>
      <c r="L66" s="4"/>
    </row>
    <row r="67" spans="1:12">
      <c r="A67" s="7"/>
      <c r="B67" s="7"/>
      <c r="C67" s="7"/>
      <c r="D67" s="7"/>
      <c r="E67" s="7"/>
      <c r="F67" s="7"/>
      <c r="G67" s="7"/>
      <c r="H67" s="7"/>
      <c r="I67" s="7"/>
      <c r="J67" s="7"/>
      <c r="K67" s="7"/>
      <c r="L67" s="7"/>
    </row>
    <row r="68" spans="1:12">
      <c r="A68" s="7" t="s">
        <v>1</v>
      </c>
      <c r="B68" s="7"/>
      <c r="C68" s="7"/>
      <c r="D68" s="7"/>
      <c r="E68" s="7"/>
      <c r="F68" s="7"/>
      <c r="G68" s="7"/>
      <c r="H68" s="7"/>
      <c r="I68" s="7"/>
      <c r="J68" s="7"/>
      <c r="K68" s="7"/>
      <c r="L68" s="7"/>
    </row>
    <row r="69" spans="1:12">
      <c r="A69" s="7"/>
      <c r="B69" s="7" t="s">
        <v>698</v>
      </c>
      <c r="C69" s="7"/>
      <c r="D69" s="7"/>
      <c r="E69" s="7" t="s">
        <v>696</v>
      </c>
      <c r="F69" s="7"/>
      <c r="G69" s="7"/>
      <c r="H69" s="7"/>
      <c r="I69" s="7"/>
      <c r="J69" s="7"/>
      <c r="K69" s="7"/>
      <c r="L69" s="7"/>
    </row>
    <row r="70" spans="1:12">
      <c r="A70" s="7"/>
      <c r="B70" s="7" t="s">
        <v>699</v>
      </c>
      <c r="C70" s="7"/>
      <c r="D70" s="7"/>
      <c r="E70" s="7" t="s">
        <v>697</v>
      </c>
      <c r="F70" s="7"/>
      <c r="G70" s="7"/>
      <c r="H70" s="7"/>
      <c r="I70" s="7"/>
      <c r="J70" s="7"/>
      <c r="K70" s="7"/>
      <c r="L70" s="7"/>
    </row>
    <row r="72" spans="1:12">
      <c r="A72" s="12" t="s">
        <v>2</v>
      </c>
      <c r="B72" s="9" t="s">
        <v>203</v>
      </c>
      <c r="C72" s="9"/>
      <c r="D72" s="9"/>
      <c r="E72" s="9"/>
      <c r="F72" s="9"/>
      <c r="G72" s="4"/>
      <c r="H72" s="4"/>
      <c r="I72" s="4"/>
      <c r="J72" s="4"/>
      <c r="K72" s="4"/>
      <c r="L72" s="4"/>
    </row>
    <row r="73" spans="1:12">
      <c r="A73" s="12"/>
      <c r="B73" s="9"/>
      <c r="C73" s="9"/>
      <c r="D73" s="9"/>
      <c r="E73" s="9"/>
      <c r="F73" s="9"/>
      <c r="G73" s="4"/>
      <c r="H73" s="4"/>
      <c r="I73" s="4"/>
      <c r="J73" s="4"/>
      <c r="K73" s="4"/>
      <c r="L73" s="4"/>
    </row>
    <row r="74" spans="1:12">
      <c r="A74" s="12"/>
      <c r="B74" s="14" t="s">
        <v>204</v>
      </c>
      <c r="C74" s="9"/>
      <c r="D74" s="9"/>
      <c r="E74" s="9"/>
      <c r="F74" s="9"/>
      <c r="G74" s="4"/>
      <c r="H74" s="4"/>
      <c r="I74" s="4"/>
      <c r="J74" s="4"/>
      <c r="K74" s="4"/>
      <c r="L74" s="4"/>
    </row>
    <row r="75" spans="1:12">
      <c r="A75" s="12"/>
      <c r="B75" s="14"/>
      <c r="C75" s="9"/>
      <c r="D75" s="9"/>
      <c r="E75" s="9"/>
      <c r="F75" s="9"/>
      <c r="G75" s="4"/>
      <c r="H75" s="4"/>
      <c r="I75" s="4"/>
      <c r="J75" s="4"/>
      <c r="K75" s="4"/>
      <c r="L75" s="4"/>
    </row>
    <row r="76" spans="1:12">
      <c r="A76" s="12"/>
      <c r="B76" s="14" t="s">
        <v>205</v>
      </c>
      <c r="C76" s="9"/>
      <c r="D76" s="9"/>
      <c r="E76" s="9"/>
      <c r="F76" s="9"/>
      <c r="G76" s="4"/>
      <c r="H76" s="4"/>
      <c r="I76" s="4"/>
      <c r="J76" s="4"/>
      <c r="K76" s="4"/>
      <c r="L76" s="4"/>
    </row>
    <row r="77" spans="1:12">
      <c r="A77" s="3"/>
      <c r="B77" s="3"/>
      <c r="C77" s="3"/>
      <c r="D77" s="3"/>
      <c r="E77" s="3"/>
      <c r="F77" s="3"/>
      <c r="G77" s="4"/>
      <c r="H77" s="4"/>
      <c r="I77" s="4"/>
      <c r="J77" s="4"/>
      <c r="K77" s="4"/>
      <c r="L77" s="4"/>
    </row>
    <row r="78" spans="1:12">
      <c r="A78" s="7"/>
      <c r="B78" s="7"/>
      <c r="C78" s="7"/>
      <c r="D78" s="7"/>
      <c r="E78" s="7"/>
      <c r="F78" s="7"/>
      <c r="G78" s="7"/>
      <c r="H78" s="7"/>
      <c r="I78" s="7"/>
      <c r="J78" s="7"/>
      <c r="K78" s="7"/>
      <c r="L78" s="7"/>
    </row>
    <row r="79" spans="1:12">
      <c r="A79" s="7" t="s">
        <v>1</v>
      </c>
      <c r="B79" s="7"/>
      <c r="C79" s="7"/>
      <c r="D79" s="7"/>
      <c r="E79" s="7"/>
      <c r="F79" s="7"/>
      <c r="G79" s="7"/>
      <c r="H79" s="7"/>
      <c r="I79" s="7"/>
      <c r="J79" s="7"/>
      <c r="K79" s="7"/>
      <c r="L79" s="7"/>
    </row>
    <row r="80" spans="1:12">
      <c r="A80" s="7"/>
      <c r="B80" s="293" t="s">
        <v>472</v>
      </c>
      <c r="C80" s="7"/>
      <c r="D80" s="7"/>
      <c r="E80" s="7"/>
      <c r="F80" s="7"/>
      <c r="G80" s="7"/>
      <c r="H80" s="7"/>
      <c r="I80" s="7"/>
      <c r="J80" s="7"/>
      <c r="K80" s="7"/>
      <c r="L80" s="7"/>
    </row>
    <row r="81" spans="1:13">
      <c r="A81" s="7"/>
      <c r="B81" s="294" t="s">
        <v>693</v>
      </c>
      <c r="C81" s="7"/>
      <c r="D81" s="7"/>
      <c r="E81" s="7"/>
      <c r="F81" s="7"/>
      <c r="G81" s="7"/>
      <c r="H81" s="7"/>
      <c r="I81" s="7"/>
      <c r="J81" s="7"/>
      <c r="K81" s="7"/>
      <c r="L81" s="7"/>
    </row>
    <row r="82" spans="1:13">
      <c r="B82" s="7"/>
      <c r="C82" s="7"/>
      <c r="D82" s="7"/>
      <c r="E82" s="7"/>
    </row>
    <row r="83" spans="1:13">
      <c r="B83" s="7" t="s">
        <v>700</v>
      </c>
      <c r="C83" s="283" t="s">
        <v>702</v>
      </c>
      <c r="D83" s="7"/>
      <c r="E83" s="7"/>
      <c r="M83" s="7"/>
    </row>
    <row r="84" spans="1:13">
      <c r="B84" s="7"/>
      <c r="C84" s="7"/>
      <c r="D84" s="7"/>
      <c r="E84" s="7"/>
    </row>
    <row r="85" spans="1:13">
      <c r="B85" s="7" t="s">
        <v>701</v>
      </c>
      <c r="C85" s="283" t="s">
        <v>723</v>
      </c>
      <c r="D85" s="7"/>
      <c r="E85" s="7"/>
    </row>
    <row r="87" spans="1:13">
      <c r="A87" s="3"/>
      <c r="B87" s="3"/>
      <c r="C87" s="3"/>
      <c r="D87" s="3"/>
      <c r="E87" s="3"/>
      <c r="F87" s="3"/>
      <c r="G87" s="4"/>
      <c r="H87" s="4"/>
      <c r="I87" s="4"/>
      <c r="J87" s="4"/>
      <c r="K87" s="4"/>
      <c r="L87" s="4"/>
    </row>
    <row r="88" spans="1:13">
      <c r="A88" s="303" t="s">
        <v>343</v>
      </c>
      <c r="B88" s="303"/>
      <c r="C88" s="303"/>
      <c r="D88" s="303"/>
      <c r="E88" s="303"/>
      <c r="F88" s="303"/>
      <c r="G88" s="303"/>
      <c r="H88" s="303"/>
      <c r="I88" s="303"/>
      <c r="J88" s="303"/>
      <c r="K88" s="303"/>
      <c r="L88" s="4"/>
    </row>
    <row r="89" spans="1:13">
      <c r="A89" s="303"/>
      <c r="B89" s="303"/>
      <c r="C89" s="303"/>
      <c r="D89" s="303"/>
      <c r="E89" s="303"/>
      <c r="F89" s="303"/>
      <c r="G89" s="303"/>
      <c r="H89" s="303"/>
      <c r="I89" s="303"/>
      <c r="J89" s="303"/>
      <c r="K89" s="303"/>
      <c r="L89" s="4"/>
    </row>
    <row r="90" spans="1:13">
      <c r="A90" s="14"/>
      <c r="B90" s="40"/>
      <c r="C90" s="40"/>
      <c r="D90" s="40"/>
      <c r="E90" s="40"/>
      <c r="F90" s="40"/>
      <c r="G90" s="40"/>
      <c r="H90" s="40"/>
      <c r="I90" s="40"/>
      <c r="J90" s="9"/>
      <c r="K90" s="4"/>
      <c r="L90" s="4"/>
    </row>
    <row r="91" spans="1:13">
      <c r="A91" s="9"/>
      <c r="B91" s="67" t="s">
        <v>192</v>
      </c>
      <c r="C91" s="325" t="s">
        <v>87</v>
      </c>
      <c r="D91" s="313"/>
      <c r="E91" s="313"/>
      <c r="F91" s="313"/>
      <c r="G91" s="313"/>
      <c r="H91" s="313"/>
      <c r="I91" s="313"/>
      <c r="J91" s="313"/>
      <c r="K91" s="4"/>
      <c r="L91" s="4"/>
    </row>
    <row r="92" spans="1:13">
      <c r="A92" s="9"/>
      <c r="B92" s="25" t="s">
        <v>194</v>
      </c>
      <c r="C92" s="68">
        <v>12</v>
      </c>
      <c r="D92" s="38">
        <v>24</v>
      </c>
      <c r="E92" s="38">
        <v>36</v>
      </c>
      <c r="F92" s="38">
        <v>48</v>
      </c>
      <c r="G92" s="38">
        <v>60</v>
      </c>
      <c r="H92" s="38">
        <v>72</v>
      </c>
      <c r="I92" s="38">
        <v>84</v>
      </c>
      <c r="J92" s="38">
        <v>96</v>
      </c>
      <c r="K92" s="4"/>
      <c r="L92" s="4"/>
    </row>
    <row r="93" spans="1:13">
      <c r="A93" s="9"/>
      <c r="B93" s="66">
        <v>2014</v>
      </c>
      <c r="C93" s="35">
        <v>1088401</v>
      </c>
      <c r="D93" s="35">
        <v>1741208</v>
      </c>
      <c r="E93" s="35">
        <v>2337117</v>
      </c>
      <c r="F93" s="35">
        <v>2631768</v>
      </c>
      <c r="G93" s="35">
        <v>2873302</v>
      </c>
      <c r="H93" s="35">
        <v>3049220</v>
      </c>
      <c r="I93" s="35">
        <v>3131069</v>
      </c>
      <c r="J93" s="35">
        <v>3161268</v>
      </c>
      <c r="K93" s="4"/>
      <c r="L93" s="4"/>
    </row>
    <row r="94" spans="1:13">
      <c r="A94" s="9"/>
      <c r="B94" s="34">
        <v>2015</v>
      </c>
      <c r="C94" s="35">
        <v>1161528</v>
      </c>
      <c r="D94" s="35">
        <v>1901037</v>
      </c>
      <c r="E94" s="35">
        <v>2526912</v>
      </c>
      <c r="F94" s="35">
        <v>2874782</v>
      </c>
      <c r="G94" s="35">
        <v>3135434</v>
      </c>
      <c r="H94" s="35">
        <v>3337066</v>
      </c>
      <c r="I94" s="35">
        <v>3454115</v>
      </c>
      <c r="J94" s="34"/>
      <c r="K94" s="4"/>
      <c r="L94" s="4"/>
    </row>
    <row r="95" spans="1:13">
      <c r="A95" s="9"/>
      <c r="B95" s="34">
        <v>2016</v>
      </c>
      <c r="C95" s="35">
        <v>1274210</v>
      </c>
      <c r="D95" s="35">
        <v>2056524</v>
      </c>
      <c r="E95" s="35">
        <v>2786565</v>
      </c>
      <c r="F95" s="35">
        <v>3137931</v>
      </c>
      <c r="G95" s="35">
        <v>3421518</v>
      </c>
      <c r="H95" s="35">
        <v>3684648</v>
      </c>
      <c r="I95" s="34"/>
      <c r="J95" s="34"/>
      <c r="K95" s="4"/>
      <c r="L95" s="4"/>
    </row>
    <row r="96" spans="1:13">
      <c r="A96" s="9"/>
      <c r="B96" s="34">
        <v>2017</v>
      </c>
      <c r="C96" s="35">
        <v>1351653</v>
      </c>
      <c r="D96" s="35">
        <v>2242800</v>
      </c>
      <c r="E96" s="35">
        <v>3042803</v>
      </c>
      <c r="F96" s="35">
        <v>3409629</v>
      </c>
      <c r="G96" s="35">
        <v>3787476</v>
      </c>
      <c r="H96" s="34"/>
      <c r="I96" s="34"/>
      <c r="J96" s="34"/>
      <c r="K96" s="4"/>
      <c r="L96" s="4"/>
    </row>
    <row r="97" spans="1:12">
      <c r="A97" s="9"/>
      <c r="B97" s="34">
        <v>2018</v>
      </c>
      <c r="C97" s="35">
        <v>1545679</v>
      </c>
      <c r="D97" s="35">
        <v>2512220</v>
      </c>
      <c r="E97" s="35">
        <v>3394929</v>
      </c>
      <c r="F97" s="35">
        <v>3878344</v>
      </c>
      <c r="G97" s="34"/>
      <c r="H97" s="34"/>
      <c r="I97" s="34"/>
      <c r="J97" s="34"/>
      <c r="K97" s="4"/>
      <c r="L97" s="4"/>
    </row>
    <row r="98" spans="1:12">
      <c r="A98" s="9"/>
      <c r="B98" s="34">
        <v>2019</v>
      </c>
      <c r="C98" s="35">
        <v>1785869</v>
      </c>
      <c r="D98" s="35">
        <v>2834493</v>
      </c>
      <c r="E98" s="35">
        <v>3997935</v>
      </c>
      <c r="F98" s="34"/>
      <c r="G98" s="34"/>
      <c r="H98" s="34"/>
      <c r="I98" s="34"/>
      <c r="J98" s="34"/>
      <c r="K98" s="4"/>
      <c r="L98" s="4"/>
    </row>
    <row r="99" spans="1:12">
      <c r="A99" s="9"/>
      <c r="B99" s="34">
        <v>2020</v>
      </c>
      <c r="C99" s="35">
        <v>2050810</v>
      </c>
      <c r="D99" s="35">
        <v>3596409</v>
      </c>
      <c r="E99" s="34"/>
      <c r="F99" s="34"/>
      <c r="G99" s="34"/>
      <c r="H99" s="34"/>
      <c r="I99" s="34"/>
      <c r="J99" s="34"/>
      <c r="K99" s="4"/>
      <c r="L99" s="4"/>
    </row>
    <row r="100" spans="1:12">
      <c r="A100" s="9"/>
      <c r="B100" s="34">
        <v>2021</v>
      </c>
      <c r="C100" s="35">
        <v>3028985</v>
      </c>
      <c r="D100" s="34"/>
      <c r="E100" s="34"/>
      <c r="F100" s="34"/>
      <c r="G100" s="34"/>
      <c r="H100" s="34"/>
      <c r="I100" s="34"/>
      <c r="J100" s="34"/>
      <c r="K100" s="4"/>
      <c r="L100" s="4"/>
    </row>
    <row r="101" spans="1:12">
      <c r="A101" s="9"/>
      <c r="B101" s="9"/>
      <c r="C101" s="9"/>
      <c r="D101" s="9"/>
      <c r="E101" s="9"/>
      <c r="F101" s="9"/>
      <c r="G101" s="9"/>
      <c r="H101" s="9"/>
      <c r="I101" s="9"/>
      <c r="J101" s="9"/>
      <c r="K101" s="4"/>
      <c r="L101" s="4"/>
    </row>
    <row r="102" spans="1:12">
      <c r="A102" s="9"/>
      <c r="B102" s="67" t="s">
        <v>192</v>
      </c>
      <c r="C102" s="313" t="s">
        <v>206</v>
      </c>
      <c r="D102" s="313"/>
      <c r="E102" s="313"/>
      <c r="F102" s="313"/>
      <c r="G102" s="313"/>
      <c r="H102" s="313"/>
      <c r="I102" s="313"/>
      <c r="J102" s="313"/>
      <c r="K102" s="4"/>
      <c r="L102" s="4"/>
    </row>
    <row r="103" spans="1:12">
      <c r="A103" s="9"/>
      <c r="B103" s="25" t="s">
        <v>194</v>
      </c>
      <c r="C103" s="62">
        <v>44919</v>
      </c>
      <c r="D103" s="38" t="s">
        <v>50</v>
      </c>
      <c r="E103" s="38" t="s">
        <v>51</v>
      </c>
      <c r="F103" s="38" t="s">
        <v>52</v>
      </c>
      <c r="G103" s="38" t="s">
        <v>53</v>
      </c>
      <c r="H103" s="38" t="s">
        <v>196</v>
      </c>
      <c r="I103" s="38" t="s">
        <v>197</v>
      </c>
      <c r="J103" s="38" t="s">
        <v>198</v>
      </c>
      <c r="K103" s="4"/>
      <c r="L103" s="4"/>
    </row>
    <row r="104" spans="1:12">
      <c r="A104" s="9"/>
      <c r="B104" s="34">
        <v>2014</v>
      </c>
      <c r="C104" s="44">
        <v>1.6</v>
      </c>
      <c r="D104" s="44">
        <v>1.3420000000000001</v>
      </c>
      <c r="E104" s="44">
        <v>1.1259999999999999</v>
      </c>
      <c r="F104" s="44">
        <v>1.0920000000000001</v>
      </c>
      <c r="G104" s="44">
        <v>1.0609999999999999</v>
      </c>
      <c r="H104" s="44">
        <v>1.0269999999999999</v>
      </c>
      <c r="I104" s="44">
        <v>1.01</v>
      </c>
      <c r="J104" s="44"/>
      <c r="K104" s="4"/>
      <c r="L104" s="4"/>
    </row>
    <row r="105" spans="1:12">
      <c r="A105" s="9"/>
      <c r="B105" s="34">
        <v>2015</v>
      </c>
      <c r="C105" s="44">
        <v>1.637</v>
      </c>
      <c r="D105" s="44">
        <v>1.329</v>
      </c>
      <c r="E105" s="44">
        <v>1.1379999999999999</v>
      </c>
      <c r="F105" s="44">
        <v>1.091</v>
      </c>
      <c r="G105" s="44">
        <v>1.0640000000000001</v>
      </c>
      <c r="H105" s="44">
        <v>1.0349999999999999</v>
      </c>
      <c r="I105" s="44"/>
      <c r="J105" s="44"/>
      <c r="K105" s="4"/>
      <c r="L105" s="4"/>
    </row>
    <row r="106" spans="1:12">
      <c r="A106" s="9"/>
      <c r="B106" s="34">
        <v>2016</v>
      </c>
      <c r="C106" s="44">
        <v>1.6140000000000001</v>
      </c>
      <c r="D106" s="44">
        <v>1.355</v>
      </c>
      <c r="E106" s="44">
        <v>1.1259999999999999</v>
      </c>
      <c r="F106" s="44">
        <v>1.0900000000000001</v>
      </c>
      <c r="G106" s="44">
        <v>1.077</v>
      </c>
      <c r="H106" s="44"/>
      <c r="I106" s="44"/>
      <c r="J106" s="44"/>
      <c r="K106" s="4"/>
      <c r="L106" s="4"/>
    </row>
    <row r="107" spans="1:12">
      <c r="A107" s="9"/>
      <c r="B107" s="34">
        <v>2017</v>
      </c>
      <c r="C107" s="44">
        <v>1.659</v>
      </c>
      <c r="D107" s="44">
        <v>1.357</v>
      </c>
      <c r="E107" s="44">
        <v>1.121</v>
      </c>
      <c r="F107" s="44">
        <v>1.111</v>
      </c>
      <c r="G107" s="44"/>
      <c r="H107" s="44"/>
      <c r="I107" s="44"/>
      <c r="J107" s="44"/>
      <c r="K107" s="4"/>
      <c r="L107" s="4"/>
    </row>
    <row r="108" spans="1:12">
      <c r="A108" s="9"/>
      <c r="B108" s="34">
        <v>2018</v>
      </c>
      <c r="C108" s="44">
        <v>1.625</v>
      </c>
      <c r="D108" s="44">
        <v>1.351</v>
      </c>
      <c r="E108" s="44">
        <v>1.1419999999999999</v>
      </c>
      <c r="F108" s="44"/>
      <c r="G108" s="44"/>
      <c r="H108" s="44"/>
      <c r="I108" s="44"/>
      <c r="J108" s="44"/>
      <c r="K108" s="4"/>
      <c r="L108" s="4"/>
    </row>
    <row r="109" spans="1:12">
      <c r="A109" s="9"/>
      <c r="B109" s="34">
        <v>2019</v>
      </c>
      <c r="C109" s="44">
        <v>1.587</v>
      </c>
      <c r="D109" s="44">
        <v>1.41</v>
      </c>
      <c r="E109" s="44"/>
      <c r="F109" s="44"/>
      <c r="G109" s="44"/>
      <c r="H109" s="44"/>
      <c r="I109" s="44"/>
      <c r="J109" s="44"/>
      <c r="K109" s="4"/>
      <c r="L109" s="4"/>
    </row>
    <row r="110" spans="1:12">
      <c r="A110" s="9"/>
      <c r="B110" s="34">
        <v>2020</v>
      </c>
      <c r="C110" s="44">
        <v>1.754</v>
      </c>
      <c r="D110" s="44"/>
      <c r="E110" s="44"/>
      <c r="F110" s="44"/>
      <c r="G110" s="44"/>
      <c r="H110" s="44"/>
      <c r="I110" s="44"/>
      <c r="J110" s="63"/>
      <c r="K110" s="4"/>
      <c r="L110" s="4"/>
    </row>
    <row r="111" spans="1:12">
      <c r="A111" s="9"/>
      <c r="B111" s="38" t="s">
        <v>199</v>
      </c>
      <c r="C111" s="64">
        <v>1.639</v>
      </c>
      <c r="D111" s="64">
        <v>1.357</v>
      </c>
      <c r="E111" s="64">
        <v>1.131</v>
      </c>
      <c r="F111" s="64">
        <v>1.0960000000000001</v>
      </c>
      <c r="G111" s="64">
        <v>1.0669999999999999</v>
      </c>
      <c r="H111" s="64">
        <v>1.0309999999999999</v>
      </c>
      <c r="I111" s="64">
        <v>1.01</v>
      </c>
      <c r="J111" s="64">
        <v>1.01</v>
      </c>
      <c r="K111" s="4"/>
      <c r="L111" s="4"/>
    </row>
    <row r="112" spans="1:12">
      <c r="A112" s="3"/>
      <c r="B112" s="3"/>
      <c r="C112" s="3"/>
      <c r="D112" s="3"/>
      <c r="E112" s="3"/>
      <c r="F112" s="3"/>
      <c r="G112" s="4"/>
      <c r="H112" s="4"/>
      <c r="I112" s="4"/>
      <c r="J112" s="4"/>
      <c r="K112" s="4"/>
      <c r="L112" s="4"/>
    </row>
    <row r="114" spans="1:12">
      <c r="A114" s="6" t="s">
        <v>3</v>
      </c>
      <c r="B114" s="9" t="s">
        <v>207</v>
      </c>
      <c r="C114" s="4"/>
      <c r="D114" s="4"/>
      <c r="E114" s="4"/>
      <c r="F114" s="4"/>
      <c r="G114" s="4"/>
      <c r="H114" s="4"/>
      <c r="I114" s="4"/>
      <c r="J114" s="4"/>
      <c r="K114" s="4"/>
      <c r="L114" s="4"/>
    </row>
    <row r="115" spans="1:12">
      <c r="A115" s="3"/>
      <c r="B115" s="3"/>
      <c r="C115" s="3"/>
      <c r="D115" s="3"/>
      <c r="E115" s="3"/>
      <c r="F115" s="3"/>
      <c r="G115" s="4"/>
      <c r="H115" s="4"/>
      <c r="I115" s="4"/>
      <c r="J115" s="4"/>
      <c r="K115" s="4"/>
      <c r="L115" s="4"/>
    </row>
    <row r="116" spans="1:12">
      <c r="A116" s="7"/>
      <c r="B116" s="7"/>
      <c r="C116" s="7"/>
      <c r="D116" s="7"/>
      <c r="E116" s="7"/>
      <c r="F116" s="7"/>
      <c r="G116" s="7"/>
      <c r="H116" s="7"/>
      <c r="I116" s="7"/>
      <c r="J116" s="7"/>
      <c r="K116" s="7"/>
      <c r="L116" s="7"/>
    </row>
    <row r="117" spans="1:12">
      <c r="A117" s="7" t="s">
        <v>1</v>
      </c>
      <c r="B117" s="7"/>
      <c r="C117" s="7"/>
      <c r="D117" s="7"/>
      <c r="E117" s="7"/>
      <c r="F117" s="7"/>
      <c r="G117" s="7"/>
      <c r="H117" s="7"/>
      <c r="I117" s="7"/>
      <c r="J117" s="7"/>
      <c r="K117" s="7"/>
      <c r="L117" s="7"/>
    </row>
    <row r="118" spans="1:12" ht="31.5">
      <c r="A118" s="7"/>
      <c r="B118" s="168" t="s">
        <v>690</v>
      </c>
      <c r="C118" s="168" t="s">
        <v>691</v>
      </c>
      <c r="D118" s="168" t="s">
        <v>692</v>
      </c>
      <c r="E118" s="168" t="s">
        <v>87</v>
      </c>
      <c r="F118" s="168" t="s">
        <v>544</v>
      </c>
      <c r="G118" s="7"/>
      <c r="H118" s="7"/>
      <c r="I118" s="7"/>
      <c r="J118" s="7"/>
      <c r="K118" s="7"/>
      <c r="L118" s="7"/>
    </row>
    <row r="119" spans="1:12">
      <c r="A119" s="7"/>
      <c r="B119" s="122">
        <f>B93</f>
        <v>2014</v>
      </c>
      <c r="C119" s="278">
        <f ca="1">OFFSET($J$111,0,(2014-B119),1,1)</f>
        <v>1.01</v>
      </c>
      <c r="D119" s="278">
        <f ca="1">C119</f>
        <v>1.01</v>
      </c>
      <c r="E119" s="157">
        <f ca="1">OFFSET($J$93,(B119-2014),(2014-B119),1,1)</f>
        <v>3161268</v>
      </c>
      <c r="F119" s="157">
        <f ca="1">E119*D119</f>
        <v>3192880.68</v>
      </c>
      <c r="G119" s="7"/>
      <c r="H119" s="7"/>
      <c r="I119" s="7"/>
      <c r="J119" s="7"/>
      <c r="K119" s="7"/>
      <c r="L119" s="7"/>
    </row>
    <row r="120" spans="1:12">
      <c r="A120" s="7"/>
      <c r="B120" s="122">
        <f t="shared" ref="B120:B126" si="5">B94</f>
        <v>2015</v>
      </c>
      <c r="C120" s="278">
        <f t="shared" ref="C120:C126" ca="1" si="6">OFFSET($J$111,0,(2014-B120),1,1)</f>
        <v>1.01</v>
      </c>
      <c r="D120" s="278">
        <f ca="1">C120*D119</f>
        <v>1.0201</v>
      </c>
      <c r="E120" s="157">
        <f t="shared" ref="E120:E126" ca="1" si="7">OFFSET($J$93,(B120-2014),(2014-B120),1,1)</f>
        <v>3454115</v>
      </c>
      <c r="F120" s="157">
        <f t="shared" ref="F120:F126" ca="1" si="8">E120*D120</f>
        <v>3523542.7115000002</v>
      </c>
      <c r="G120" s="7"/>
      <c r="H120" s="7"/>
      <c r="I120" s="7"/>
      <c r="J120" s="7"/>
      <c r="K120" s="7"/>
      <c r="L120" s="7"/>
    </row>
    <row r="121" spans="1:12">
      <c r="A121" s="7"/>
      <c r="B121" s="122">
        <f t="shared" si="5"/>
        <v>2016</v>
      </c>
      <c r="C121" s="278">
        <f t="shared" ca="1" si="6"/>
        <v>1.0309999999999999</v>
      </c>
      <c r="D121" s="278">
        <f t="shared" ref="D121:D126" ca="1" si="9">C121*D120</f>
        <v>1.0517231</v>
      </c>
      <c r="E121" s="157">
        <f t="shared" ca="1" si="7"/>
        <v>3684648</v>
      </c>
      <c r="F121" s="157">
        <f t="shared" ca="1" si="8"/>
        <v>3875229.4169688001</v>
      </c>
      <c r="G121" s="7"/>
      <c r="H121" s="7"/>
      <c r="I121" s="7"/>
      <c r="J121" s="7"/>
      <c r="K121" s="7"/>
      <c r="L121" s="7"/>
    </row>
    <row r="122" spans="1:12">
      <c r="A122" s="7"/>
      <c r="B122" s="122">
        <f t="shared" si="5"/>
        <v>2017</v>
      </c>
      <c r="C122" s="278">
        <f t="shared" ca="1" si="6"/>
        <v>1.0669999999999999</v>
      </c>
      <c r="D122" s="278">
        <f t="shared" ca="1" si="9"/>
        <v>1.1221885477</v>
      </c>
      <c r="E122" s="157">
        <f t="shared" ca="1" si="7"/>
        <v>3787476</v>
      </c>
      <c r="F122" s="157">
        <f t="shared" ca="1" si="8"/>
        <v>4250262.1918886052</v>
      </c>
      <c r="G122" s="7"/>
      <c r="H122" s="7"/>
      <c r="I122" s="7"/>
      <c r="J122" s="7"/>
      <c r="K122" s="7"/>
      <c r="L122" s="7"/>
    </row>
    <row r="123" spans="1:12">
      <c r="A123" s="7"/>
      <c r="B123" s="122">
        <f t="shared" si="5"/>
        <v>2018</v>
      </c>
      <c r="C123" s="278">
        <f t="shared" ca="1" si="6"/>
        <v>1.0960000000000001</v>
      </c>
      <c r="D123" s="278">
        <f t="shared" ca="1" si="9"/>
        <v>1.2299186482792002</v>
      </c>
      <c r="E123" s="157">
        <f t="shared" ca="1" si="7"/>
        <v>3878344</v>
      </c>
      <c r="F123" s="157">
        <f t="shared" ca="1" si="8"/>
        <v>4770047.6100417459</v>
      </c>
      <c r="G123" s="7"/>
      <c r="H123" s="7"/>
      <c r="I123" s="7"/>
      <c r="J123" s="7"/>
      <c r="K123" s="7"/>
      <c r="L123" s="7"/>
    </row>
    <row r="124" spans="1:12">
      <c r="B124" s="122">
        <f t="shared" si="5"/>
        <v>2019</v>
      </c>
      <c r="C124" s="278">
        <f t="shared" ca="1" si="6"/>
        <v>1.131</v>
      </c>
      <c r="D124" s="278">
        <f t="shared" ca="1" si="9"/>
        <v>1.3910379912037754</v>
      </c>
      <c r="E124" s="157">
        <f t="shared" ca="1" si="7"/>
        <v>3997935</v>
      </c>
      <c r="F124" s="157">
        <f t="shared" ca="1" si="8"/>
        <v>5561279.471363266</v>
      </c>
    </row>
    <row r="125" spans="1:12">
      <c r="B125" s="122">
        <f t="shared" si="5"/>
        <v>2020</v>
      </c>
      <c r="C125" s="278">
        <f t="shared" ca="1" si="6"/>
        <v>1.357</v>
      </c>
      <c r="D125" s="278">
        <f t="shared" ca="1" si="9"/>
        <v>1.8876385540635232</v>
      </c>
      <c r="E125" s="157">
        <f t="shared" ca="1" si="7"/>
        <v>3596409</v>
      </c>
      <c r="F125" s="157">
        <f t="shared" ca="1" si="8"/>
        <v>6788720.2845810419</v>
      </c>
    </row>
    <row r="126" spans="1:12">
      <c r="B126" s="167">
        <f t="shared" si="5"/>
        <v>2021</v>
      </c>
      <c r="C126" s="285">
        <f t="shared" ca="1" si="6"/>
        <v>1.639</v>
      </c>
      <c r="D126" s="285">
        <f t="shared" ca="1" si="9"/>
        <v>3.0938395901101146</v>
      </c>
      <c r="E126" s="292">
        <f t="shared" ca="1" si="7"/>
        <v>3028985</v>
      </c>
      <c r="F126" s="292">
        <f t="shared" ca="1" si="8"/>
        <v>9371193.7108496856</v>
      </c>
    </row>
    <row r="127" spans="1:12">
      <c r="B127" s="110" t="s">
        <v>83</v>
      </c>
      <c r="C127" s="188"/>
      <c r="D127" s="188"/>
      <c r="E127" s="157">
        <f ca="1">SUM(E119:E126)</f>
        <v>28589180</v>
      </c>
      <c r="F127" s="157">
        <f ca="1">SUM(F119:F126)</f>
        <v>41333156.077193141</v>
      </c>
    </row>
    <row r="129" spans="1:12">
      <c r="A129" s="6" t="s">
        <v>7</v>
      </c>
      <c r="B129" s="9" t="s">
        <v>208</v>
      </c>
      <c r="C129" s="4"/>
      <c r="D129" s="4"/>
      <c r="E129" s="4"/>
      <c r="F129" s="4"/>
      <c r="G129" s="4"/>
      <c r="H129" s="4"/>
      <c r="I129" s="4"/>
      <c r="J129" s="4"/>
      <c r="K129" s="4"/>
      <c r="L129" s="4"/>
    </row>
    <row r="130" spans="1:12">
      <c r="A130" s="3"/>
      <c r="B130" s="3"/>
      <c r="C130" s="3"/>
      <c r="D130" s="3"/>
      <c r="E130" s="3"/>
      <c r="F130" s="3"/>
      <c r="G130" s="4"/>
      <c r="H130" s="4"/>
      <c r="I130" s="4"/>
      <c r="J130" s="4"/>
      <c r="K130" s="4"/>
      <c r="L130" s="4"/>
    </row>
    <row r="131" spans="1:12">
      <c r="A131" s="7"/>
      <c r="B131" s="7"/>
      <c r="C131" s="7"/>
      <c r="D131" s="7"/>
      <c r="E131" s="7"/>
      <c r="F131" s="7"/>
      <c r="G131" s="7"/>
      <c r="H131" s="7"/>
      <c r="I131" s="7"/>
      <c r="J131" s="7"/>
      <c r="K131" s="7"/>
      <c r="L131" s="7"/>
    </row>
    <row r="132" spans="1:12">
      <c r="A132" s="7" t="s">
        <v>1</v>
      </c>
      <c r="B132" s="7"/>
      <c r="C132" s="7"/>
      <c r="D132" s="7"/>
      <c r="E132" s="7"/>
      <c r="F132" s="7"/>
      <c r="G132" s="7"/>
      <c r="H132" s="7"/>
      <c r="I132" s="7"/>
      <c r="J132" s="7"/>
      <c r="K132" s="7"/>
      <c r="L132" s="7"/>
    </row>
    <row r="133" spans="1:12">
      <c r="A133" s="7"/>
      <c r="B133" s="7"/>
      <c r="C133" s="7"/>
      <c r="D133" s="7"/>
      <c r="E133" s="7"/>
      <c r="F133" s="7"/>
      <c r="G133" s="7"/>
      <c r="H133" s="7"/>
      <c r="I133" s="7"/>
      <c r="J133" s="7"/>
      <c r="K133" s="7"/>
      <c r="L133" s="7"/>
    </row>
    <row r="134" spans="1:12">
      <c r="B134" s="1" t="s">
        <v>703</v>
      </c>
    </row>
    <row r="135" spans="1:12">
      <c r="B135" s="1" t="s">
        <v>704</v>
      </c>
    </row>
    <row r="137" spans="1:12">
      <c r="A137" s="3"/>
      <c r="B137" s="3"/>
      <c r="C137" s="3"/>
      <c r="D137" s="3"/>
      <c r="E137" s="3"/>
      <c r="F137" s="3"/>
      <c r="G137" s="4"/>
      <c r="H137" s="4"/>
      <c r="I137" s="4"/>
      <c r="J137" s="4"/>
      <c r="K137" s="4"/>
      <c r="L137" s="4"/>
    </row>
    <row r="138" spans="1:12">
      <c r="A138" s="299" t="s">
        <v>209</v>
      </c>
      <c r="B138" s="299"/>
      <c r="C138" s="299"/>
      <c r="D138" s="299"/>
      <c r="E138" s="299"/>
      <c r="F138" s="299"/>
      <c r="G138" s="299"/>
      <c r="H138" s="299"/>
      <c r="I138" s="299"/>
      <c r="J138" s="299"/>
      <c r="K138" s="299"/>
      <c r="L138" s="4"/>
    </row>
    <row r="139" spans="1:12">
      <c r="A139" s="299"/>
      <c r="B139" s="299"/>
      <c r="C139" s="299"/>
      <c r="D139" s="299"/>
      <c r="E139" s="299"/>
      <c r="F139" s="299"/>
      <c r="G139" s="299"/>
      <c r="H139" s="299"/>
      <c r="I139" s="299"/>
      <c r="J139" s="299"/>
      <c r="K139" s="299"/>
      <c r="L139" s="4"/>
    </row>
    <row r="140" spans="1:12">
      <c r="A140" s="3"/>
      <c r="B140" s="3"/>
      <c r="C140" s="3"/>
      <c r="D140" s="3"/>
      <c r="E140" s="3"/>
      <c r="F140" s="3"/>
      <c r="G140" s="4"/>
      <c r="H140" s="4"/>
      <c r="I140" s="4"/>
      <c r="J140" s="4"/>
      <c r="K140" s="4"/>
      <c r="L140" s="4"/>
    </row>
    <row r="142" spans="1:12">
      <c r="A142" s="6" t="s">
        <v>8</v>
      </c>
      <c r="B142" s="9" t="s">
        <v>210</v>
      </c>
      <c r="C142" s="4"/>
      <c r="D142" s="4"/>
      <c r="E142" s="4"/>
      <c r="F142" s="4"/>
      <c r="G142" s="4"/>
      <c r="H142" s="4"/>
      <c r="I142" s="4"/>
      <c r="J142" s="4"/>
      <c r="K142" s="4"/>
      <c r="L142" s="4"/>
    </row>
    <row r="143" spans="1:12">
      <c r="A143" s="3"/>
      <c r="B143" s="3"/>
      <c r="C143" s="3"/>
      <c r="D143" s="3"/>
      <c r="E143" s="3"/>
      <c r="F143" s="3"/>
      <c r="G143" s="4"/>
      <c r="H143" s="4"/>
      <c r="I143" s="4"/>
      <c r="J143" s="4"/>
      <c r="K143" s="4"/>
      <c r="L143" s="4"/>
    </row>
    <row r="144" spans="1:12">
      <c r="A144" s="7"/>
      <c r="B144" s="7"/>
      <c r="C144" s="7"/>
      <c r="D144" s="7"/>
      <c r="E144" s="7"/>
      <c r="F144" s="7"/>
      <c r="G144" s="7"/>
      <c r="H144" s="7"/>
      <c r="I144" s="7"/>
      <c r="J144" s="7"/>
      <c r="K144" s="7"/>
      <c r="L144" s="7"/>
    </row>
    <row r="145" spans="1:12">
      <c r="A145" s="7" t="s">
        <v>1</v>
      </c>
      <c r="B145" s="7"/>
      <c r="C145" s="7"/>
      <c r="D145" s="7"/>
      <c r="E145" s="7"/>
      <c r="F145" s="7"/>
      <c r="G145" s="7"/>
      <c r="H145" s="7"/>
      <c r="I145" s="7"/>
      <c r="J145" s="7"/>
      <c r="K145" s="7"/>
      <c r="L145" s="7"/>
    </row>
    <row r="146" spans="1:12">
      <c r="A146" s="7"/>
      <c r="B146" s="7" t="s">
        <v>705</v>
      </c>
      <c r="C146" s="7"/>
      <c r="D146" s="7"/>
      <c r="E146" s="7"/>
      <c r="F146" s="7"/>
      <c r="G146" s="7"/>
      <c r="H146" s="7"/>
      <c r="I146" s="7"/>
      <c r="J146" s="7"/>
      <c r="K146" s="7"/>
      <c r="L146" s="7"/>
    </row>
    <row r="147" spans="1:12">
      <c r="A147" s="7"/>
      <c r="B147" s="7" t="s">
        <v>706</v>
      </c>
      <c r="C147" s="7"/>
      <c r="D147" s="7"/>
      <c r="E147" s="7"/>
      <c r="F147" s="7"/>
      <c r="G147" s="7"/>
      <c r="H147" s="7"/>
      <c r="I147" s="7"/>
      <c r="J147" s="7"/>
      <c r="K147" s="7"/>
      <c r="L147" s="7"/>
    </row>
    <row r="148" spans="1:12">
      <c r="B148" s="1" t="s">
        <v>707</v>
      </c>
    </row>
  </sheetData>
  <mergeCells count="6">
    <mergeCell ref="C15:J15"/>
    <mergeCell ref="C26:J26"/>
    <mergeCell ref="C91:J91"/>
    <mergeCell ref="C102:J102"/>
    <mergeCell ref="A138:K139"/>
    <mergeCell ref="A88:K89"/>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4ED60-AAA4-4370-A76B-29E4136B18B4}">
  <dimension ref="A1:R84"/>
  <sheetViews>
    <sheetView zoomScaleNormal="100" workbookViewId="0"/>
  </sheetViews>
  <sheetFormatPr defaultColWidth="8.85546875" defaultRowHeight="15.75"/>
  <cols>
    <col min="1" max="1" width="8.85546875" style="1" customWidth="1"/>
    <col min="2" max="2" width="16.7109375" style="1" customWidth="1"/>
    <col min="3" max="6" width="17.7109375" style="1" customWidth="1"/>
    <col min="7" max="7" width="8.85546875" style="1"/>
    <col min="8" max="8" width="8.85546875" style="1" customWidth="1"/>
    <col min="9" max="16384" width="8.85546875" style="1"/>
  </cols>
  <sheetData>
    <row r="1" spans="1:12" ht="18.75">
      <c r="A1" s="2" t="s">
        <v>211</v>
      </c>
      <c r="B1" s="4"/>
      <c r="C1" s="9" t="s">
        <v>11</v>
      </c>
      <c r="D1" s="4"/>
      <c r="E1" s="4"/>
      <c r="F1" s="4"/>
      <c r="G1" s="4"/>
      <c r="H1" s="4"/>
      <c r="I1" s="4"/>
      <c r="J1" s="4"/>
      <c r="K1" s="4"/>
      <c r="L1" s="3"/>
    </row>
    <row r="2" spans="1:12">
      <c r="A2" s="4"/>
      <c r="B2" s="4"/>
      <c r="C2" s="4"/>
      <c r="D2" s="4"/>
      <c r="E2" s="4"/>
      <c r="F2" s="4"/>
      <c r="G2" s="4"/>
      <c r="H2" s="4"/>
      <c r="I2" s="4"/>
      <c r="J2" s="4"/>
      <c r="K2" s="4"/>
      <c r="L2" s="3"/>
    </row>
    <row r="3" spans="1:12">
      <c r="A3" s="14" t="s">
        <v>360</v>
      </c>
      <c r="B3" s="16"/>
      <c r="C3" s="16"/>
      <c r="D3" s="16"/>
      <c r="E3" s="9"/>
      <c r="F3" s="9"/>
      <c r="G3" s="9"/>
      <c r="H3" s="9"/>
      <c r="I3" s="9"/>
      <c r="J3" s="9"/>
      <c r="K3" s="4"/>
      <c r="L3" s="3"/>
    </row>
    <row r="4" spans="1:12">
      <c r="A4" s="14"/>
      <c r="B4" s="16"/>
      <c r="C4" s="16"/>
      <c r="D4" s="16"/>
      <c r="E4" s="9"/>
      <c r="F4" s="9"/>
      <c r="G4" s="9"/>
      <c r="H4" s="9"/>
      <c r="I4" s="9"/>
      <c r="J4" s="9"/>
      <c r="K4" s="9"/>
      <c r="L4" s="9"/>
    </row>
    <row r="5" spans="1:12" ht="47.25">
      <c r="A5" s="9"/>
      <c r="B5" s="30" t="s">
        <v>212</v>
      </c>
      <c r="C5" s="30" t="s">
        <v>213</v>
      </c>
      <c r="D5" s="30" t="s">
        <v>214</v>
      </c>
      <c r="E5" s="30" t="s">
        <v>215</v>
      </c>
      <c r="F5" s="9"/>
      <c r="G5" s="9"/>
      <c r="H5" s="9"/>
      <c r="I5" s="9"/>
      <c r="J5" s="9"/>
      <c r="K5" s="9"/>
      <c r="L5" s="9"/>
    </row>
    <row r="6" spans="1:12">
      <c r="A6" s="9"/>
      <c r="B6" s="69" t="s">
        <v>216</v>
      </c>
      <c r="C6" s="35">
        <v>5229</v>
      </c>
      <c r="D6" s="35">
        <v>2443276</v>
      </c>
      <c r="E6" s="35">
        <v>2700678</v>
      </c>
      <c r="F6" s="9"/>
      <c r="G6" s="9"/>
      <c r="H6" s="9"/>
      <c r="I6" s="9"/>
      <c r="J6" s="9"/>
      <c r="K6" s="9"/>
      <c r="L6" s="9"/>
    </row>
    <row r="7" spans="1:12">
      <c r="A7" s="9"/>
      <c r="B7" s="69" t="s">
        <v>217</v>
      </c>
      <c r="C7" s="35">
        <v>5354</v>
      </c>
      <c r="D7" s="35">
        <v>2549138</v>
      </c>
      <c r="E7" s="35">
        <v>2817692</v>
      </c>
      <c r="F7" s="9"/>
      <c r="G7" s="9"/>
      <c r="H7" s="9"/>
      <c r="I7" s="9"/>
      <c r="J7" s="9"/>
      <c r="K7" s="9"/>
      <c r="L7" s="9"/>
    </row>
    <row r="8" spans="1:12">
      <c r="A8" s="9"/>
      <c r="B8" s="69" t="s">
        <v>218</v>
      </c>
      <c r="C8" s="35">
        <v>5568</v>
      </c>
      <c r="D8" s="35">
        <v>2676306</v>
      </c>
      <c r="E8" s="35">
        <v>2958258</v>
      </c>
      <c r="F8" s="9"/>
      <c r="G8" s="9"/>
      <c r="H8" s="9"/>
      <c r="I8" s="9"/>
      <c r="J8" s="9"/>
      <c r="K8" s="9"/>
      <c r="L8" s="9"/>
    </row>
    <row r="9" spans="1:12">
      <c r="A9" s="9"/>
      <c r="B9" s="69" t="s">
        <v>219</v>
      </c>
      <c r="C9" s="35">
        <v>5754</v>
      </c>
      <c r="D9" s="35">
        <v>2775206</v>
      </c>
      <c r="E9" s="35">
        <v>3067577</v>
      </c>
      <c r="F9" s="9"/>
      <c r="G9" s="9"/>
      <c r="H9" s="9"/>
      <c r="I9" s="9"/>
      <c r="J9" s="9"/>
      <c r="K9" s="9"/>
      <c r="L9" s="9"/>
    </row>
    <row r="10" spans="1:12">
      <c r="A10" s="9"/>
      <c r="B10" s="69" t="s">
        <v>220</v>
      </c>
      <c r="C10" s="35">
        <v>5931</v>
      </c>
      <c r="D10" s="35">
        <v>2918640</v>
      </c>
      <c r="E10" s="35">
        <v>3234297</v>
      </c>
      <c r="F10" s="9"/>
      <c r="G10" s="9"/>
      <c r="H10" s="9"/>
      <c r="I10" s="9"/>
      <c r="J10" s="9"/>
      <c r="K10" s="9"/>
      <c r="L10" s="9"/>
    </row>
    <row r="11" spans="1:12">
      <c r="A11" s="9"/>
      <c r="B11" s="69" t="s">
        <v>221</v>
      </c>
      <c r="C11" s="35">
        <v>6065</v>
      </c>
      <c r="D11" s="35">
        <v>2965409</v>
      </c>
      <c r="E11" s="35">
        <v>3286125</v>
      </c>
      <c r="F11" s="9"/>
      <c r="G11" s="9"/>
      <c r="H11" s="9"/>
      <c r="I11" s="9"/>
      <c r="J11" s="9"/>
      <c r="K11" s="9"/>
      <c r="L11" s="9"/>
    </row>
    <row r="12" spans="1:12">
      <c r="A12" s="9"/>
      <c r="B12" s="69" t="s">
        <v>222</v>
      </c>
      <c r="C12" s="35">
        <v>6327</v>
      </c>
      <c r="D12" s="35">
        <v>3177321</v>
      </c>
      <c r="E12" s="35">
        <v>3520955</v>
      </c>
      <c r="F12" s="9"/>
      <c r="G12" s="9"/>
      <c r="H12" s="9"/>
      <c r="I12" s="9"/>
      <c r="J12" s="9"/>
      <c r="K12" s="9"/>
      <c r="L12" s="9"/>
    </row>
    <row r="13" spans="1:12">
      <c r="A13" s="9"/>
      <c r="B13" s="69" t="s">
        <v>223</v>
      </c>
      <c r="C13" s="35">
        <v>6450</v>
      </c>
      <c r="D13" s="35">
        <v>3239327</v>
      </c>
      <c r="E13" s="35">
        <v>3589668</v>
      </c>
      <c r="F13" s="9"/>
      <c r="G13" s="9"/>
      <c r="H13" s="9"/>
      <c r="I13" s="9"/>
      <c r="J13" s="9"/>
      <c r="K13" s="9"/>
      <c r="L13" s="9"/>
    </row>
    <row r="14" spans="1:12">
      <c r="A14" s="9"/>
      <c r="B14" s="69" t="s">
        <v>224</v>
      </c>
      <c r="C14" s="35">
        <v>6697</v>
      </c>
      <c r="D14" s="35">
        <v>3502765</v>
      </c>
      <c r="E14" s="35">
        <v>3738994</v>
      </c>
      <c r="F14" s="9"/>
      <c r="G14" s="9"/>
      <c r="H14" s="9"/>
      <c r="I14" s="9"/>
      <c r="J14" s="9"/>
      <c r="K14" s="9"/>
      <c r="L14" s="9"/>
    </row>
    <row r="15" spans="1:12">
      <c r="A15" s="9"/>
      <c r="B15" s="69" t="s">
        <v>225</v>
      </c>
      <c r="C15" s="35">
        <v>6904</v>
      </c>
      <c r="D15" s="35">
        <v>3653803</v>
      </c>
      <c r="E15" s="35">
        <v>3900218</v>
      </c>
      <c r="F15" s="9"/>
      <c r="G15" s="9"/>
      <c r="H15" s="9"/>
      <c r="I15" s="9"/>
      <c r="J15" s="9"/>
      <c r="K15" s="9"/>
      <c r="L15" s="9"/>
    </row>
    <row r="16" spans="1:12">
      <c r="A16" s="9"/>
      <c r="B16" s="69" t="s">
        <v>226</v>
      </c>
      <c r="C16" s="35">
        <v>7119</v>
      </c>
      <c r="D16" s="35">
        <v>3858738</v>
      </c>
      <c r="E16" s="35">
        <v>4118974</v>
      </c>
      <c r="F16" s="9"/>
      <c r="G16" s="9"/>
      <c r="H16" s="9"/>
      <c r="I16" s="9"/>
      <c r="J16" s="9"/>
      <c r="K16" s="9"/>
      <c r="L16" s="9"/>
    </row>
    <row r="17" spans="1:18">
      <c r="A17" s="9"/>
      <c r="B17" s="69" t="s">
        <v>227</v>
      </c>
      <c r="C17" s="35">
        <v>7224</v>
      </c>
      <c r="D17" s="35">
        <v>3903207</v>
      </c>
      <c r="E17" s="35">
        <v>4166442</v>
      </c>
      <c r="F17" s="9"/>
      <c r="G17" s="9"/>
      <c r="H17" s="9"/>
      <c r="I17" s="9"/>
      <c r="J17" s="9"/>
      <c r="K17" s="9"/>
      <c r="L17" s="9"/>
    </row>
    <row r="18" spans="1:18">
      <c r="A18" s="9"/>
      <c r="B18" s="69" t="s">
        <v>228</v>
      </c>
      <c r="C18" s="35">
        <v>7520</v>
      </c>
      <c r="D18" s="35">
        <v>4255243</v>
      </c>
      <c r="E18" s="35">
        <v>4432677</v>
      </c>
      <c r="F18" s="9"/>
      <c r="G18" s="9"/>
      <c r="H18" s="9"/>
      <c r="I18" s="9"/>
      <c r="J18" s="9"/>
      <c r="K18" s="9"/>
      <c r="L18" s="9"/>
    </row>
    <row r="19" spans="1:18">
      <c r="A19" s="9"/>
      <c r="B19" s="69" t="s">
        <v>229</v>
      </c>
      <c r="C19" s="35">
        <v>7709</v>
      </c>
      <c r="D19" s="35">
        <v>4416103</v>
      </c>
      <c r="E19" s="35">
        <v>4600245</v>
      </c>
      <c r="F19" s="9"/>
      <c r="G19" s="9"/>
      <c r="H19" s="9"/>
      <c r="I19" s="9"/>
      <c r="J19" s="9"/>
      <c r="K19" s="9"/>
      <c r="L19" s="9"/>
    </row>
    <row r="20" spans="1:18">
      <c r="A20" s="9"/>
      <c r="B20" s="69" t="s">
        <v>230</v>
      </c>
      <c r="C20" s="35">
        <v>7920</v>
      </c>
      <c r="D20" s="35">
        <v>4555392</v>
      </c>
      <c r="E20" s="35">
        <v>4745342</v>
      </c>
      <c r="F20" s="9"/>
      <c r="G20" s="9"/>
      <c r="H20" s="9"/>
      <c r="I20" s="9"/>
      <c r="J20" s="9"/>
      <c r="K20" s="9"/>
      <c r="L20" s="9"/>
    </row>
    <row r="21" spans="1:18">
      <c r="A21" s="9"/>
      <c r="B21" s="69" t="s">
        <v>231</v>
      </c>
      <c r="C21" s="35">
        <v>8205</v>
      </c>
      <c r="D21" s="35">
        <v>4772726</v>
      </c>
      <c r="E21" s="35">
        <v>4971738</v>
      </c>
      <c r="F21" s="9"/>
      <c r="G21" s="9"/>
      <c r="H21" s="9"/>
      <c r="I21" s="9"/>
      <c r="J21" s="9"/>
      <c r="K21" s="9"/>
      <c r="L21" s="9"/>
    </row>
    <row r="22" spans="1:18">
      <c r="A22" s="9"/>
      <c r="B22" s="69" t="s">
        <v>232</v>
      </c>
      <c r="C22" s="35">
        <v>8422</v>
      </c>
      <c r="D22" s="35">
        <v>5114877</v>
      </c>
      <c r="E22" s="35">
        <v>5140873</v>
      </c>
      <c r="F22" s="9"/>
      <c r="G22" s="9"/>
      <c r="H22" s="9"/>
      <c r="I22" s="9"/>
      <c r="J22" s="9"/>
      <c r="K22" s="9"/>
      <c r="L22" s="9"/>
    </row>
    <row r="23" spans="1:18">
      <c r="A23" s="9"/>
      <c r="B23" s="69" t="s">
        <v>233</v>
      </c>
      <c r="C23" s="35">
        <v>8757</v>
      </c>
      <c r="D23" s="35">
        <v>5411129</v>
      </c>
      <c r="E23" s="35">
        <v>5438630</v>
      </c>
      <c r="F23" s="9"/>
      <c r="G23" s="9"/>
      <c r="H23" s="9"/>
      <c r="I23" s="9"/>
      <c r="J23" s="9"/>
      <c r="K23" s="9"/>
      <c r="L23" s="9"/>
    </row>
    <row r="24" spans="1:18">
      <c r="A24" s="9"/>
      <c r="B24" s="9"/>
      <c r="C24" s="9"/>
      <c r="D24" s="9"/>
      <c r="E24" s="9"/>
      <c r="F24" s="9"/>
      <c r="G24" s="9"/>
      <c r="H24" s="9"/>
      <c r="I24" s="9"/>
      <c r="J24" s="9"/>
      <c r="K24" s="9"/>
      <c r="L24" s="9"/>
    </row>
    <row r="25" spans="1:18">
      <c r="A25" s="7"/>
      <c r="B25" s="7"/>
      <c r="C25" s="7"/>
      <c r="D25" s="7"/>
      <c r="E25" s="7"/>
      <c r="F25" s="7"/>
      <c r="G25" s="7"/>
      <c r="H25" s="7"/>
      <c r="I25" s="7"/>
      <c r="J25" s="7"/>
      <c r="K25" s="7"/>
      <c r="L25" s="7"/>
    </row>
    <row r="26" spans="1:18">
      <c r="A26" s="6" t="s">
        <v>4</v>
      </c>
      <c r="B26" s="9" t="s">
        <v>234</v>
      </c>
      <c r="C26" s="4"/>
      <c r="D26" s="4"/>
      <c r="E26" s="4"/>
      <c r="F26" s="4"/>
      <c r="G26" s="4"/>
      <c r="H26" s="4"/>
      <c r="I26" s="4"/>
      <c r="J26" s="4"/>
      <c r="K26" s="4"/>
      <c r="L26" s="4"/>
      <c r="M26" s="8"/>
      <c r="N26" s="8"/>
      <c r="O26" s="8"/>
      <c r="P26" s="8"/>
      <c r="Q26" s="8"/>
      <c r="R26" s="8"/>
    </row>
    <row r="27" spans="1:18">
      <c r="A27" s="6"/>
      <c r="B27" s="9"/>
      <c r="C27" s="4"/>
      <c r="D27" s="4"/>
      <c r="E27" s="4"/>
      <c r="F27" s="4"/>
      <c r="G27" s="4"/>
      <c r="H27" s="4"/>
      <c r="I27" s="4"/>
      <c r="J27" s="4"/>
      <c r="K27" s="4"/>
      <c r="L27" s="4"/>
      <c r="M27" s="8"/>
      <c r="N27" s="8"/>
      <c r="O27" s="8"/>
      <c r="P27" s="8"/>
      <c r="Q27" s="8"/>
      <c r="R27" s="8"/>
    </row>
    <row r="28" spans="1:18">
      <c r="A28" s="6"/>
      <c r="B28" s="14" t="s">
        <v>235</v>
      </c>
      <c r="C28" s="4"/>
      <c r="D28" s="4"/>
      <c r="E28" s="4"/>
      <c r="F28" s="4"/>
      <c r="G28" s="4"/>
      <c r="H28" s="4"/>
      <c r="I28" s="4"/>
      <c r="J28" s="4"/>
      <c r="K28" s="4"/>
      <c r="L28" s="4"/>
      <c r="M28" s="8"/>
      <c r="N28" s="8"/>
      <c r="O28" s="8"/>
      <c r="P28" s="8"/>
      <c r="Q28" s="8"/>
      <c r="R28" s="8"/>
    </row>
    <row r="29" spans="1:18">
      <c r="A29" s="6"/>
      <c r="B29" s="14"/>
      <c r="C29" s="4"/>
      <c r="D29" s="4"/>
      <c r="E29" s="4"/>
      <c r="F29" s="4"/>
      <c r="G29" s="4"/>
      <c r="H29" s="4"/>
      <c r="I29" s="4"/>
      <c r="J29" s="4"/>
      <c r="K29" s="4"/>
      <c r="L29" s="4"/>
      <c r="M29" s="8"/>
      <c r="N29" s="8"/>
      <c r="O29" s="8"/>
      <c r="P29" s="8"/>
      <c r="Q29" s="8"/>
      <c r="R29" s="8"/>
    </row>
    <row r="30" spans="1:18">
      <c r="A30" s="6"/>
      <c r="B30" s="14" t="s">
        <v>236</v>
      </c>
      <c r="C30" s="4"/>
      <c r="D30" s="4"/>
      <c r="E30" s="4"/>
      <c r="F30" s="4"/>
      <c r="G30" s="4"/>
      <c r="H30" s="4"/>
      <c r="I30" s="4"/>
      <c r="J30" s="4"/>
      <c r="K30" s="4"/>
      <c r="L30" s="4"/>
      <c r="M30" s="8"/>
      <c r="N30" s="8"/>
      <c r="O30" s="8"/>
      <c r="P30" s="8"/>
      <c r="Q30" s="8"/>
      <c r="R30" s="8"/>
    </row>
    <row r="31" spans="1:18">
      <c r="A31" s="3"/>
      <c r="B31" s="3"/>
      <c r="C31" s="3"/>
      <c r="D31" s="3"/>
      <c r="E31" s="3"/>
      <c r="F31" s="3"/>
      <c r="G31" s="4"/>
      <c r="H31" s="4"/>
      <c r="I31" s="4"/>
      <c r="J31" s="4"/>
      <c r="K31" s="4"/>
      <c r="L31" s="4"/>
    </row>
    <row r="32" spans="1:18">
      <c r="A32" s="7"/>
      <c r="B32" s="7"/>
      <c r="C32" s="7"/>
      <c r="D32" s="7"/>
      <c r="E32" s="7"/>
      <c r="F32" s="7"/>
      <c r="G32" s="7"/>
      <c r="H32" s="7"/>
      <c r="I32" s="7"/>
      <c r="J32" s="7"/>
      <c r="K32" s="7"/>
      <c r="L32" s="7"/>
      <c r="M32" s="7"/>
    </row>
    <row r="33" spans="1:14">
      <c r="A33" s="7" t="s">
        <v>1</v>
      </c>
      <c r="B33" s="7"/>
      <c r="C33" s="7"/>
      <c r="D33" s="7"/>
      <c r="E33" s="7"/>
      <c r="F33" s="7"/>
      <c r="G33" s="7"/>
      <c r="H33" s="7"/>
      <c r="I33" s="7"/>
      <c r="J33" s="7"/>
      <c r="K33" s="7"/>
      <c r="L33" s="7"/>
      <c r="M33" s="7"/>
      <c r="N33" s="8"/>
    </row>
    <row r="34" spans="1:14" ht="33" customHeight="1">
      <c r="A34" s="7"/>
      <c r="C34" s="326" t="s">
        <v>708</v>
      </c>
      <c r="D34" s="326"/>
      <c r="E34" s="327" t="s">
        <v>711</v>
      </c>
      <c r="F34" s="327"/>
      <c r="G34" s="7"/>
      <c r="H34" s="7"/>
      <c r="I34" s="7"/>
      <c r="J34" s="7"/>
      <c r="K34" s="7"/>
      <c r="L34" s="7"/>
      <c r="M34" s="7"/>
      <c r="N34" s="8"/>
    </row>
    <row r="35" spans="1:14" ht="47.25">
      <c r="A35" s="7"/>
      <c r="B35" s="115" t="str">
        <f>B5</f>
        <v>Experience Period Calendar Quarter Ending</v>
      </c>
      <c r="C35" s="172" t="s">
        <v>710</v>
      </c>
      <c r="D35" s="172" t="s">
        <v>709</v>
      </c>
      <c r="E35" s="172" t="s">
        <v>710</v>
      </c>
      <c r="F35" s="172" t="s">
        <v>709</v>
      </c>
      <c r="G35" s="7"/>
      <c r="H35" s="7"/>
      <c r="I35" s="7"/>
      <c r="J35" s="7"/>
      <c r="K35" s="7"/>
      <c r="L35" s="7"/>
      <c r="M35" s="7"/>
      <c r="N35" s="8"/>
    </row>
    <row r="36" spans="1:14">
      <c r="A36" s="7"/>
      <c r="B36" s="295" t="str">
        <f t="shared" ref="B36:B53" si="0">B6</f>
        <v>2018-1</v>
      </c>
      <c r="C36" s="163">
        <f t="shared" ref="C36:C53" si="1">E6/C6</f>
        <v>516.48078026391283</v>
      </c>
      <c r="G36" s="7"/>
      <c r="H36" s="7"/>
      <c r="I36" s="7"/>
      <c r="J36" s="7"/>
      <c r="K36" s="7"/>
      <c r="L36" s="7"/>
      <c r="M36" s="7"/>
      <c r="N36" s="8"/>
    </row>
    <row r="37" spans="1:14">
      <c r="A37" s="7"/>
      <c r="B37" s="295" t="str">
        <f t="shared" si="0"/>
        <v>2018-2</v>
      </c>
      <c r="C37" s="163">
        <f t="shared" si="1"/>
        <v>526.27792304818831</v>
      </c>
      <c r="E37" s="245">
        <f>C37/C36-1</f>
        <v>1.896903652304216E-2</v>
      </c>
      <c r="G37" s="7"/>
      <c r="H37" s="7"/>
      <c r="I37" s="7"/>
      <c r="J37" s="7"/>
      <c r="K37" s="7"/>
      <c r="L37" s="7"/>
      <c r="M37" s="7"/>
      <c r="N37" s="8"/>
    </row>
    <row r="38" spans="1:14">
      <c r="A38" s="7"/>
      <c r="B38" s="295" t="str">
        <f t="shared" si="0"/>
        <v>2018-3</v>
      </c>
      <c r="C38" s="163">
        <f t="shared" si="1"/>
        <v>531.29633620689651</v>
      </c>
      <c r="E38" s="245">
        <f t="shared" ref="E38:F53" si="2">C38/C37-1</f>
        <v>9.5356710569229897E-3</v>
      </c>
      <c r="G38" s="7"/>
      <c r="H38" s="7"/>
      <c r="I38" s="7"/>
      <c r="J38" s="7"/>
      <c r="K38" s="7"/>
      <c r="L38" s="7"/>
      <c r="M38" s="7"/>
      <c r="N38" s="8"/>
    </row>
    <row r="39" spans="1:14">
      <c r="A39" s="7"/>
      <c r="B39" s="295" t="str">
        <f t="shared" si="0"/>
        <v>2018-4</v>
      </c>
      <c r="C39" s="163">
        <f t="shared" si="1"/>
        <v>533.12078554049356</v>
      </c>
      <c r="D39" s="163">
        <f t="shared" ref="D39:D53" si="3">SUM(E6:E9)/SUM(C6:C9)</f>
        <v>527.01232595297881</v>
      </c>
      <c r="E39" s="245">
        <f t="shared" si="2"/>
        <v>3.4339580555409199E-3</v>
      </c>
      <c r="G39" s="7"/>
      <c r="H39" s="7"/>
      <c r="I39" s="7"/>
      <c r="J39" s="7"/>
      <c r="K39" s="7"/>
      <c r="L39" s="7"/>
      <c r="M39" s="7"/>
      <c r="N39" s="8"/>
    </row>
    <row r="40" spans="1:14">
      <c r="A40" s="7"/>
      <c r="B40" s="295" t="str">
        <f t="shared" si="0"/>
        <v>2019-1</v>
      </c>
      <c r="C40" s="163">
        <f t="shared" si="1"/>
        <v>545.32068791097618</v>
      </c>
      <c r="D40" s="163">
        <f t="shared" si="3"/>
        <v>534.25151501747246</v>
      </c>
      <c r="E40" s="245">
        <f t="shared" si="2"/>
        <v>2.288393681389489E-2</v>
      </c>
      <c r="F40" s="245">
        <f t="shared" si="2"/>
        <v>1.3736280363847664E-2</v>
      </c>
      <c r="G40" s="7"/>
      <c r="H40" s="7"/>
      <c r="I40" s="7"/>
      <c r="J40" s="7"/>
      <c r="K40" s="7"/>
      <c r="L40" s="7"/>
      <c r="M40" s="7"/>
      <c r="N40" s="8"/>
    </row>
    <row r="41" spans="1:14">
      <c r="A41" s="7"/>
      <c r="B41" s="295" t="str">
        <f t="shared" si="0"/>
        <v>2019-2</v>
      </c>
      <c r="C41" s="163">
        <f t="shared" si="1"/>
        <v>541.8178070898598</v>
      </c>
      <c r="D41" s="163">
        <f t="shared" si="3"/>
        <v>538.05030448580499</v>
      </c>
      <c r="E41" s="245">
        <f t="shared" si="2"/>
        <v>-6.4235245402760599E-3</v>
      </c>
      <c r="F41" s="245">
        <f t="shared" si="2"/>
        <v>7.1104889018578366E-3</v>
      </c>
      <c r="G41" s="7"/>
      <c r="H41" s="7"/>
      <c r="I41" s="7"/>
      <c r="J41" s="7"/>
      <c r="K41" s="7"/>
      <c r="L41" s="7"/>
      <c r="M41" s="7"/>
      <c r="N41" s="8"/>
    </row>
    <row r="42" spans="1:14">
      <c r="A42" s="7"/>
      <c r="B42" s="295" t="str">
        <f t="shared" si="0"/>
        <v>2019-3</v>
      </c>
      <c r="C42" s="163">
        <f t="shared" si="1"/>
        <v>556.4967599178126</v>
      </c>
      <c r="D42" s="163">
        <f t="shared" si="3"/>
        <v>544.45960875524361</v>
      </c>
      <c r="E42" s="245">
        <f t="shared" si="2"/>
        <v>2.7092045768658757E-2</v>
      </c>
      <c r="F42" s="245">
        <f t="shared" si="2"/>
        <v>1.191209114836167E-2</v>
      </c>
      <c r="G42" s="7"/>
      <c r="H42" s="7"/>
      <c r="I42" s="7"/>
      <c r="J42" s="7"/>
      <c r="K42" s="7"/>
      <c r="L42" s="7"/>
      <c r="M42" s="7"/>
      <c r="N42" s="8"/>
    </row>
    <row r="43" spans="1:14">
      <c r="A43" s="7"/>
      <c r="B43" s="295" t="str">
        <f t="shared" si="0"/>
        <v>2019-4</v>
      </c>
      <c r="C43" s="163">
        <f t="shared" si="1"/>
        <v>556.53767441860464</v>
      </c>
      <c r="D43" s="163">
        <f t="shared" si="3"/>
        <v>550.23796068300169</v>
      </c>
      <c r="E43" s="245">
        <f t="shared" si="2"/>
        <v>7.3521543590082672E-5</v>
      </c>
      <c r="F43" s="245">
        <f t="shared" si="2"/>
        <v>1.0613003857106396E-2</v>
      </c>
      <c r="G43" s="7"/>
      <c r="H43" s="7"/>
      <c r="I43" s="7"/>
      <c r="J43" s="7"/>
      <c r="K43" s="7"/>
      <c r="L43" s="7"/>
      <c r="M43" s="7"/>
      <c r="N43" s="8"/>
    </row>
    <row r="44" spans="1:14">
      <c r="A44" s="7"/>
      <c r="B44" s="295" t="str">
        <f t="shared" si="0"/>
        <v>2020-1</v>
      </c>
      <c r="C44" s="163">
        <f t="shared" si="1"/>
        <v>558.30879498282809</v>
      </c>
      <c r="D44" s="163">
        <f t="shared" si="3"/>
        <v>553.49629977681195</v>
      </c>
      <c r="E44" s="245">
        <f t="shared" si="2"/>
        <v>3.1823911401391847E-3</v>
      </c>
      <c r="F44" s="245">
        <f t="shared" si="2"/>
        <v>5.9216908440227201E-3</v>
      </c>
      <c r="G44" s="7"/>
      <c r="H44" s="7"/>
      <c r="I44" s="7"/>
      <c r="J44" s="7"/>
      <c r="K44" s="7"/>
      <c r="L44" s="7"/>
      <c r="M44" s="7"/>
      <c r="N44" s="8"/>
    </row>
    <row r="45" spans="1:14">
      <c r="A45" s="7"/>
      <c r="B45" s="295" t="str">
        <f t="shared" si="0"/>
        <v>2020-2</v>
      </c>
      <c r="C45" s="163">
        <f t="shared" si="1"/>
        <v>564.92149478563147</v>
      </c>
      <c r="D45" s="163">
        <f t="shared" si="3"/>
        <v>559.17184775191447</v>
      </c>
      <c r="E45" s="245">
        <f t="shared" si="2"/>
        <v>1.1844161980301138E-2</v>
      </c>
      <c r="F45" s="245">
        <f t="shared" si="2"/>
        <v>1.0253994430299063E-2</v>
      </c>
      <c r="G45" s="7"/>
      <c r="H45" s="7"/>
      <c r="I45" s="7"/>
      <c r="J45" s="7"/>
      <c r="K45" s="7"/>
      <c r="L45" s="7"/>
      <c r="M45" s="7"/>
      <c r="N45" s="8"/>
    </row>
    <row r="46" spans="1:14">
      <c r="A46" s="7"/>
      <c r="B46" s="295" t="str">
        <f t="shared" si="0"/>
        <v>2020-3</v>
      </c>
      <c r="C46" s="163">
        <f t="shared" si="1"/>
        <v>578.58884674813874</v>
      </c>
      <c r="D46" s="163">
        <f t="shared" si="3"/>
        <v>564.88237026131765</v>
      </c>
      <c r="E46" s="245">
        <f t="shared" si="2"/>
        <v>2.4193365075785511E-2</v>
      </c>
      <c r="F46" s="245">
        <f t="shared" si="2"/>
        <v>1.0212464258280596E-2</v>
      </c>
      <c r="G46" s="7"/>
      <c r="H46" s="7"/>
      <c r="I46" s="7"/>
      <c r="J46" s="7"/>
      <c r="K46" s="7"/>
      <c r="L46" s="7"/>
      <c r="M46" s="7"/>
      <c r="N46" s="8"/>
    </row>
    <row r="47" spans="1:14">
      <c r="A47" s="7"/>
      <c r="B47" s="295" t="str">
        <f t="shared" si="0"/>
        <v>2020-4</v>
      </c>
      <c r="C47" s="163">
        <f t="shared" si="1"/>
        <v>576.75</v>
      </c>
      <c r="D47" s="163">
        <f t="shared" si="3"/>
        <v>569.87646722015461</v>
      </c>
      <c r="E47" s="245">
        <f t="shared" si="2"/>
        <v>-3.1781579587537578E-3</v>
      </c>
      <c r="F47" s="245">
        <f t="shared" si="2"/>
        <v>8.8409502964779119E-3</v>
      </c>
      <c r="G47" s="7"/>
      <c r="H47" s="7"/>
      <c r="I47" s="7"/>
      <c r="J47" s="7"/>
      <c r="K47" s="7"/>
      <c r="L47" s="7"/>
      <c r="M47" s="7"/>
      <c r="N47" s="8"/>
    </row>
    <row r="48" spans="1:14">
      <c r="A48" s="7"/>
      <c r="B48" s="295" t="str">
        <f t="shared" si="0"/>
        <v>2021-1</v>
      </c>
      <c r="C48" s="163">
        <f t="shared" si="1"/>
        <v>589.45172872340424</v>
      </c>
      <c r="D48" s="163">
        <f t="shared" si="3"/>
        <v>577.68662008551462</v>
      </c>
      <c r="E48" s="245">
        <f t="shared" si="2"/>
        <v>2.2022936668234516E-2</v>
      </c>
      <c r="F48" s="245">
        <f t="shared" si="2"/>
        <v>1.3704992774061564E-2</v>
      </c>
      <c r="G48" s="7"/>
      <c r="H48" s="7"/>
      <c r="I48" s="7"/>
      <c r="J48" s="7"/>
      <c r="K48" s="7"/>
      <c r="L48" s="7"/>
      <c r="M48" s="7"/>
      <c r="N48" s="8"/>
    </row>
    <row r="49" spans="1:14">
      <c r="A49" s="7"/>
      <c r="B49" s="295" t="str">
        <f t="shared" si="0"/>
        <v>2021-2</v>
      </c>
      <c r="C49" s="163">
        <f t="shared" si="1"/>
        <v>596.73693086003368</v>
      </c>
      <c r="D49" s="163">
        <f t="shared" si="3"/>
        <v>585.63296361422965</v>
      </c>
      <c r="E49" s="245">
        <f t="shared" si="2"/>
        <v>1.235928538611164E-2</v>
      </c>
      <c r="F49" s="245">
        <f t="shared" si="2"/>
        <v>1.3755457115379954E-2</v>
      </c>
      <c r="G49" s="7"/>
      <c r="H49" s="7"/>
      <c r="I49" s="7"/>
      <c r="J49" s="7"/>
      <c r="K49" s="7"/>
      <c r="L49" s="7"/>
      <c r="M49" s="7"/>
      <c r="N49" s="8"/>
    </row>
    <row r="50" spans="1:14">
      <c r="A50" s="7"/>
      <c r="B50" s="295" t="str">
        <f t="shared" si="0"/>
        <v>2021-3</v>
      </c>
      <c r="C50" s="163">
        <f t="shared" si="1"/>
        <v>599.15934343434344</v>
      </c>
      <c r="D50" s="163">
        <f t="shared" si="3"/>
        <v>590.81111513515293</v>
      </c>
      <c r="E50" s="245">
        <f t="shared" si="2"/>
        <v>4.0594312988446735E-3</v>
      </c>
      <c r="F50" s="245">
        <f t="shared" si="2"/>
        <v>8.8419741419034636E-3</v>
      </c>
      <c r="G50" s="7"/>
      <c r="H50" s="7"/>
      <c r="I50" s="7"/>
      <c r="J50" s="7"/>
      <c r="K50" s="7"/>
      <c r="L50" s="7"/>
      <c r="M50" s="7"/>
      <c r="N50" s="8"/>
    </row>
    <row r="51" spans="1:14">
      <c r="A51" s="7"/>
      <c r="B51" s="295" t="str">
        <f t="shared" si="0"/>
        <v>2021-4</v>
      </c>
      <c r="C51" s="163">
        <f t="shared" si="1"/>
        <v>605.94003656307132</v>
      </c>
      <c r="D51" s="163">
        <f t="shared" si="3"/>
        <v>598.0098870957454</v>
      </c>
      <c r="E51" s="245">
        <f t="shared" si="2"/>
        <v>1.1317011414461842E-2</v>
      </c>
      <c r="F51" s="245">
        <f t="shared" si="2"/>
        <v>1.2184557426523135E-2</v>
      </c>
      <c r="G51" s="7"/>
      <c r="H51" s="7"/>
      <c r="I51" s="7"/>
      <c r="J51" s="7"/>
      <c r="K51" s="7"/>
      <c r="L51" s="7"/>
      <c r="M51" s="7"/>
      <c r="N51" s="8"/>
    </row>
    <row r="52" spans="1:14">
      <c r="A52" s="7"/>
      <c r="B52" s="295" t="str">
        <f t="shared" si="0"/>
        <v>2022-1</v>
      </c>
      <c r="C52" s="163">
        <f t="shared" si="1"/>
        <v>610.40999762526712</v>
      </c>
      <c r="D52" s="163">
        <f t="shared" si="3"/>
        <v>603.24274553571433</v>
      </c>
      <c r="E52" s="245">
        <f t="shared" si="2"/>
        <v>7.3769033113404436E-3</v>
      </c>
      <c r="F52" s="245">
        <f t="shared" si="2"/>
        <v>8.7504547213801409E-3</v>
      </c>
      <c r="G52" s="7"/>
      <c r="H52" s="7"/>
      <c r="I52" s="7"/>
      <c r="J52" s="7"/>
      <c r="K52" s="7"/>
      <c r="L52" s="7"/>
      <c r="M52" s="7"/>
      <c r="N52" s="8"/>
    </row>
    <row r="53" spans="1:14">
      <c r="A53" s="7"/>
      <c r="B53" s="295" t="str">
        <f t="shared" si="0"/>
        <v>2022-2</v>
      </c>
      <c r="C53" s="163">
        <f t="shared" si="1"/>
        <v>621.06086559323967</v>
      </c>
      <c r="D53" s="163">
        <f t="shared" si="3"/>
        <v>609.43379173672827</v>
      </c>
      <c r="E53" s="245">
        <f t="shared" si="2"/>
        <v>1.744871153717753E-2</v>
      </c>
      <c r="F53" s="245">
        <f t="shared" si="2"/>
        <v>1.026294347811163E-2</v>
      </c>
      <c r="G53" s="7"/>
      <c r="H53" s="7"/>
      <c r="I53" s="7"/>
      <c r="J53" s="7"/>
      <c r="K53" s="7"/>
      <c r="L53" s="7"/>
      <c r="M53" s="7"/>
      <c r="N53" s="8"/>
    </row>
    <row r="55" spans="1:14">
      <c r="A55" s="6" t="s">
        <v>5</v>
      </c>
      <c r="B55" s="9" t="s">
        <v>237</v>
      </c>
      <c r="C55" s="4"/>
      <c r="D55" s="4"/>
      <c r="E55" s="4"/>
      <c r="F55" s="4"/>
      <c r="G55" s="4"/>
      <c r="H55" s="4"/>
      <c r="I55" s="4"/>
      <c r="J55" s="4"/>
      <c r="K55" s="4"/>
      <c r="L55" s="4"/>
    </row>
    <row r="56" spans="1:14">
      <c r="A56" s="3"/>
      <c r="B56" s="3"/>
      <c r="C56" s="3"/>
      <c r="D56" s="3"/>
      <c r="E56" s="3"/>
      <c r="F56" s="3"/>
      <c r="G56" s="4"/>
      <c r="H56" s="4"/>
      <c r="I56" s="4"/>
      <c r="J56" s="4"/>
      <c r="K56" s="4"/>
      <c r="L56" s="4"/>
    </row>
    <row r="57" spans="1:14">
      <c r="A57" s="7"/>
      <c r="B57" s="7"/>
      <c r="C57" s="7"/>
      <c r="D57" s="7"/>
      <c r="E57" s="7"/>
      <c r="F57" s="7"/>
      <c r="G57" s="7"/>
      <c r="H57" s="7"/>
      <c r="I57" s="7"/>
      <c r="J57" s="7"/>
      <c r="K57" s="7"/>
      <c r="L57" s="7"/>
    </row>
    <row r="58" spans="1:14">
      <c r="A58" s="7" t="s">
        <v>1</v>
      </c>
      <c r="B58" s="7"/>
      <c r="C58" s="7"/>
      <c r="D58" s="7"/>
      <c r="E58" s="7"/>
      <c r="F58" s="7"/>
      <c r="G58" s="7"/>
      <c r="H58" s="7"/>
      <c r="I58" s="7"/>
      <c r="J58" s="7"/>
      <c r="K58" s="7"/>
      <c r="L58" s="7"/>
    </row>
    <row r="59" spans="1:14" ht="47.25">
      <c r="A59" s="7"/>
      <c r="B59" s="296"/>
      <c r="C59" s="296"/>
      <c r="D59" s="172" t="s">
        <v>710</v>
      </c>
      <c r="E59" s="172" t="s">
        <v>709</v>
      </c>
      <c r="F59" s="7"/>
      <c r="G59" s="7"/>
      <c r="H59" s="7"/>
      <c r="I59" s="7"/>
      <c r="J59" s="7"/>
      <c r="K59" s="7"/>
      <c r="L59" s="7"/>
    </row>
    <row r="60" spans="1:14">
      <c r="A60" s="7"/>
      <c r="B60" s="7" t="s">
        <v>712</v>
      </c>
      <c r="C60" s="7"/>
      <c r="D60" s="270">
        <f>AVERAGE(E37:E53)</f>
        <v>1.0952393239706851E-2</v>
      </c>
      <c r="E60" s="270">
        <f>AVERAGE(F40:F53)</f>
        <v>1.0435810268400982E-2</v>
      </c>
      <c r="F60" s="7"/>
      <c r="G60" s="7"/>
      <c r="H60" s="7"/>
      <c r="I60" s="7"/>
      <c r="J60" s="7"/>
      <c r="K60" s="7"/>
      <c r="L60" s="7"/>
    </row>
    <row r="61" spans="1:14">
      <c r="B61" s="7" t="s">
        <v>717</v>
      </c>
      <c r="C61" s="7"/>
      <c r="D61" s="270">
        <f>(SUM(E37:E53)-MIN(E37:E53)-MAX(E37:E53))/15</f>
        <v>1.1034810923108918E-2</v>
      </c>
      <c r="E61" s="270">
        <f>(SUM(F40:F53)-MIN(F40:F53)-MAX(F40:F53))/12</f>
        <v>1.0535349649850922E-2</v>
      </c>
      <c r="M61" s="7"/>
    </row>
    <row r="62" spans="1:14">
      <c r="B62" s="7" t="s">
        <v>713</v>
      </c>
      <c r="C62" s="7"/>
      <c r="D62" s="270">
        <f>AVERAGE(E48:E53)</f>
        <v>1.2430713269361774E-2</v>
      </c>
      <c r="E62" s="270">
        <f>AVERAGE(F48:F53)</f>
        <v>1.1250063276226649E-2</v>
      </c>
      <c r="M62" s="7"/>
    </row>
    <row r="63" spans="1:14">
      <c r="B63" s="188"/>
      <c r="C63" s="188"/>
      <c r="D63" s="188"/>
      <c r="E63" s="188"/>
      <c r="M63" s="7"/>
    </row>
    <row r="64" spans="1:14">
      <c r="B64" s="7" t="s">
        <v>714</v>
      </c>
      <c r="C64" s="188"/>
      <c r="D64" s="188"/>
      <c r="E64" s="270">
        <f>E61</f>
        <v>1.0535349649850922E-2</v>
      </c>
    </row>
    <row r="65" spans="1:12">
      <c r="B65" s="7" t="s">
        <v>715</v>
      </c>
      <c r="C65" s="188"/>
      <c r="D65" s="188"/>
      <c r="E65" s="270">
        <f>(1+E64)^4-1</f>
        <v>4.2812049897660964E-2</v>
      </c>
    </row>
    <row r="66" spans="1:12">
      <c r="B66" s="7" t="s">
        <v>658</v>
      </c>
      <c r="C66" s="283" t="s">
        <v>716</v>
      </c>
      <c r="D66" s="188"/>
      <c r="E66" s="188"/>
    </row>
    <row r="68" spans="1:12">
      <c r="A68" s="3"/>
      <c r="B68" s="3"/>
      <c r="C68" s="3"/>
      <c r="D68" s="3"/>
      <c r="E68" s="3"/>
      <c r="F68" s="3"/>
      <c r="G68" s="4"/>
      <c r="H68" s="4"/>
      <c r="I68" s="4"/>
      <c r="J68" s="4"/>
      <c r="K68" s="4"/>
      <c r="L68" s="4"/>
    </row>
    <row r="69" spans="1:12">
      <c r="A69" s="14" t="s">
        <v>70</v>
      </c>
      <c r="B69" s="9"/>
      <c r="C69" s="9"/>
      <c r="D69" s="9"/>
      <c r="E69" s="9"/>
      <c r="F69" s="3"/>
      <c r="G69" s="4"/>
      <c r="H69" s="4"/>
      <c r="I69" s="4"/>
      <c r="J69" s="4"/>
      <c r="K69" s="4"/>
      <c r="L69" s="4"/>
    </row>
    <row r="70" spans="1:12">
      <c r="A70" s="9"/>
      <c r="B70" s="17" t="s">
        <v>239</v>
      </c>
      <c r="C70" s="9"/>
      <c r="D70" s="9"/>
      <c r="E70" s="61">
        <v>5136000</v>
      </c>
      <c r="F70" s="3"/>
      <c r="G70" s="4"/>
      <c r="H70" s="4"/>
      <c r="I70" s="4"/>
      <c r="J70" s="4"/>
      <c r="K70" s="4"/>
      <c r="L70" s="4"/>
    </row>
    <row r="71" spans="1:12">
      <c r="A71" s="9"/>
      <c r="B71" s="17" t="s">
        <v>344</v>
      </c>
      <c r="C71" s="9"/>
      <c r="D71" s="37">
        <v>45017</v>
      </c>
      <c r="E71" s="9" t="s">
        <v>172</v>
      </c>
      <c r="F71" s="3"/>
      <c r="G71" s="4"/>
      <c r="H71" s="4"/>
      <c r="I71" s="4"/>
      <c r="J71" s="4"/>
      <c r="K71" s="4"/>
      <c r="L71" s="4"/>
    </row>
    <row r="72" spans="1:12">
      <c r="A72" s="9"/>
      <c r="B72" s="17" t="s">
        <v>238</v>
      </c>
      <c r="C72" s="9"/>
      <c r="D72" s="9"/>
      <c r="E72" s="9"/>
      <c r="F72" s="3"/>
      <c r="G72" s="4"/>
      <c r="H72" s="4"/>
      <c r="I72" s="4"/>
      <c r="J72" s="4"/>
      <c r="K72" s="4"/>
      <c r="L72" s="4"/>
    </row>
    <row r="73" spans="1:12">
      <c r="A73" s="3"/>
      <c r="B73" s="3"/>
      <c r="C73" s="3"/>
      <c r="D73" s="3"/>
      <c r="E73" s="3"/>
      <c r="F73" s="3"/>
      <c r="G73" s="4"/>
      <c r="H73" s="4"/>
      <c r="I73" s="4"/>
      <c r="J73" s="4"/>
      <c r="K73" s="4"/>
      <c r="L73" s="4"/>
    </row>
    <row r="75" spans="1:12">
      <c r="A75" s="6" t="s">
        <v>0</v>
      </c>
      <c r="B75" s="9" t="s">
        <v>240</v>
      </c>
      <c r="C75" s="4"/>
      <c r="D75" s="4"/>
      <c r="E75" s="4"/>
      <c r="F75" s="4"/>
      <c r="G75" s="4"/>
      <c r="H75" s="4"/>
      <c r="I75" s="4"/>
      <c r="J75" s="4"/>
      <c r="K75" s="4"/>
      <c r="L75" s="4"/>
    </row>
    <row r="76" spans="1:12">
      <c r="A76" s="3"/>
      <c r="B76" s="3"/>
      <c r="C76" s="3"/>
      <c r="D76" s="3"/>
      <c r="E76" s="3"/>
      <c r="F76" s="3"/>
      <c r="G76" s="4"/>
      <c r="H76" s="4"/>
      <c r="I76" s="4"/>
      <c r="J76" s="4"/>
      <c r="K76" s="4"/>
      <c r="L76" s="4"/>
    </row>
    <row r="77" spans="1:12">
      <c r="A77" s="7"/>
      <c r="B77" s="7"/>
      <c r="C77" s="7"/>
      <c r="D77" s="7"/>
      <c r="E77" s="7"/>
      <c r="F77" s="7"/>
      <c r="G77" s="7"/>
      <c r="H77" s="7"/>
      <c r="I77" s="7"/>
      <c r="J77" s="7"/>
      <c r="K77" s="7"/>
      <c r="L77" s="7"/>
    </row>
    <row r="78" spans="1:12">
      <c r="A78" s="7" t="s">
        <v>1</v>
      </c>
      <c r="B78" s="7"/>
      <c r="C78" s="7"/>
      <c r="D78" s="7"/>
      <c r="E78" s="7"/>
      <c r="F78" s="7"/>
      <c r="G78" s="7"/>
      <c r="H78" s="7"/>
      <c r="I78" s="7"/>
      <c r="J78" s="7"/>
      <c r="K78" s="7"/>
      <c r="L78" s="7"/>
    </row>
    <row r="79" spans="1:12">
      <c r="B79" s="7"/>
      <c r="C79" s="7"/>
      <c r="D79" s="7"/>
      <c r="E79" s="7"/>
      <c r="F79" s="7"/>
      <c r="G79" s="7"/>
    </row>
    <row r="80" spans="1:12">
      <c r="B80" s="7" t="s">
        <v>718</v>
      </c>
      <c r="C80" s="7"/>
      <c r="D80" s="7"/>
      <c r="E80" s="297">
        <v>44607</v>
      </c>
      <c r="F80" s="7"/>
      <c r="G80" s="7"/>
    </row>
    <row r="81" spans="2:7">
      <c r="B81" s="7" t="s">
        <v>721</v>
      </c>
      <c r="C81" s="7"/>
      <c r="D81" s="7"/>
      <c r="E81" s="297">
        <f>DATE(YEAR(D71)+1,MONTH(D71),1)</f>
        <v>45383</v>
      </c>
      <c r="F81" s="7"/>
      <c r="G81" s="7"/>
    </row>
    <row r="82" spans="2:7">
      <c r="B82" s="7" t="s">
        <v>719</v>
      </c>
      <c r="C82" s="7"/>
      <c r="D82" s="7"/>
      <c r="E82" s="7">
        <f>2+1.5/12</f>
        <v>2.125</v>
      </c>
      <c r="F82" s="7"/>
      <c r="G82" s="7"/>
    </row>
    <row r="83" spans="2:7">
      <c r="B83" s="7"/>
      <c r="C83" s="7"/>
      <c r="D83" s="7"/>
      <c r="E83" s="7"/>
      <c r="F83" s="7"/>
      <c r="G83" s="7"/>
    </row>
    <row r="84" spans="2:7">
      <c r="B84" s="7" t="s">
        <v>720</v>
      </c>
      <c r="C84" s="7"/>
      <c r="D84" s="7"/>
      <c r="E84" s="157">
        <f>E70*(1+E65)^E82</f>
        <v>5614522.8276473172</v>
      </c>
      <c r="F84" s="7"/>
      <c r="G84" s="7"/>
    </row>
  </sheetData>
  <mergeCells count="2">
    <mergeCell ref="C34:D34"/>
    <mergeCell ref="E34:F34"/>
  </mergeCells>
  <phoneticPr fontId="17" type="noConversion"/>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E8FD-6600-46FB-8C93-66D8690D1E74}">
  <dimension ref="A1:R112"/>
  <sheetViews>
    <sheetView zoomScaleNormal="100" workbookViewId="0"/>
  </sheetViews>
  <sheetFormatPr defaultColWidth="8.85546875" defaultRowHeight="15.75"/>
  <cols>
    <col min="1" max="1" width="10.7109375" style="1" customWidth="1"/>
    <col min="2" max="4" width="14.7109375" style="1" customWidth="1"/>
    <col min="5" max="5" width="16.7109375" style="1" customWidth="1"/>
    <col min="6" max="6" width="16.140625" style="1" customWidth="1"/>
    <col min="7" max="7" width="13.7109375" style="1" customWidth="1"/>
    <col min="8" max="8" width="9.7109375" style="1" customWidth="1"/>
    <col min="9" max="9" width="16" style="1" customWidth="1"/>
    <col min="10" max="10" width="15.42578125" style="1" customWidth="1"/>
    <col min="11" max="12" width="9.7109375" style="1" customWidth="1"/>
    <col min="13" max="16384" width="8.85546875" style="1"/>
  </cols>
  <sheetData>
    <row r="1" spans="1:18" ht="18.75">
      <c r="A1" s="2" t="s">
        <v>241</v>
      </c>
      <c r="B1" s="4"/>
      <c r="C1" s="9" t="s">
        <v>242</v>
      </c>
      <c r="D1" s="4"/>
      <c r="E1" s="4"/>
      <c r="F1" s="4"/>
      <c r="G1" s="4"/>
      <c r="H1" s="4"/>
      <c r="I1" s="4"/>
      <c r="J1" s="4"/>
      <c r="K1" s="4"/>
      <c r="L1" s="3"/>
    </row>
    <row r="2" spans="1:18">
      <c r="A2" s="4"/>
      <c r="B2" s="4"/>
      <c r="C2" s="4"/>
      <c r="D2" s="4"/>
      <c r="E2" s="4"/>
      <c r="F2" s="4"/>
      <c r="G2" s="4"/>
      <c r="H2" s="4"/>
      <c r="I2" s="4"/>
      <c r="J2" s="4"/>
      <c r="K2" s="4"/>
      <c r="L2" s="3"/>
    </row>
    <row r="3" spans="1:18">
      <c r="A3" s="7"/>
      <c r="B3" s="7"/>
      <c r="C3" s="7"/>
      <c r="D3" s="7"/>
      <c r="E3" s="7"/>
      <c r="F3" s="7"/>
      <c r="G3" s="7"/>
      <c r="H3" s="7"/>
      <c r="I3" s="7"/>
      <c r="J3" s="7"/>
      <c r="K3" s="7"/>
      <c r="L3" s="7"/>
    </row>
    <row r="4" spans="1:18">
      <c r="A4" s="6" t="s">
        <v>4</v>
      </c>
      <c r="B4" s="9" t="s">
        <v>243</v>
      </c>
      <c r="C4" s="4"/>
      <c r="D4" s="4"/>
      <c r="E4" s="4"/>
      <c r="F4" s="4"/>
      <c r="G4" s="4"/>
      <c r="H4" s="4"/>
      <c r="I4" s="4"/>
      <c r="J4" s="4"/>
      <c r="K4" s="4"/>
      <c r="L4" s="4"/>
      <c r="M4" s="8"/>
      <c r="N4" s="8"/>
      <c r="O4" s="8"/>
      <c r="P4" s="8"/>
      <c r="Q4" s="8"/>
      <c r="R4" s="8"/>
    </row>
    <row r="5" spans="1:18">
      <c r="A5" s="3"/>
      <c r="B5" s="3"/>
      <c r="C5" s="3"/>
      <c r="D5" s="3"/>
      <c r="E5" s="3"/>
      <c r="F5" s="3"/>
      <c r="G5" s="4"/>
      <c r="H5" s="4"/>
      <c r="I5" s="4"/>
      <c r="J5" s="4"/>
      <c r="K5" s="4"/>
      <c r="L5" s="4"/>
    </row>
    <row r="6" spans="1:18">
      <c r="A6" s="7"/>
      <c r="B6" s="7"/>
      <c r="C6" s="7"/>
      <c r="D6" s="7"/>
      <c r="E6" s="7"/>
      <c r="F6" s="7"/>
      <c r="G6" s="7"/>
      <c r="H6" s="7"/>
      <c r="I6" s="7"/>
      <c r="J6" s="7"/>
      <c r="K6" s="7"/>
      <c r="L6" s="7"/>
      <c r="M6" s="7"/>
    </row>
    <row r="7" spans="1:18">
      <c r="A7" s="7" t="s">
        <v>1</v>
      </c>
      <c r="B7" s="7"/>
      <c r="C7" s="7"/>
      <c r="D7" s="7"/>
      <c r="E7" s="7"/>
      <c r="F7" s="7"/>
      <c r="G7" s="7"/>
      <c r="H7" s="7"/>
      <c r="I7" s="7"/>
      <c r="J7" s="7"/>
      <c r="K7" s="7"/>
      <c r="L7" s="7"/>
      <c r="M7" s="7"/>
      <c r="N7" s="8"/>
    </row>
    <row r="8" spans="1:18">
      <c r="B8" s="7"/>
      <c r="C8" s="7"/>
      <c r="D8" s="7"/>
      <c r="E8" s="7"/>
      <c r="F8" s="7"/>
      <c r="G8" s="7"/>
      <c r="H8" s="7"/>
      <c r="I8" s="7"/>
      <c r="J8" s="7"/>
      <c r="K8" s="7"/>
      <c r="L8" s="7"/>
      <c r="M8" s="7"/>
      <c r="N8" s="8"/>
    </row>
    <row r="9" spans="1:18">
      <c r="A9" s="106" t="s">
        <v>382</v>
      </c>
      <c r="B9" s="7"/>
      <c r="C9" s="7"/>
      <c r="D9" s="7"/>
      <c r="E9" s="7"/>
      <c r="F9" s="7"/>
      <c r="G9" s="7"/>
      <c r="H9" s="7"/>
      <c r="I9" s="7"/>
      <c r="J9" s="7"/>
      <c r="K9" s="7"/>
      <c r="L9" s="7"/>
      <c r="M9" s="7"/>
      <c r="N9" s="8"/>
    </row>
    <row r="10" spans="1:18">
      <c r="A10" s="7" t="s">
        <v>383</v>
      </c>
      <c r="M10" s="8"/>
      <c r="N10" s="8"/>
    </row>
    <row r="11" spans="1:18">
      <c r="A11" s="1" t="s">
        <v>384</v>
      </c>
      <c r="M11" s="8"/>
      <c r="N11" s="8"/>
    </row>
    <row r="12" spans="1:18">
      <c r="A12" s="1" t="s">
        <v>385</v>
      </c>
      <c r="M12" s="8"/>
      <c r="N12" s="8"/>
    </row>
    <row r="13" spans="1:18">
      <c r="A13" s="1" t="s">
        <v>380</v>
      </c>
      <c r="M13" s="8"/>
      <c r="N13" s="8"/>
    </row>
    <row r="14" spans="1:18">
      <c r="A14" s="1" t="s">
        <v>381</v>
      </c>
      <c r="M14" s="8"/>
      <c r="N14" s="8"/>
    </row>
    <row r="15" spans="1:18">
      <c r="A15" s="1" t="s">
        <v>386</v>
      </c>
      <c r="M15" s="8"/>
      <c r="N15" s="8"/>
    </row>
    <row r="16" spans="1:18">
      <c r="M16" s="8"/>
      <c r="N16" s="8"/>
    </row>
    <row r="17" spans="1:14">
      <c r="A17" s="3"/>
      <c r="B17" s="3"/>
      <c r="C17" s="3"/>
      <c r="D17" s="3"/>
      <c r="E17" s="3"/>
      <c r="F17" s="3"/>
      <c r="G17" s="4"/>
      <c r="H17" s="4"/>
      <c r="I17" s="4"/>
      <c r="J17" s="4"/>
      <c r="K17" s="4"/>
      <c r="L17" s="4"/>
      <c r="M17" s="8"/>
      <c r="N17" s="8"/>
    </row>
    <row r="18" spans="1:14">
      <c r="A18" s="14" t="s">
        <v>244</v>
      </c>
      <c r="B18" s="16"/>
      <c r="C18" s="16"/>
      <c r="D18" s="16"/>
      <c r="E18" s="9"/>
      <c r="F18" s="9"/>
      <c r="G18" s="9"/>
      <c r="H18" s="9"/>
      <c r="I18" s="9"/>
      <c r="J18" s="9"/>
      <c r="K18" s="4"/>
      <c r="L18" s="4"/>
      <c r="M18" s="8"/>
      <c r="N18" s="8"/>
    </row>
    <row r="19" spans="1:14">
      <c r="A19" s="15"/>
      <c r="B19" s="16"/>
      <c r="C19" s="16"/>
      <c r="D19" s="16"/>
      <c r="E19" s="9"/>
      <c r="F19" s="9"/>
      <c r="G19" s="9"/>
      <c r="H19" s="9"/>
      <c r="I19" s="9"/>
      <c r="J19" s="9"/>
      <c r="K19" s="4"/>
      <c r="L19" s="4"/>
      <c r="M19" s="8"/>
      <c r="N19" s="8"/>
    </row>
    <row r="20" spans="1:14" ht="63">
      <c r="A20" s="32"/>
      <c r="B20" s="30" t="s">
        <v>79</v>
      </c>
      <c r="C20" s="30" t="s">
        <v>80</v>
      </c>
      <c r="D20" s="30" t="s">
        <v>245</v>
      </c>
      <c r="E20" s="30" t="s">
        <v>246</v>
      </c>
      <c r="F20" s="9"/>
      <c r="G20" s="9"/>
      <c r="H20" s="9"/>
      <c r="I20" s="9"/>
      <c r="J20" s="9"/>
      <c r="K20" s="4"/>
      <c r="L20" s="4"/>
      <c r="M20" s="8"/>
      <c r="N20" s="8"/>
    </row>
    <row r="21" spans="1:14">
      <c r="A21" s="32"/>
      <c r="B21" s="34">
        <v>2014</v>
      </c>
      <c r="C21" s="35">
        <v>24282</v>
      </c>
      <c r="D21" s="35">
        <v>3617</v>
      </c>
      <c r="E21" s="44">
        <v>1</v>
      </c>
      <c r="F21" s="9"/>
      <c r="G21" s="9"/>
      <c r="H21" s="9"/>
      <c r="I21" s="9"/>
      <c r="J21" s="9"/>
      <c r="K21" s="4"/>
      <c r="L21" s="4"/>
      <c r="M21" s="8"/>
      <c r="N21" s="8"/>
    </row>
    <row r="22" spans="1:14">
      <c r="A22" s="32"/>
      <c r="B22" s="34">
        <v>2015</v>
      </c>
      <c r="C22" s="35">
        <v>25414</v>
      </c>
      <c r="D22" s="35">
        <v>4159</v>
      </c>
      <c r="E22" s="44">
        <v>1.0109999999999999</v>
      </c>
      <c r="F22" s="9"/>
      <c r="G22" s="9"/>
      <c r="H22" s="9"/>
      <c r="I22" s="9"/>
      <c r="J22" s="9"/>
      <c r="K22" s="4"/>
      <c r="L22" s="4"/>
      <c r="M22" s="8"/>
      <c r="N22" s="8"/>
    </row>
    <row r="23" spans="1:14">
      <c r="A23" s="32"/>
      <c r="B23" s="34">
        <v>2016</v>
      </c>
      <c r="C23" s="35">
        <v>26264</v>
      </c>
      <c r="D23" s="35">
        <v>2256</v>
      </c>
      <c r="E23" s="44">
        <v>1.0529999999999999</v>
      </c>
      <c r="F23" s="9"/>
      <c r="G23" s="9"/>
      <c r="H23" s="9"/>
      <c r="I23" s="9"/>
      <c r="J23" s="9"/>
      <c r="K23" s="4"/>
      <c r="L23" s="4"/>
      <c r="M23" s="8"/>
      <c r="N23" s="8"/>
    </row>
    <row r="24" spans="1:14">
      <c r="A24" s="32"/>
      <c r="B24" s="34">
        <v>2017</v>
      </c>
      <c r="C24" s="35">
        <v>26950</v>
      </c>
      <c r="D24" s="35">
        <v>2410</v>
      </c>
      <c r="E24" s="44">
        <v>1.1140000000000001</v>
      </c>
      <c r="F24" s="9"/>
      <c r="G24" s="9"/>
      <c r="H24" s="9"/>
      <c r="I24" s="9"/>
      <c r="J24" s="9"/>
      <c r="K24" s="4"/>
      <c r="L24" s="4"/>
      <c r="M24" s="8"/>
      <c r="N24" s="8"/>
    </row>
    <row r="25" spans="1:14">
      <c r="A25" s="32"/>
      <c r="B25" s="34">
        <v>2018</v>
      </c>
      <c r="C25" s="35">
        <v>28044</v>
      </c>
      <c r="D25" s="35">
        <v>2051</v>
      </c>
      <c r="E25" s="44">
        <v>1.234</v>
      </c>
      <c r="F25" s="9"/>
      <c r="G25" s="9"/>
      <c r="H25" s="9"/>
      <c r="I25" s="9"/>
      <c r="J25" s="9"/>
      <c r="K25" s="4"/>
      <c r="L25" s="4"/>
      <c r="M25" s="8"/>
      <c r="N25" s="8"/>
    </row>
    <row r="26" spans="1:14">
      <c r="A26" s="32"/>
      <c r="B26" s="34">
        <v>2019</v>
      </c>
      <c r="C26" s="35">
        <v>29110</v>
      </c>
      <c r="D26" s="35">
        <v>2672</v>
      </c>
      <c r="E26" s="44">
        <v>1.411</v>
      </c>
      <c r="F26" s="9"/>
      <c r="G26" s="9"/>
      <c r="H26" s="9"/>
      <c r="I26" s="9"/>
      <c r="J26" s="9"/>
      <c r="K26" s="4"/>
      <c r="L26" s="4"/>
      <c r="M26" s="8"/>
      <c r="N26" s="8"/>
    </row>
    <row r="27" spans="1:14">
      <c r="A27" s="32"/>
      <c r="B27" s="34">
        <v>2020</v>
      </c>
      <c r="C27" s="35">
        <v>29880</v>
      </c>
      <c r="D27" s="35">
        <v>4900</v>
      </c>
      <c r="E27" s="44">
        <v>1.9219999999999999</v>
      </c>
      <c r="F27" s="9"/>
      <c r="G27" s="9"/>
      <c r="H27" s="9"/>
      <c r="I27" s="9"/>
      <c r="J27" s="9"/>
      <c r="K27" s="4"/>
      <c r="L27" s="4"/>
      <c r="M27" s="8"/>
      <c r="N27" s="8"/>
    </row>
    <row r="28" spans="1:14">
      <c r="A28" s="32"/>
      <c r="B28" s="34">
        <v>2021</v>
      </c>
      <c r="C28" s="35">
        <v>30606</v>
      </c>
      <c r="D28" s="35">
        <v>2699</v>
      </c>
      <c r="E28" s="44">
        <v>3.5739999999999998</v>
      </c>
      <c r="F28" s="9"/>
      <c r="G28" s="9"/>
      <c r="H28" s="9"/>
      <c r="I28" s="9"/>
      <c r="J28" s="9"/>
      <c r="K28" s="4"/>
      <c r="L28" s="4"/>
      <c r="M28" s="8"/>
      <c r="N28" s="8"/>
    </row>
    <row r="29" spans="1:14">
      <c r="A29" s="32"/>
      <c r="B29" s="34" t="s">
        <v>247</v>
      </c>
      <c r="C29" s="39">
        <v>220550</v>
      </c>
      <c r="D29" s="39">
        <v>24764</v>
      </c>
      <c r="E29" s="34"/>
      <c r="F29" s="9"/>
      <c r="G29" s="9"/>
      <c r="H29" s="9"/>
      <c r="I29" s="9"/>
      <c r="J29" s="9"/>
      <c r="K29" s="4"/>
      <c r="L29" s="4"/>
      <c r="M29" s="8"/>
      <c r="N29" s="8"/>
    </row>
    <row r="30" spans="1:14">
      <c r="A30" s="15"/>
      <c r="B30" s="16"/>
      <c r="C30" s="16"/>
      <c r="D30" s="16"/>
      <c r="E30" s="9"/>
      <c r="F30" s="9"/>
      <c r="G30" s="9"/>
      <c r="H30" s="9"/>
      <c r="I30" s="9"/>
      <c r="J30" s="9"/>
      <c r="K30" s="4"/>
      <c r="L30" s="4"/>
      <c r="M30" s="8"/>
      <c r="N30" s="8"/>
    </row>
    <row r="31" spans="1:14">
      <c r="A31" s="9"/>
      <c r="B31" s="17" t="s">
        <v>248</v>
      </c>
      <c r="C31" s="16"/>
      <c r="D31" s="55">
        <v>-1.4999999999999999E-2</v>
      </c>
      <c r="E31" s="9"/>
      <c r="F31" s="9"/>
      <c r="G31" s="9"/>
      <c r="H31" s="9"/>
      <c r="I31" s="9"/>
      <c r="J31" s="9"/>
      <c r="K31" s="4"/>
      <c r="L31" s="4"/>
      <c r="M31" s="8"/>
      <c r="N31" s="8"/>
    </row>
    <row r="32" spans="1:14">
      <c r="A32" s="9"/>
      <c r="B32" s="17" t="s">
        <v>249</v>
      </c>
      <c r="C32" s="16"/>
      <c r="D32" s="55">
        <v>0.04</v>
      </c>
      <c r="E32" s="9"/>
      <c r="F32" s="9"/>
      <c r="G32" s="9"/>
      <c r="H32" s="9"/>
      <c r="I32" s="9"/>
      <c r="J32" s="9"/>
      <c r="K32" s="4"/>
      <c r="L32" s="4"/>
      <c r="M32" s="8"/>
      <c r="N32" s="8"/>
    </row>
    <row r="33" spans="1:14">
      <c r="A33" s="9"/>
      <c r="B33" s="17" t="s">
        <v>251</v>
      </c>
      <c r="C33" s="16"/>
      <c r="D33" s="16"/>
      <c r="E33" s="9"/>
      <c r="F33" s="22">
        <v>0.1</v>
      </c>
      <c r="G33" s="9" t="s">
        <v>250</v>
      </c>
      <c r="H33" s="9"/>
      <c r="I33" s="9"/>
      <c r="J33" s="9"/>
      <c r="K33" s="4"/>
      <c r="L33" s="4"/>
      <c r="M33" s="8"/>
      <c r="N33" s="8"/>
    </row>
    <row r="34" spans="1:14">
      <c r="A34" s="3"/>
      <c r="B34" s="3"/>
      <c r="C34" s="3"/>
      <c r="D34" s="3"/>
      <c r="E34" s="3"/>
      <c r="F34" s="3"/>
      <c r="G34" s="4"/>
      <c r="H34" s="4"/>
      <c r="I34" s="4"/>
      <c r="J34" s="4"/>
      <c r="K34" s="4"/>
      <c r="L34" s="4"/>
      <c r="M34" s="8"/>
      <c r="N34" s="8"/>
    </row>
    <row r="36" spans="1:14">
      <c r="A36" s="6" t="s">
        <v>5</v>
      </c>
      <c r="B36" s="299" t="s">
        <v>252</v>
      </c>
      <c r="C36" s="299"/>
      <c r="D36" s="299"/>
      <c r="E36" s="299"/>
      <c r="F36" s="299"/>
      <c r="G36" s="299"/>
      <c r="H36" s="299"/>
      <c r="I36" s="299"/>
      <c r="J36" s="299"/>
      <c r="K36" s="299"/>
      <c r="L36" s="4"/>
    </row>
    <row r="37" spans="1:14">
      <c r="A37" s="6"/>
      <c r="B37" s="299"/>
      <c r="C37" s="299"/>
      <c r="D37" s="299"/>
      <c r="E37" s="299"/>
      <c r="F37" s="299"/>
      <c r="G37" s="299"/>
      <c r="H37" s="299"/>
      <c r="I37" s="299"/>
      <c r="J37" s="299"/>
      <c r="K37" s="299"/>
      <c r="L37" s="4"/>
    </row>
    <row r="38" spans="1:14">
      <c r="A38" s="3"/>
      <c r="B38" s="3"/>
      <c r="C38" s="3"/>
      <c r="D38" s="3"/>
      <c r="E38" s="3"/>
      <c r="F38" s="3"/>
      <c r="G38" s="4"/>
      <c r="H38" s="4"/>
      <c r="I38" s="4"/>
      <c r="J38" s="4"/>
      <c r="K38" s="4"/>
      <c r="L38" s="4"/>
    </row>
    <row r="39" spans="1:14">
      <c r="A39" s="7"/>
      <c r="B39" s="7"/>
      <c r="C39" s="7"/>
      <c r="D39" s="7"/>
      <c r="E39" s="7"/>
      <c r="F39" s="7"/>
      <c r="G39" s="7"/>
      <c r="H39" s="7"/>
      <c r="I39" s="7"/>
      <c r="J39" s="7"/>
      <c r="K39" s="7"/>
      <c r="L39" s="7"/>
    </row>
    <row r="40" spans="1:14">
      <c r="A40" s="7" t="s">
        <v>1</v>
      </c>
      <c r="B40" s="7"/>
      <c r="C40" s="7"/>
      <c r="D40" s="7"/>
      <c r="E40" s="7"/>
      <c r="F40" s="7"/>
      <c r="G40" s="7"/>
      <c r="H40" s="7"/>
      <c r="I40" s="7"/>
      <c r="J40" s="7"/>
      <c r="K40" s="7"/>
      <c r="L40" s="7"/>
    </row>
    <row r="41" spans="1:14">
      <c r="A41" s="7"/>
      <c r="B41" s="7"/>
      <c r="C41" s="7"/>
      <c r="D41" s="7"/>
      <c r="E41" s="7"/>
      <c r="F41" s="7"/>
      <c r="G41" s="7"/>
      <c r="H41" s="7"/>
      <c r="I41" s="7"/>
      <c r="J41" s="7"/>
      <c r="K41" s="7"/>
      <c r="L41" s="7"/>
    </row>
    <row r="42" spans="1:14">
      <c r="A42" s="107" t="s">
        <v>392</v>
      </c>
      <c r="B42" s="108"/>
      <c r="C42" s="109">
        <f>(1+D31)*(1+D32)-1</f>
        <v>2.4399999999999977E-2</v>
      </c>
      <c r="D42" s="108"/>
      <c r="E42" s="108"/>
      <c r="G42" s="7"/>
      <c r="H42" s="7"/>
      <c r="I42" s="7"/>
      <c r="J42" s="7"/>
      <c r="K42" s="7"/>
      <c r="L42" s="7"/>
    </row>
    <row r="43" spans="1:14">
      <c r="A43" s="107"/>
      <c r="B43" s="108"/>
      <c r="C43" s="109"/>
      <c r="D43" s="108"/>
      <c r="E43" s="108"/>
      <c r="G43" s="7"/>
      <c r="H43" s="7"/>
      <c r="I43" s="7"/>
      <c r="J43" s="7"/>
      <c r="K43" s="7"/>
      <c r="L43" s="7"/>
    </row>
    <row r="44" spans="1:14">
      <c r="A44" s="7"/>
      <c r="B44" s="7"/>
      <c r="C44" s="7"/>
      <c r="D44" s="328" t="s">
        <v>387</v>
      </c>
      <c r="E44" s="328"/>
      <c r="F44" s="7"/>
      <c r="G44" s="7"/>
      <c r="K44" s="7"/>
      <c r="L44" s="7"/>
    </row>
    <row r="45" spans="1:14" ht="47.25">
      <c r="A45" s="115" t="s">
        <v>79</v>
      </c>
      <c r="B45" s="115" t="s">
        <v>388</v>
      </c>
      <c r="C45" s="115" t="s">
        <v>394</v>
      </c>
      <c r="D45" s="115" t="s">
        <v>389</v>
      </c>
      <c r="E45" s="115" t="s">
        <v>390</v>
      </c>
      <c r="F45" s="115" t="s">
        <v>391</v>
      </c>
      <c r="G45" s="115" t="s">
        <v>393</v>
      </c>
      <c r="K45" s="7"/>
      <c r="L45" s="7"/>
    </row>
    <row r="46" spans="1:14">
      <c r="A46" s="110">
        <v>2014</v>
      </c>
      <c r="B46" s="111">
        <f t="shared" ref="B46:B53" si="0">1/E21</f>
        <v>1</v>
      </c>
      <c r="C46" s="112">
        <f t="shared" ref="C46:C53" si="1">C21*B46</f>
        <v>24282</v>
      </c>
      <c r="D46" s="113">
        <f t="shared" ref="D46:D52" si="2">D47*(1+$C$42)</f>
        <v>1.1838235864178657</v>
      </c>
      <c r="E46" s="114">
        <f t="shared" ref="E46:E49" si="3">1-$F$33</f>
        <v>0.9</v>
      </c>
      <c r="F46" s="112">
        <f t="shared" ref="F46:F53" si="4">D21*D46*E46</f>
        <v>3853.7009208660784</v>
      </c>
      <c r="G46" s="113">
        <f>F46/C46</f>
        <v>0.15870607531776948</v>
      </c>
      <c r="K46" s="7"/>
      <c r="L46" s="7"/>
    </row>
    <row r="47" spans="1:14">
      <c r="A47" s="110">
        <v>2015</v>
      </c>
      <c r="B47" s="111">
        <f t="shared" si="0"/>
        <v>0.98911968348170143</v>
      </c>
      <c r="C47" s="112">
        <f t="shared" si="1"/>
        <v>25137.48763600396</v>
      </c>
      <c r="D47" s="113">
        <f t="shared" si="2"/>
        <v>1.155626304585968</v>
      </c>
      <c r="E47" s="114">
        <f t="shared" si="3"/>
        <v>0.9</v>
      </c>
      <c r="F47" s="112">
        <f t="shared" si="4"/>
        <v>4325.6248206957371</v>
      </c>
      <c r="G47" s="113">
        <f t="shared" ref="G47:G54" si="5">F47/C47</f>
        <v>0.17207864538141929</v>
      </c>
      <c r="K47" s="7"/>
      <c r="L47" s="7"/>
    </row>
    <row r="48" spans="1:14">
      <c r="A48" s="110">
        <v>2016</v>
      </c>
      <c r="B48" s="111">
        <f t="shared" si="0"/>
        <v>0.94966761633428309</v>
      </c>
      <c r="C48" s="112">
        <f t="shared" si="1"/>
        <v>24942.07027540361</v>
      </c>
      <c r="D48" s="113">
        <f t="shared" si="2"/>
        <v>1.1281006487563141</v>
      </c>
      <c r="E48" s="114">
        <f t="shared" si="3"/>
        <v>0.9</v>
      </c>
      <c r="F48" s="112">
        <f t="shared" si="4"/>
        <v>2290.4955572348204</v>
      </c>
      <c r="G48" s="113">
        <f t="shared" si="5"/>
        <v>9.1832615815118243E-2</v>
      </c>
      <c r="K48" s="7"/>
      <c r="L48" s="7"/>
    </row>
    <row r="49" spans="1:12">
      <c r="A49" s="110">
        <v>2017</v>
      </c>
      <c r="B49" s="111">
        <f t="shared" si="0"/>
        <v>0.89766606822262107</v>
      </c>
      <c r="C49" s="112">
        <f t="shared" si="1"/>
        <v>24192.10053859964</v>
      </c>
      <c r="D49" s="113">
        <f t="shared" si="2"/>
        <v>1.1012306215895296</v>
      </c>
      <c r="E49" s="114">
        <f t="shared" si="3"/>
        <v>0.9</v>
      </c>
      <c r="F49" s="112">
        <f t="shared" si="4"/>
        <v>2388.5692182276894</v>
      </c>
      <c r="G49" s="113">
        <f t="shared" si="5"/>
        <v>9.8733436330450688E-2</v>
      </c>
      <c r="K49" s="7"/>
      <c r="L49" s="7"/>
    </row>
    <row r="50" spans="1:12">
      <c r="A50" s="110">
        <v>2018</v>
      </c>
      <c r="B50" s="111">
        <f t="shared" si="0"/>
        <v>0.81037277147487841</v>
      </c>
      <c r="C50" s="112">
        <f t="shared" si="1"/>
        <v>22726.094003241491</v>
      </c>
      <c r="D50" s="113">
        <f t="shared" si="2"/>
        <v>1.0750006067839999</v>
      </c>
      <c r="E50" s="114">
        <f>1-$F$33</f>
        <v>0.9</v>
      </c>
      <c r="F50" s="112">
        <f t="shared" si="4"/>
        <v>1984.3436200625856</v>
      </c>
      <c r="G50" s="113">
        <f t="shared" si="5"/>
        <v>8.7315647809058289E-2</v>
      </c>
      <c r="K50" s="7"/>
      <c r="L50" s="7"/>
    </row>
    <row r="51" spans="1:12">
      <c r="A51" s="110">
        <v>2019</v>
      </c>
      <c r="B51" s="111">
        <f t="shared" si="0"/>
        <v>0.7087172218284904</v>
      </c>
      <c r="C51" s="112">
        <f t="shared" si="1"/>
        <v>20630.758327427357</v>
      </c>
      <c r="D51" s="113">
        <f t="shared" si="2"/>
        <v>1.0493953599999999</v>
      </c>
      <c r="E51" s="114">
        <f>AVERAGE(E50,E52)</f>
        <v>0.95</v>
      </c>
      <c r="F51" s="112">
        <f t="shared" si="4"/>
        <v>2663.7851818239992</v>
      </c>
      <c r="G51" s="113">
        <f t="shared" si="5"/>
        <v>0.12911717250270227</v>
      </c>
      <c r="K51" s="7"/>
      <c r="L51" s="7"/>
    </row>
    <row r="52" spans="1:12">
      <c r="A52" s="110">
        <v>2020</v>
      </c>
      <c r="B52" s="111">
        <f t="shared" si="0"/>
        <v>0.52029136316337155</v>
      </c>
      <c r="C52" s="112">
        <f t="shared" si="1"/>
        <v>15546.305931321542</v>
      </c>
      <c r="D52" s="113">
        <f t="shared" si="2"/>
        <v>1.0244</v>
      </c>
      <c r="E52" s="114">
        <v>1</v>
      </c>
      <c r="F52" s="112">
        <f t="shared" si="4"/>
        <v>5019.5599999999995</v>
      </c>
      <c r="G52" s="113">
        <f t="shared" si="5"/>
        <v>0.32287798929049527</v>
      </c>
      <c r="K52" s="7"/>
      <c r="L52" s="7"/>
    </row>
    <row r="53" spans="1:12">
      <c r="A53" s="116">
        <v>2021</v>
      </c>
      <c r="B53" s="117">
        <f t="shared" si="0"/>
        <v>0.27979854504756574</v>
      </c>
      <c r="C53" s="118">
        <f t="shared" si="1"/>
        <v>8563.5142697257961</v>
      </c>
      <c r="D53" s="119">
        <v>1</v>
      </c>
      <c r="E53" s="120">
        <v>1</v>
      </c>
      <c r="F53" s="118">
        <f t="shared" si="4"/>
        <v>2699</v>
      </c>
      <c r="G53" s="119">
        <f t="shared" si="5"/>
        <v>0.31517434489969293</v>
      </c>
      <c r="K53" s="7"/>
      <c r="L53" s="7"/>
    </row>
    <row r="54" spans="1:12">
      <c r="A54" s="110" t="s">
        <v>83</v>
      </c>
      <c r="B54" s="111"/>
      <c r="C54" s="112">
        <f>SUM(C46:C53)</f>
        <v>166020.33098172341</v>
      </c>
      <c r="D54" s="7"/>
      <c r="E54" s="7"/>
      <c r="F54" s="112">
        <f>SUM(F46:F53)</f>
        <v>25225.07931891091</v>
      </c>
      <c r="G54" s="113">
        <f t="shared" si="5"/>
        <v>0.15193970021471556</v>
      </c>
      <c r="K54" s="7"/>
      <c r="L54" s="7"/>
    </row>
    <row r="56" spans="1:12">
      <c r="A56" s="6" t="s">
        <v>0</v>
      </c>
      <c r="B56" s="9" t="s">
        <v>253</v>
      </c>
      <c r="C56" s="4"/>
      <c r="D56" s="4"/>
      <c r="E56" s="4"/>
      <c r="F56" s="4"/>
      <c r="G56" s="4"/>
      <c r="H56" s="4"/>
      <c r="I56" s="4"/>
      <c r="J56" s="4"/>
      <c r="K56" s="4"/>
      <c r="L56" s="4"/>
    </row>
    <row r="57" spans="1:12">
      <c r="A57" s="3"/>
      <c r="B57" s="3"/>
      <c r="C57" s="3"/>
      <c r="D57" s="3"/>
      <c r="E57" s="3"/>
      <c r="F57" s="3"/>
      <c r="G57" s="4"/>
      <c r="H57" s="4"/>
      <c r="I57" s="4"/>
      <c r="J57" s="4"/>
      <c r="K57" s="4"/>
      <c r="L57" s="4"/>
    </row>
    <row r="58" spans="1:12">
      <c r="A58" s="7"/>
      <c r="B58" s="7"/>
      <c r="C58" s="7"/>
      <c r="D58" s="7"/>
      <c r="E58" s="7"/>
      <c r="F58" s="7"/>
      <c r="G58" s="7"/>
      <c r="H58" s="7"/>
      <c r="I58" s="7"/>
      <c r="J58" s="7"/>
      <c r="K58" s="7"/>
      <c r="L58" s="7"/>
    </row>
    <row r="59" spans="1:12">
      <c r="A59" s="7" t="s">
        <v>1</v>
      </c>
      <c r="B59" s="7"/>
      <c r="C59" s="7"/>
      <c r="D59" s="7"/>
      <c r="E59" s="7"/>
      <c r="F59" s="7"/>
      <c r="G59" s="7"/>
      <c r="H59" s="7"/>
      <c r="I59" s="7"/>
      <c r="J59" s="7"/>
      <c r="K59" s="7"/>
      <c r="L59" s="7"/>
    </row>
    <row r="60" spans="1:12">
      <c r="A60" s="7"/>
      <c r="B60" s="7"/>
      <c r="C60" s="7"/>
      <c r="D60" s="7"/>
      <c r="E60" s="7"/>
      <c r="F60" s="7"/>
      <c r="G60" s="7"/>
      <c r="H60" s="7"/>
      <c r="I60" s="7"/>
      <c r="J60" s="7"/>
      <c r="K60" s="7"/>
      <c r="L60" s="7"/>
    </row>
    <row r="61" spans="1:12">
      <c r="A61" s="7" t="s">
        <v>395</v>
      </c>
      <c r="B61" s="7"/>
      <c r="C61" s="7"/>
      <c r="D61" s="7"/>
      <c r="E61" s="7"/>
      <c r="F61" s="7"/>
      <c r="G61" s="7"/>
      <c r="H61" s="7"/>
      <c r="I61" s="7"/>
      <c r="J61" s="7"/>
      <c r="K61" s="7"/>
      <c r="L61" s="7"/>
    </row>
    <row r="62" spans="1:12">
      <c r="A62" s="1" t="s">
        <v>396</v>
      </c>
    </row>
    <row r="64" spans="1:12">
      <c r="A64" s="6" t="s">
        <v>2</v>
      </c>
      <c r="B64" s="9" t="s">
        <v>254</v>
      </c>
      <c r="C64" s="4"/>
      <c r="D64" s="4"/>
      <c r="E64" s="4"/>
      <c r="F64" s="4"/>
      <c r="G64" s="4"/>
      <c r="H64" s="4"/>
      <c r="I64" s="4"/>
      <c r="J64" s="4"/>
      <c r="K64" s="4"/>
      <c r="L64" s="4"/>
    </row>
    <row r="65" spans="1:13">
      <c r="A65" s="3"/>
      <c r="B65" s="3"/>
      <c r="C65" s="3"/>
      <c r="D65" s="3"/>
      <c r="E65" s="3"/>
      <c r="F65" s="3"/>
      <c r="G65" s="4"/>
      <c r="H65" s="4"/>
      <c r="I65" s="4"/>
      <c r="J65" s="4"/>
      <c r="K65" s="4"/>
      <c r="L65" s="4"/>
    </row>
    <row r="66" spans="1:13">
      <c r="A66" s="7"/>
      <c r="B66" s="7"/>
      <c r="C66" s="7"/>
      <c r="D66" s="7"/>
      <c r="E66" s="7"/>
      <c r="F66" s="7"/>
      <c r="G66" s="7"/>
      <c r="H66" s="7"/>
      <c r="I66" s="7"/>
      <c r="J66" s="7"/>
      <c r="K66" s="7"/>
      <c r="L66" s="7"/>
    </row>
    <row r="67" spans="1:13">
      <c r="A67" s="7" t="s">
        <v>1</v>
      </c>
      <c r="B67" s="7"/>
      <c r="C67" s="7"/>
      <c r="D67" s="7"/>
      <c r="E67" s="7"/>
      <c r="F67" s="7"/>
      <c r="G67" s="7"/>
      <c r="H67" s="7"/>
      <c r="I67" s="7"/>
      <c r="J67" s="7"/>
      <c r="K67" s="7"/>
      <c r="L67" s="7"/>
    </row>
    <row r="68" spans="1:13">
      <c r="A68" s="7"/>
      <c r="B68" s="122"/>
      <c r="C68" s="122"/>
      <c r="D68" s="122"/>
      <c r="E68" s="122"/>
      <c r="F68" s="7"/>
      <c r="G68" s="7"/>
      <c r="H68" s="7"/>
      <c r="I68" s="7"/>
      <c r="J68" s="7"/>
      <c r="K68" s="7"/>
      <c r="L68" s="7"/>
    </row>
    <row r="69" spans="1:13" ht="31.5">
      <c r="A69" s="115" t="s">
        <v>79</v>
      </c>
      <c r="B69" s="115" t="s">
        <v>403</v>
      </c>
      <c r="C69" s="115" t="s">
        <v>397</v>
      </c>
      <c r="D69" s="115" t="s">
        <v>398</v>
      </c>
      <c r="E69" s="115" t="s">
        <v>402</v>
      </c>
      <c r="F69" s="7"/>
      <c r="G69" s="7"/>
      <c r="H69" s="7"/>
      <c r="I69" s="7"/>
      <c r="J69" s="7"/>
      <c r="K69" s="7"/>
      <c r="L69" s="7"/>
    </row>
    <row r="70" spans="1:13">
      <c r="A70" s="110">
        <v>2014</v>
      </c>
      <c r="B70" s="112">
        <f t="shared" ref="B70:B77" si="6">($G$54*C21)/(D46*E46)</f>
        <v>3462.790536381528</v>
      </c>
      <c r="C70" s="111">
        <f t="shared" ref="C70:C77" si="7">1-B46</f>
        <v>0</v>
      </c>
      <c r="D70" s="112">
        <f>B70*C70</f>
        <v>0</v>
      </c>
      <c r="E70" s="112">
        <f t="shared" ref="E70:E77" si="8">D21+D70</f>
        <v>3617</v>
      </c>
      <c r="F70" s="7"/>
      <c r="G70" s="7"/>
      <c r="H70" s="7"/>
      <c r="I70" s="7"/>
      <c r="J70" s="7"/>
      <c r="K70" s="7"/>
      <c r="L70" s="7"/>
    </row>
    <row r="71" spans="1:13">
      <c r="A71" s="110">
        <v>2015</v>
      </c>
      <c r="B71" s="112">
        <f t="shared" si="6"/>
        <v>3712.6530204956434</v>
      </c>
      <c r="C71" s="111">
        <f t="shared" si="7"/>
        <v>1.0880316518298572E-2</v>
      </c>
      <c r="D71" s="112">
        <f t="shared" ref="D71:D77" si="9">B71*C71</f>
        <v>40.394839985609835</v>
      </c>
      <c r="E71" s="112">
        <f t="shared" si="8"/>
        <v>4199.3948399856099</v>
      </c>
      <c r="F71" s="7"/>
      <c r="G71" s="7"/>
      <c r="H71" s="7"/>
      <c r="I71" s="7"/>
      <c r="J71" s="7"/>
      <c r="K71" s="7"/>
      <c r="L71" s="7"/>
    </row>
    <row r="72" spans="1:13">
      <c r="A72" s="110">
        <v>2016</v>
      </c>
      <c r="B72" s="112">
        <f t="shared" si="6"/>
        <v>3930.4454801368074</v>
      </c>
      <c r="C72" s="111">
        <f t="shared" si="7"/>
        <v>5.0332383665716907E-2</v>
      </c>
      <c r="D72" s="112">
        <f t="shared" si="9"/>
        <v>197.82868988342869</v>
      </c>
      <c r="E72" s="112">
        <f t="shared" si="8"/>
        <v>2453.8286898834285</v>
      </c>
      <c r="F72" s="7"/>
      <c r="G72" s="7"/>
      <c r="H72" s="7"/>
      <c r="I72" s="7"/>
      <c r="J72" s="7"/>
      <c r="K72" s="7"/>
      <c r="L72" s="7"/>
    </row>
    <row r="73" spans="1:13">
      <c r="A73" s="110">
        <v>2017</v>
      </c>
      <c r="B73" s="112">
        <f t="shared" si="6"/>
        <v>4131.5141649602247</v>
      </c>
      <c r="C73" s="111">
        <f t="shared" si="7"/>
        <v>0.10233393177737893</v>
      </c>
      <c r="D73" s="112">
        <f t="shared" si="9"/>
        <v>422.79408869431433</v>
      </c>
      <c r="E73" s="112">
        <f t="shared" si="8"/>
        <v>2832.7940886943143</v>
      </c>
    </row>
    <row r="74" spans="1:13">
      <c r="A74" s="110">
        <v>2018</v>
      </c>
      <c r="B74" s="112">
        <f t="shared" si="6"/>
        <v>4404.1287314750598</v>
      </c>
      <c r="C74" s="111">
        <f t="shared" si="7"/>
        <v>0.18962722852512159</v>
      </c>
      <c r="D74" s="112">
        <f t="shared" si="9"/>
        <v>835.14272541747505</v>
      </c>
      <c r="E74" s="112">
        <f t="shared" si="8"/>
        <v>2886.142725417475</v>
      </c>
    </row>
    <row r="75" spans="1:13">
      <c r="A75" s="110">
        <v>2019</v>
      </c>
      <c r="B75" s="112">
        <f t="shared" si="6"/>
        <v>4436.6046059437203</v>
      </c>
      <c r="C75" s="111">
        <f t="shared" si="7"/>
        <v>0.2912827781715096</v>
      </c>
      <c r="D75" s="112">
        <f t="shared" si="9"/>
        <v>1292.3065152678025</v>
      </c>
      <c r="E75" s="112">
        <f t="shared" si="8"/>
        <v>3964.3065152678028</v>
      </c>
      <c r="M75" s="7"/>
    </row>
    <row r="76" spans="1:13">
      <c r="A76" s="110">
        <v>2020</v>
      </c>
      <c r="B76" s="112">
        <f t="shared" si="6"/>
        <v>4431.8217907220824</v>
      </c>
      <c r="C76" s="111">
        <f t="shared" si="7"/>
        <v>0.47970863683662845</v>
      </c>
      <c r="D76" s="112">
        <f t="shared" si="9"/>
        <v>2125.9831899301557</v>
      </c>
      <c r="E76" s="112">
        <f t="shared" si="8"/>
        <v>7025.9831899301553</v>
      </c>
      <c r="M76" s="7"/>
    </row>
    <row r="77" spans="1:13">
      <c r="A77" s="116">
        <v>2021</v>
      </c>
      <c r="B77" s="118">
        <f t="shared" si="6"/>
        <v>4650.2664647715847</v>
      </c>
      <c r="C77" s="117">
        <f t="shared" si="7"/>
        <v>0.72020145495243426</v>
      </c>
      <c r="D77" s="118">
        <f t="shared" si="9"/>
        <v>3349.1286738450081</v>
      </c>
      <c r="E77" s="118">
        <f t="shared" si="8"/>
        <v>6048.1286738450081</v>
      </c>
    </row>
    <row r="78" spans="1:13">
      <c r="A78" s="110" t="s">
        <v>83</v>
      </c>
      <c r="B78" s="112">
        <f>SUM(B70:B77)</f>
        <v>33160.22479488665</v>
      </c>
      <c r="D78" s="112">
        <f>SUM(D70:D77)</f>
        <v>8263.5787230237947</v>
      </c>
      <c r="E78" s="112">
        <f>SUM(E70:E77)</f>
        <v>33027.578723023791</v>
      </c>
    </row>
    <row r="81" spans="1:12">
      <c r="A81" s="6" t="s">
        <v>3</v>
      </c>
      <c r="B81" s="9" t="s">
        <v>255</v>
      </c>
      <c r="C81" s="4"/>
      <c r="D81" s="4"/>
      <c r="E81" s="4"/>
      <c r="F81" s="4"/>
      <c r="G81" s="4"/>
      <c r="H81" s="4"/>
      <c r="I81" s="4"/>
      <c r="J81" s="4"/>
      <c r="K81" s="4"/>
      <c r="L81" s="4"/>
    </row>
    <row r="82" spans="1:12">
      <c r="A82" s="3"/>
      <c r="B82" s="3"/>
      <c r="C82" s="3"/>
      <c r="D82" s="3"/>
      <c r="E82" s="3"/>
      <c r="F82" s="3"/>
      <c r="G82" s="4"/>
      <c r="H82" s="4"/>
      <c r="I82" s="4"/>
      <c r="J82" s="4"/>
      <c r="K82" s="4"/>
      <c r="L82" s="4"/>
    </row>
    <row r="83" spans="1:12">
      <c r="A83" s="7"/>
      <c r="B83" s="7"/>
      <c r="C83" s="7"/>
      <c r="D83" s="7"/>
      <c r="E83" s="7"/>
      <c r="F83" s="7"/>
      <c r="G83" s="7"/>
      <c r="H83" s="7"/>
      <c r="I83" s="7"/>
      <c r="J83" s="7"/>
      <c r="K83" s="7"/>
      <c r="L83" s="7"/>
    </row>
    <row r="84" spans="1:12">
      <c r="A84" s="7" t="s">
        <v>1</v>
      </c>
      <c r="B84" s="7"/>
      <c r="C84" s="7"/>
      <c r="D84" s="7"/>
      <c r="E84" s="7"/>
      <c r="F84" s="7"/>
      <c r="G84" s="7"/>
      <c r="H84" s="7"/>
      <c r="I84" s="7"/>
      <c r="J84" s="7"/>
      <c r="K84" s="7"/>
      <c r="L84" s="7"/>
    </row>
    <row r="85" spans="1:12">
      <c r="A85" s="7"/>
      <c r="B85" s="7"/>
      <c r="C85" s="7"/>
      <c r="D85" s="7"/>
      <c r="E85" s="7"/>
      <c r="F85" s="7"/>
      <c r="G85" s="7"/>
      <c r="H85" s="7"/>
      <c r="I85" s="7"/>
      <c r="J85" s="7"/>
      <c r="K85" s="7"/>
      <c r="L85" s="7"/>
    </row>
    <row r="86" spans="1:12" ht="47.25">
      <c r="A86" s="115" t="s">
        <v>79</v>
      </c>
      <c r="B86" s="115" t="s">
        <v>399</v>
      </c>
      <c r="C86" s="115" t="s">
        <v>400</v>
      </c>
      <c r="D86" s="115" t="s">
        <v>401</v>
      </c>
      <c r="E86" s="115" t="s">
        <v>404</v>
      </c>
      <c r="F86" s="7"/>
      <c r="G86" s="7"/>
      <c r="H86" s="7"/>
      <c r="I86" s="7"/>
      <c r="J86" s="7"/>
      <c r="K86" s="7"/>
      <c r="L86" s="7"/>
    </row>
    <row r="87" spans="1:12">
      <c r="A87" s="110">
        <v>2014</v>
      </c>
      <c r="B87" s="112">
        <f t="shared" ref="B87:B94" si="10">D21</f>
        <v>3617</v>
      </c>
      <c r="C87" s="112">
        <f t="shared" ref="C87:C94" si="11">B70-D70</f>
        <v>3462.790536381528</v>
      </c>
      <c r="D87" s="123">
        <f>B87-C87</f>
        <v>154.209463618472</v>
      </c>
      <c r="E87" s="121">
        <f>D87/B87</f>
        <v>4.2634631910000553E-2</v>
      </c>
      <c r="F87" s="7"/>
      <c r="G87" s="7"/>
      <c r="H87" s="7"/>
      <c r="I87" s="7"/>
      <c r="J87" s="7"/>
      <c r="K87" s="7"/>
      <c r="L87" s="7"/>
    </row>
    <row r="88" spans="1:12">
      <c r="A88" s="110">
        <v>2015</v>
      </c>
      <c r="B88" s="112">
        <f t="shared" si="10"/>
        <v>4159</v>
      </c>
      <c r="C88" s="112">
        <f t="shared" si="11"/>
        <v>3672.2581805100335</v>
      </c>
      <c r="D88" s="123">
        <f t="shared" ref="D88:D95" si="12">B88-C88</f>
        <v>486.74181948996647</v>
      </c>
      <c r="E88" s="121">
        <f t="shared" ref="E88:E95" si="13">D88/B88</f>
        <v>0.1170333780932836</v>
      </c>
      <c r="F88" s="7"/>
      <c r="G88" s="7"/>
      <c r="H88" s="7"/>
      <c r="I88" s="7"/>
      <c r="J88" s="7"/>
      <c r="K88" s="7"/>
      <c r="L88" s="7"/>
    </row>
    <row r="89" spans="1:12">
      <c r="A89" s="110">
        <v>2016</v>
      </c>
      <c r="B89" s="112">
        <f t="shared" si="10"/>
        <v>2256</v>
      </c>
      <c r="C89" s="112">
        <f t="shared" si="11"/>
        <v>3732.6167902533789</v>
      </c>
      <c r="D89" s="123">
        <f t="shared" si="12"/>
        <v>-1476.6167902533789</v>
      </c>
      <c r="E89" s="121">
        <f t="shared" si="13"/>
        <v>-0.6545287190839445</v>
      </c>
      <c r="F89" s="7"/>
      <c r="G89" s="7"/>
      <c r="H89" s="7"/>
      <c r="I89" s="7"/>
      <c r="J89" s="7"/>
      <c r="K89" s="7"/>
      <c r="L89" s="7"/>
    </row>
    <row r="90" spans="1:12">
      <c r="A90" s="110">
        <v>2017</v>
      </c>
      <c r="B90" s="112">
        <f t="shared" si="10"/>
        <v>2410</v>
      </c>
      <c r="C90" s="112">
        <f t="shared" si="11"/>
        <v>3708.7200762659104</v>
      </c>
      <c r="D90" s="123">
        <f t="shared" si="12"/>
        <v>-1298.7200762659104</v>
      </c>
      <c r="E90" s="121">
        <f t="shared" si="13"/>
        <v>-0.53888799845058521</v>
      </c>
      <c r="F90" s="7"/>
      <c r="G90" s="7"/>
      <c r="H90" s="7"/>
      <c r="I90" s="7"/>
      <c r="J90" s="7"/>
      <c r="K90" s="7"/>
      <c r="L90" s="7"/>
    </row>
    <row r="91" spans="1:12">
      <c r="A91" s="110">
        <v>2018</v>
      </c>
      <c r="B91" s="112">
        <f t="shared" si="10"/>
        <v>2051</v>
      </c>
      <c r="C91" s="112">
        <f t="shared" si="11"/>
        <v>3568.9860060575847</v>
      </c>
      <c r="D91" s="123">
        <f t="shared" si="12"/>
        <v>-1517.9860060575847</v>
      </c>
      <c r="E91" s="121">
        <f t="shared" si="13"/>
        <v>-0.74011994444543383</v>
      </c>
      <c r="F91" s="7"/>
      <c r="G91" s="7"/>
      <c r="H91" s="7"/>
      <c r="I91" s="7"/>
      <c r="J91" s="7"/>
      <c r="K91" s="7"/>
      <c r="L91" s="7"/>
    </row>
    <row r="92" spans="1:12">
      <c r="A92" s="110">
        <v>2019</v>
      </c>
      <c r="B92" s="112">
        <f t="shared" si="10"/>
        <v>2672</v>
      </c>
      <c r="C92" s="112">
        <f t="shared" si="11"/>
        <v>3144.2980906759176</v>
      </c>
      <c r="D92" s="123">
        <f t="shared" si="12"/>
        <v>-472.29809067591759</v>
      </c>
      <c r="E92" s="121">
        <f t="shared" si="13"/>
        <v>-0.17675826746853204</v>
      </c>
    </row>
    <row r="93" spans="1:12">
      <c r="A93" s="110">
        <v>2020</v>
      </c>
      <c r="B93" s="112">
        <f t="shared" si="10"/>
        <v>4900</v>
      </c>
      <c r="C93" s="112">
        <f t="shared" si="11"/>
        <v>2305.8386007919266</v>
      </c>
      <c r="D93" s="123">
        <f t="shared" si="12"/>
        <v>2594.1613992080734</v>
      </c>
      <c r="E93" s="121">
        <f t="shared" si="13"/>
        <v>0.52942069371593337</v>
      </c>
    </row>
    <row r="94" spans="1:12">
      <c r="A94" s="116">
        <v>2021</v>
      </c>
      <c r="B94" s="118">
        <f t="shared" si="10"/>
        <v>2699</v>
      </c>
      <c r="C94" s="118">
        <f t="shared" si="11"/>
        <v>1301.1377909265766</v>
      </c>
      <c r="D94" s="124">
        <f t="shared" si="12"/>
        <v>1397.8622090734234</v>
      </c>
      <c r="E94" s="125">
        <f t="shared" si="13"/>
        <v>0.51791856579230211</v>
      </c>
    </row>
    <row r="95" spans="1:12">
      <c r="A95" s="110" t="s">
        <v>83</v>
      </c>
      <c r="B95" s="112">
        <f>SUM(B87:B94)</f>
        <v>24764</v>
      </c>
      <c r="C95" s="112">
        <f>SUM(C87:C94)</f>
        <v>24896.646071862855</v>
      </c>
      <c r="D95" s="123">
        <f t="shared" si="12"/>
        <v>-132.64607186285502</v>
      </c>
      <c r="E95" s="121">
        <f t="shared" si="13"/>
        <v>-5.3564073599925302E-3</v>
      </c>
    </row>
    <row r="97" spans="1:12">
      <c r="A97" s="6" t="s">
        <v>7</v>
      </c>
      <c r="B97" s="9" t="s">
        <v>361</v>
      </c>
      <c r="C97" s="4"/>
      <c r="D97" s="4"/>
      <c r="E97" s="4"/>
      <c r="F97" s="4"/>
      <c r="G97" s="4"/>
      <c r="H97" s="4"/>
      <c r="I97" s="4"/>
      <c r="J97" s="4"/>
      <c r="K97" s="4"/>
      <c r="L97" s="4"/>
    </row>
    <row r="98" spans="1:12">
      <c r="A98" s="3"/>
      <c r="B98" s="3"/>
      <c r="C98" s="3"/>
      <c r="D98" s="3"/>
      <c r="E98" s="3"/>
      <c r="F98" s="3"/>
      <c r="G98" s="4"/>
      <c r="H98" s="4"/>
      <c r="I98" s="4"/>
      <c r="J98" s="4"/>
      <c r="K98" s="4"/>
      <c r="L98" s="4"/>
    </row>
    <row r="99" spans="1:12">
      <c r="A99" s="7"/>
      <c r="B99" s="7"/>
      <c r="C99" s="7"/>
      <c r="D99" s="7"/>
      <c r="E99" s="7"/>
      <c r="F99" s="7"/>
      <c r="G99" s="7"/>
      <c r="H99" s="7"/>
      <c r="I99" s="7"/>
      <c r="J99" s="7"/>
      <c r="K99" s="7"/>
      <c r="L99" s="7"/>
    </row>
    <row r="100" spans="1:12">
      <c r="A100" s="7" t="s">
        <v>1</v>
      </c>
      <c r="B100" s="7"/>
      <c r="C100" s="7"/>
      <c r="D100" s="7"/>
      <c r="E100" s="7"/>
      <c r="F100" s="7"/>
      <c r="G100" s="7"/>
      <c r="H100" s="7"/>
      <c r="I100" s="7"/>
      <c r="J100" s="7"/>
      <c r="K100" s="7"/>
      <c r="L100" s="7"/>
    </row>
    <row r="101" spans="1:12">
      <c r="A101" s="7"/>
      <c r="B101" s="7"/>
      <c r="C101" s="7"/>
      <c r="D101" s="7"/>
      <c r="E101" s="7"/>
      <c r="F101" s="7"/>
      <c r="G101" s="7"/>
      <c r="H101" s="7"/>
      <c r="I101" s="7"/>
      <c r="J101" s="7"/>
      <c r="K101" s="7"/>
      <c r="L101" s="7"/>
    </row>
    <row r="102" spans="1:12">
      <c r="A102" s="7" t="s">
        <v>405</v>
      </c>
      <c r="B102" s="7"/>
      <c r="C102" s="7"/>
      <c r="D102" s="7"/>
      <c r="E102" s="7"/>
      <c r="F102" s="7"/>
      <c r="G102" s="7"/>
      <c r="H102" s="7"/>
      <c r="I102" s="7"/>
      <c r="J102" s="7"/>
      <c r="K102" s="7"/>
      <c r="L102" s="7"/>
    </row>
    <row r="103" spans="1:12">
      <c r="A103" s="1" t="s">
        <v>406</v>
      </c>
    </row>
    <row r="105" spans="1:12">
      <c r="A105" s="6" t="s">
        <v>8</v>
      </c>
      <c r="B105" s="9" t="s">
        <v>256</v>
      </c>
      <c r="C105" s="4"/>
      <c r="D105" s="4"/>
      <c r="E105" s="4"/>
      <c r="F105" s="4"/>
      <c r="G105" s="4"/>
      <c r="H105" s="4"/>
      <c r="I105" s="4"/>
      <c r="J105" s="4"/>
      <c r="K105" s="4"/>
      <c r="L105" s="4"/>
    </row>
    <row r="106" spans="1:12">
      <c r="A106" s="3"/>
      <c r="B106" s="3"/>
      <c r="C106" s="3"/>
      <c r="D106" s="3"/>
      <c r="E106" s="3"/>
      <c r="F106" s="3"/>
      <c r="G106" s="4"/>
      <c r="H106" s="4"/>
      <c r="I106" s="4"/>
      <c r="J106" s="4"/>
      <c r="K106" s="4"/>
      <c r="L106" s="4"/>
    </row>
    <row r="107" spans="1:12">
      <c r="A107" s="7"/>
      <c r="B107" s="7"/>
      <c r="C107" s="7"/>
      <c r="D107" s="7"/>
      <c r="E107" s="7"/>
      <c r="F107" s="7"/>
      <c r="G107" s="7"/>
      <c r="H107" s="7"/>
      <c r="I107" s="7"/>
      <c r="J107" s="7"/>
      <c r="K107" s="7"/>
      <c r="L107" s="7"/>
    </row>
    <row r="108" spans="1:12">
      <c r="A108" s="7" t="s">
        <v>1</v>
      </c>
      <c r="B108" s="7"/>
      <c r="C108" s="7"/>
      <c r="D108" s="7"/>
      <c r="E108" s="7"/>
      <c r="F108" s="7"/>
      <c r="G108" s="7"/>
      <c r="H108" s="7"/>
      <c r="I108" s="7"/>
      <c r="J108" s="7"/>
      <c r="K108" s="7"/>
      <c r="L108" s="7"/>
    </row>
    <row r="109" spans="1:12">
      <c r="A109" s="7"/>
      <c r="B109" s="7"/>
      <c r="C109" s="7"/>
      <c r="D109" s="7"/>
      <c r="E109" s="7"/>
      <c r="F109" s="7"/>
      <c r="G109" s="7"/>
      <c r="H109" s="7"/>
      <c r="I109" s="7"/>
      <c r="J109" s="7"/>
      <c r="K109" s="7"/>
      <c r="L109" s="7"/>
    </row>
    <row r="110" spans="1:12">
      <c r="A110" s="127" t="s">
        <v>407</v>
      </c>
      <c r="B110" s="7"/>
      <c r="C110" s="7"/>
      <c r="D110" s="7"/>
      <c r="E110" s="7"/>
      <c r="F110" s="7"/>
      <c r="G110" s="7"/>
      <c r="H110" s="7"/>
      <c r="I110" s="7"/>
      <c r="J110" s="7"/>
      <c r="K110" s="7"/>
      <c r="L110" s="7"/>
    </row>
    <row r="111" spans="1:12">
      <c r="A111" s="126" t="s">
        <v>408</v>
      </c>
    </row>
    <row r="112" spans="1:12">
      <c r="A112" s="126" t="s">
        <v>409</v>
      </c>
    </row>
  </sheetData>
  <mergeCells count="2">
    <mergeCell ref="B36:K37"/>
    <mergeCell ref="D44:E44"/>
  </mergeCell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FCEF-F49E-4052-8294-F23F826DC629}">
  <dimension ref="A1:R129"/>
  <sheetViews>
    <sheetView zoomScaleNormal="100" workbookViewId="0"/>
  </sheetViews>
  <sheetFormatPr defaultColWidth="8.85546875" defaultRowHeight="15.75"/>
  <cols>
    <col min="1" max="1" width="8.85546875" style="1" customWidth="1"/>
    <col min="2" max="2" width="10.7109375" style="1" customWidth="1"/>
    <col min="3" max="9" width="14.7109375" style="1" customWidth="1"/>
    <col min="10" max="16384" width="8.85546875" style="1"/>
  </cols>
  <sheetData>
    <row r="1" spans="1:12" ht="18.75">
      <c r="A1" s="2" t="s">
        <v>257</v>
      </c>
      <c r="B1" s="4"/>
      <c r="C1" s="9" t="s">
        <v>13</v>
      </c>
      <c r="D1" s="4"/>
      <c r="E1" s="4"/>
      <c r="F1" s="4"/>
      <c r="G1" s="4"/>
      <c r="H1" s="4"/>
      <c r="I1" s="4"/>
      <c r="J1" s="4"/>
      <c r="K1" s="4"/>
      <c r="L1" s="3"/>
    </row>
    <row r="2" spans="1:12">
      <c r="A2" s="4"/>
      <c r="B2" s="4"/>
      <c r="C2" s="4"/>
      <c r="D2" s="4"/>
      <c r="E2" s="4"/>
      <c r="F2" s="4"/>
      <c r="G2" s="4"/>
      <c r="H2" s="4"/>
      <c r="I2" s="4"/>
      <c r="J2" s="4"/>
      <c r="K2" s="4"/>
      <c r="L2" s="3"/>
    </row>
    <row r="3" spans="1:12">
      <c r="A3" s="14" t="s">
        <v>362</v>
      </c>
      <c r="B3" s="16"/>
      <c r="C3" s="16"/>
      <c r="D3" s="16"/>
      <c r="E3" s="16"/>
      <c r="F3" s="16"/>
      <c r="G3" s="16"/>
      <c r="H3" s="16"/>
      <c r="I3" s="9"/>
      <c r="J3" s="9"/>
      <c r="K3" s="9"/>
      <c r="L3" s="3"/>
    </row>
    <row r="4" spans="1:12">
      <c r="A4" s="15"/>
      <c r="B4" s="16"/>
      <c r="C4" s="16"/>
      <c r="D4" s="16"/>
      <c r="E4" s="16"/>
      <c r="F4" s="16"/>
      <c r="G4" s="16"/>
      <c r="H4" s="16"/>
      <c r="I4" s="9"/>
      <c r="J4" s="9"/>
      <c r="K4" s="9"/>
      <c r="L4" s="9"/>
    </row>
    <row r="5" spans="1:12">
      <c r="A5" s="9"/>
      <c r="B5" s="70"/>
      <c r="C5" s="331" t="s">
        <v>258</v>
      </c>
      <c r="D5" s="332"/>
      <c r="E5" s="332"/>
      <c r="F5" s="332"/>
      <c r="G5" s="332"/>
      <c r="H5" s="332"/>
      <c r="I5" s="333"/>
      <c r="J5" s="9"/>
      <c r="K5" s="9"/>
      <c r="L5" s="9"/>
    </row>
    <row r="6" spans="1:12">
      <c r="A6" s="9"/>
      <c r="B6" s="334" t="s">
        <v>259</v>
      </c>
      <c r="C6" s="336" t="s">
        <v>260</v>
      </c>
      <c r="D6" s="337"/>
      <c r="E6" s="337"/>
      <c r="F6" s="337"/>
      <c r="G6" s="337"/>
      <c r="H6" s="337"/>
      <c r="I6" s="338"/>
      <c r="J6" s="9"/>
      <c r="K6" s="9"/>
      <c r="L6" s="9"/>
    </row>
    <row r="7" spans="1:12">
      <c r="A7" s="9"/>
      <c r="B7" s="335"/>
      <c r="C7" s="71">
        <v>2015</v>
      </c>
      <c r="D7" s="72">
        <v>2016</v>
      </c>
      <c r="E7" s="72">
        <v>2017</v>
      </c>
      <c r="F7" s="72">
        <v>2018</v>
      </c>
      <c r="G7" s="72">
        <v>2019</v>
      </c>
      <c r="H7" s="72">
        <v>2020</v>
      </c>
      <c r="I7" s="72">
        <v>2021</v>
      </c>
      <c r="J7" s="9"/>
      <c r="K7" s="9"/>
      <c r="L7" s="9"/>
    </row>
    <row r="8" spans="1:12">
      <c r="A8" s="9"/>
      <c r="B8" s="66">
        <v>2015</v>
      </c>
      <c r="C8" s="34">
        <v>330</v>
      </c>
      <c r="D8" s="35">
        <v>1380</v>
      </c>
      <c r="E8" s="35">
        <v>1315</v>
      </c>
      <c r="F8" s="34">
        <v>577</v>
      </c>
      <c r="G8" s="34">
        <v>118</v>
      </c>
      <c r="H8" s="34">
        <v>21</v>
      </c>
      <c r="I8" s="34">
        <v>5</v>
      </c>
      <c r="J8" s="9"/>
      <c r="K8" s="9"/>
      <c r="L8" s="9"/>
    </row>
    <row r="9" spans="1:12">
      <c r="A9" s="9"/>
      <c r="B9" s="34">
        <v>2016</v>
      </c>
      <c r="C9" s="34"/>
      <c r="D9" s="34">
        <v>351</v>
      </c>
      <c r="E9" s="35">
        <v>1855</v>
      </c>
      <c r="F9" s="35">
        <v>1479</v>
      </c>
      <c r="G9" s="34">
        <v>428</v>
      </c>
      <c r="H9" s="34">
        <v>91</v>
      </c>
      <c r="I9" s="34">
        <v>8</v>
      </c>
      <c r="J9" s="9"/>
      <c r="K9" s="9"/>
      <c r="L9" s="9"/>
    </row>
    <row r="10" spans="1:12">
      <c r="A10" s="9"/>
      <c r="B10" s="34">
        <v>2017</v>
      </c>
      <c r="C10" s="34"/>
      <c r="D10" s="34"/>
      <c r="E10" s="34">
        <v>436</v>
      </c>
      <c r="F10" s="35">
        <v>1489</v>
      </c>
      <c r="G10" s="35">
        <v>1252</v>
      </c>
      <c r="H10" s="34">
        <v>933</v>
      </c>
      <c r="I10" s="34">
        <v>168</v>
      </c>
      <c r="J10" s="9"/>
      <c r="K10" s="9"/>
      <c r="L10" s="9"/>
    </row>
    <row r="11" spans="1:12">
      <c r="A11" s="9"/>
      <c r="B11" s="34">
        <v>2018</v>
      </c>
      <c r="C11" s="34"/>
      <c r="D11" s="34"/>
      <c r="E11" s="34"/>
      <c r="F11" s="34">
        <v>423</v>
      </c>
      <c r="G11" s="35">
        <v>1592</v>
      </c>
      <c r="H11" s="35">
        <v>1182</v>
      </c>
      <c r="I11" s="34">
        <v>670</v>
      </c>
      <c r="J11" s="9"/>
      <c r="K11" s="9"/>
      <c r="L11" s="9"/>
    </row>
    <row r="12" spans="1:12">
      <c r="A12" s="9"/>
      <c r="B12" s="34">
        <v>2019</v>
      </c>
      <c r="C12" s="34"/>
      <c r="D12" s="34"/>
      <c r="E12" s="34"/>
      <c r="F12" s="34"/>
      <c r="G12" s="34">
        <v>449</v>
      </c>
      <c r="H12" s="35">
        <v>1675</v>
      </c>
      <c r="I12" s="35">
        <v>1540</v>
      </c>
      <c r="J12" s="9"/>
      <c r="K12" s="9"/>
      <c r="L12" s="9"/>
    </row>
    <row r="13" spans="1:12">
      <c r="A13" s="9"/>
      <c r="B13" s="34">
        <v>2020</v>
      </c>
      <c r="C13" s="34"/>
      <c r="D13" s="34"/>
      <c r="E13" s="34"/>
      <c r="F13" s="34"/>
      <c r="G13" s="34"/>
      <c r="H13" s="34">
        <v>354</v>
      </c>
      <c r="I13" s="35">
        <v>1709</v>
      </c>
      <c r="J13" s="9"/>
      <c r="K13" s="9"/>
      <c r="L13" s="9"/>
    </row>
    <row r="14" spans="1:12">
      <c r="A14" s="9"/>
      <c r="B14" s="34">
        <v>2021</v>
      </c>
      <c r="C14" s="34"/>
      <c r="D14" s="34"/>
      <c r="E14" s="34"/>
      <c r="F14" s="34"/>
      <c r="G14" s="34"/>
      <c r="H14" s="34"/>
      <c r="I14" s="34">
        <v>584</v>
      </c>
      <c r="J14" s="9"/>
      <c r="K14" s="9"/>
      <c r="L14" s="9"/>
    </row>
    <row r="15" spans="1:12">
      <c r="A15" s="9"/>
      <c r="B15" s="15"/>
      <c r="C15" s="40"/>
      <c r="D15" s="40"/>
      <c r="E15" s="40"/>
      <c r="F15" s="40"/>
      <c r="G15" s="40"/>
      <c r="H15" s="40"/>
      <c r="I15" s="40"/>
      <c r="J15" s="9"/>
      <c r="K15" s="9"/>
      <c r="L15" s="9"/>
    </row>
    <row r="16" spans="1:12">
      <c r="A16" s="9"/>
      <c r="B16" s="310" t="s">
        <v>261</v>
      </c>
      <c r="C16" s="313" t="s">
        <v>262</v>
      </c>
      <c r="D16" s="313"/>
      <c r="E16" s="313"/>
      <c r="F16" s="313"/>
      <c r="G16" s="313"/>
      <c r="H16" s="313"/>
      <c r="I16" s="313"/>
      <c r="J16" s="9"/>
      <c r="K16" s="9"/>
      <c r="L16" s="9"/>
    </row>
    <row r="17" spans="1:18">
      <c r="A17" s="9"/>
      <c r="B17" s="310"/>
      <c r="C17" s="38" t="s">
        <v>263</v>
      </c>
      <c r="D17" s="38" t="s">
        <v>264</v>
      </c>
      <c r="E17" s="38" t="s">
        <v>265</v>
      </c>
      <c r="F17" s="38" t="s">
        <v>266</v>
      </c>
      <c r="G17" s="38" t="s">
        <v>267</v>
      </c>
      <c r="H17" s="38" t="s">
        <v>268</v>
      </c>
      <c r="I17" s="38" t="s">
        <v>269</v>
      </c>
      <c r="J17" s="9"/>
      <c r="K17" s="9"/>
      <c r="L17" s="9"/>
    </row>
    <row r="18" spans="1:18">
      <c r="A18" s="9"/>
      <c r="B18" s="34">
        <v>2015</v>
      </c>
      <c r="C18" s="35">
        <v>1169</v>
      </c>
      <c r="D18" s="35">
        <v>1368</v>
      </c>
      <c r="E18" s="34">
        <v>362</v>
      </c>
      <c r="F18" s="34">
        <v>116</v>
      </c>
      <c r="G18" s="34">
        <v>21</v>
      </c>
      <c r="H18" s="34">
        <v>5</v>
      </c>
      <c r="I18" s="34">
        <v>0</v>
      </c>
      <c r="J18" s="9"/>
      <c r="K18" s="9"/>
      <c r="L18" s="9"/>
    </row>
    <row r="19" spans="1:18">
      <c r="A19" s="9"/>
      <c r="B19" s="34">
        <v>2016</v>
      </c>
      <c r="C19" s="34"/>
      <c r="D19" s="35">
        <v>1321</v>
      </c>
      <c r="E19" s="35">
        <v>1348</v>
      </c>
      <c r="F19" s="34">
        <v>222</v>
      </c>
      <c r="G19" s="34">
        <v>94</v>
      </c>
      <c r="H19" s="34">
        <v>23</v>
      </c>
      <c r="I19" s="34">
        <v>16</v>
      </c>
      <c r="J19" s="9"/>
      <c r="K19" s="9"/>
      <c r="L19" s="9"/>
    </row>
    <row r="20" spans="1:18">
      <c r="A20" s="9"/>
      <c r="B20" s="34">
        <v>2017</v>
      </c>
      <c r="C20" s="34"/>
      <c r="D20" s="34"/>
      <c r="E20" s="35">
        <v>1456</v>
      </c>
      <c r="F20" s="35">
        <v>1378</v>
      </c>
      <c r="G20" s="34">
        <v>689</v>
      </c>
      <c r="H20" s="34">
        <v>177</v>
      </c>
      <c r="I20" s="34">
        <v>18</v>
      </c>
      <c r="J20" s="9"/>
      <c r="K20" s="9"/>
      <c r="L20" s="9"/>
    </row>
    <row r="21" spans="1:18">
      <c r="A21" s="9"/>
      <c r="B21" s="34">
        <v>2018</v>
      </c>
      <c r="C21" s="34"/>
      <c r="D21" s="34"/>
      <c r="E21" s="34"/>
      <c r="F21" s="35">
        <v>1404</v>
      </c>
      <c r="G21" s="35">
        <v>1349</v>
      </c>
      <c r="H21" s="34">
        <v>520</v>
      </c>
      <c r="I21" s="34">
        <v>203</v>
      </c>
      <c r="J21" s="9"/>
      <c r="K21" s="9"/>
      <c r="L21" s="9"/>
    </row>
    <row r="22" spans="1:18">
      <c r="A22" s="9"/>
      <c r="B22" s="34">
        <v>2019</v>
      </c>
      <c r="C22" s="34"/>
      <c r="D22" s="34"/>
      <c r="E22" s="34"/>
      <c r="F22" s="34"/>
      <c r="G22" s="35">
        <v>1247</v>
      </c>
      <c r="H22" s="35">
        <v>1701</v>
      </c>
      <c r="I22" s="34">
        <v>553</v>
      </c>
      <c r="J22" s="9"/>
      <c r="K22" s="9"/>
      <c r="L22" s="9"/>
    </row>
    <row r="23" spans="1:18">
      <c r="A23" s="9"/>
      <c r="B23" s="34">
        <v>2020</v>
      </c>
      <c r="C23" s="34"/>
      <c r="D23" s="34"/>
      <c r="E23" s="34"/>
      <c r="F23" s="34"/>
      <c r="G23" s="34"/>
      <c r="H23" s="35">
        <v>1543</v>
      </c>
      <c r="I23" s="35">
        <v>1711</v>
      </c>
      <c r="J23" s="9"/>
      <c r="K23" s="9"/>
      <c r="L23" s="9"/>
    </row>
    <row r="24" spans="1:18">
      <c r="A24" s="9"/>
      <c r="B24" s="34">
        <v>2021</v>
      </c>
      <c r="C24" s="34"/>
      <c r="D24" s="34"/>
      <c r="E24" s="34"/>
      <c r="F24" s="34"/>
      <c r="G24" s="34"/>
      <c r="H24" s="34"/>
      <c r="I24" s="35">
        <v>1350</v>
      </c>
      <c r="J24" s="9"/>
      <c r="K24" s="9"/>
      <c r="L24" s="9"/>
    </row>
    <row r="25" spans="1:18">
      <c r="A25" s="9"/>
      <c r="B25" s="9"/>
      <c r="C25" s="9"/>
      <c r="D25" s="9"/>
      <c r="E25" s="9"/>
      <c r="F25" s="9"/>
      <c r="G25" s="9"/>
      <c r="H25" s="9"/>
      <c r="I25" s="9"/>
      <c r="J25" s="9"/>
      <c r="K25" s="9"/>
      <c r="L25" s="9"/>
    </row>
    <row r="26" spans="1:18">
      <c r="A26" s="7"/>
      <c r="B26" s="7"/>
      <c r="C26" s="7"/>
      <c r="D26" s="7"/>
      <c r="E26" s="7"/>
      <c r="F26" s="7"/>
      <c r="G26" s="7"/>
      <c r="H26" s="7"/>
      <c r="I26" s="7"/>
      <c r="J26" s="7"/>
      <c r="K26" s="7"/>
      <c r="L26" s="7"/>
    </row>
    <row r="27" spans="1:18">
      <c r="A27" s="6" t="s">
        <v>4</v>
      </c>
      <c r="B27" s="9" t="s">
        <v>270</v>
      </c>
      <c r="C27" s="4"/>
      <c r="D27" s="4"/>
      <c r="E27" s="4"/>
      <c r="F27" s="4"/>
      <c r="G27" s="4"/>
      <c r="H27" s="4"/>
      <c r="I27" s="4"/>
      <c r="J27" s="4"/>
      <c r="K27" s="4"/>
      <c r="L27" s="4"/>
      <c r="M27" s="8"/>
      <c r="N27" s="8"/>
      <c r="O27" s="8"/>
      <c r="P27" s="8"/>
      <c r="Q27" s="8"/>
      <c r="R27" s="8"/>
    </row>
    <row r="28" spans="1:18">
      <c r="A28" s="3"/>
      <c r="B28" s="3"/>
      <c r="C28" s="3"/>
      <c r="D28" s="3"/>
      <c r="E28" s="3"/>
      <c r="F28" s="3"/>
      <c r="G28" s="4"/>
      <c r="H28" s="4"/>
      <c r="I28" s="4"/>
      <c r="J28" s="4"/>
      <c r="K28" s="4"/>
      <c r="L28" s="4"/>
    </row>
    <row r="29" spans="1:18">
      <c r="A29" s="7"/>
      <c r="B29" s="7"/>
      <c r="C29" s="7"/>
      <c r="D29" s="7"/>
      <c r="E29" s="7"/>
      <c r="F29" s="7"/>
      <c r="G29" s="7"/>
      <c r="H29" s="7"/>
      <c r="I29" s="7"/>
      <c r="J29" s="7"/>
      <c r="K29" s="7"/>
      <c r="L29" s="7"/>
      <c r="M29" s="7"/>
    </row>
    <row r="30" spans="1:18">
      <c r="A30" s="7" t="s">
        <v>1</v>
      </c>
      <c r="B30" s="7"/>
      <c r="C30" s="7"/>
      <c r="D30" s="7"/>
      <c r="E30" s="7"/>
      <c r="F30" s="7"/>
      <c r="G30" s="7"/>
      <c r="H30" s="7"/>
      <c r="I30" s="7"/>
      <c r="J30" s="7"/>
      <c r="K30" s="7"/>
      <c r="L30" s="7"/>
      <c r="M30" s="7"/>
      <c r="N30" s="8"/>
    </row>
    <row r="31" spans="1:18">
      <c r="A31" s="7"/>
      <c r="B31" s="7"/>
      <c r="C31" s="7"/>
      <c r="D31" s="7"/>
      <c r="E31" s="7"/>
      <c r="F31" s="7"/>
      <c r="G31" s="7"/>
      <c r="H31" s="7"/>
      <c r="I31" s="7"/>
      <c r="J31" s="7"/>
      <c r="K31" s="7"/>
      <c r="L31" s="7"/>
      <c r="M31" s="7"/>
      <c r="N31" s="8"/>
    </row>
    <row r="32" spans="1:18">
      <c r="A32" s="7"/>
      <c r="B32" s="314" t="s">
        <v>259</v>
      </c>
      <c r="C32" s="330" t="s">
        <v>410</v>
      </c>
      <c r="D32" s="330"/>
      <c r="E32" s="330"/>
      <c r="F32" s="330"/>
      <c r="G32" s="330"/>
      <c r="H32" s="330"/>
      <c r="I32" s="330"/>
      <c r="J32" s="7"/>
      <c r="K32" s="7"/>
      <c r="L32" s="7"/>
      <c r="M32" s="7"/>
      <c r="N32" s="8"/>
    </row>
    <row r="33" spans="1:14">
      <c r="A33" s="7"/>
      <c r="B33" s="314"/>
      <c r="C33" s="128">
        <v>2015</v>
      </c>
      <c r="D33" s="128">
        <f>C33+1</f>
        <v>2016</v>
      </c>
      <c r="E33" s="128">
        <f t="shared" ref="E33:I33" si="0">D33+1</f>
        <v>2017</v>
      </c>
      <c r="F33" s="128">
        <f t="shared" si="0"/>
        <v>2018</v>
      </c>
      <c r="G33" s="128">
        <f t="shared" si="0"/>
        <v>2019</v>
      </c>
      <c r="H33" s="128">
        <f t="shared" si="0"/>
        <v>2020</v>
      </c>
      <c r="I33" s="128">
        <f t="shared" si="0"/>
        <v>2021</v>
      </c>
      <c r="J33" s="7"/>
      <c r="K33" s="7"/>
      <c r="L33" s="7"/>
      <c r="M33" s="7"/>
      <c r="N33" s="8"/>
    </row>
    <row r="34" spans="1:14">
      <c r="A34" s="7"/>
      <c r="B34" s="128">
        <v>2015</v>
      </c>
      <c r="C34" s="129">
        <f>SUM($C8:C8)</f>
        <v>330</v>
      </c>
      <c r="D34" s="129">
        <f>SUM($C8:D8)</f>
        <v>1710</v>
      </c>
      <c r="E34" s="129">
        <f>SUM($C8:E8)</f>
        <v>3025</v>
      </c>
      <c r="F34" s="129">
        <f>SUM($C8:F8)</f>
        <v>3602</v>
      </c>
      <c r="G34" s="129">
        <f>SUM($C8:G8)</f>
        <v>3720</v>
      </c>
      <c r="H34" s="129">
        <f>SUM($C8:H8)</f>
        <v>3741</v>
      </c>
      <c r="I34" s="129">
        <f>SUM($C8:I8)</f>
        <v>3746</v>
      </c>
      <c r="J34" s="7"/>
      <c r="K34" s="7"/>
      <c r="L34" s="7"/>
      <c r="M34" s="7"/>
      <c r="N34" s="8"/>
    </row>
    <row r="35" spans="1:14">
      <c r="A35" s="7"/>
      <c r="B35" s="128">
        <v>2016</v>
      </c>
      <c r="C35" s="129">
        <f>SUM($C9:C9)</f>
        <v>0</v>
      </c>
      <c r="D35" s="129">
        <f>SUM($C9:D9)</f>
        <v>351</v>
      </c>
      <c r="E35" s="129">
        <f>SUM($C9:E9)</f>
        <v>2206</v>
      </c>
      <c r="F35" s="129">
        <f>SUM($C9:F9)</f>
        <v>3685</v>
      </c>
      <c r="G35" s="129">
        <f>SUM($C9:G9)</f>
        <v>4113</v>
      </c>
      <c r="H35" s="129">
        <f>SUM($C9:H9)</f>
        <v>4204</v>
      </c>
      <c r="I35" s="129">
        <f>SUM($C9:I9)</f>
        <v>4212</v>
      </c>
      <c r="J35" s="7"/>
      <c r="K35" s="7"/>
      <c r="L35" s="7"/>
      <c r="M35" s="7"/>
      <c r="N35" s="8"/>
    </row>
    <row r="36" spans="1:14">
      <c r="A36" s="7"/>
      <c r="B36" s="128">
        <v>2017</v>
      </c>
      <c r="C36" s="129">
        <f>SUM($C10:C10)</f>
        <v>0</v>
      </c>
      <c r="D36" s="129">
        <f>SUM($C10:D10)</f>
        <v>0</v>
      </c>
      <c r="E36" s="129">
        <f>SUM($C10:E10)</f>
        <v>436</v>
      </c>
      <c r="F36" s="129">
        <f>SUM($C10:F10)</f>
        <v>1925</v>
      </c>
      <c r="G36" s="129">
        <f>SUM($C10:G10)</f>
        <v>3177</v>
      </c>
      <c r="H36" s="129">
        <f>SUM($C10:H10)</f>
        <v>4110</v>
      </c>
      <c r="I36" s="129">
        <f>SUM($C10:I10)</f>
        <v>4278</v>
      </c>
      <c r="J36" s="7"/>
      <c r="K36" s="7"/>
      <c r="L36" s="7"/>
      <c r="M36" s="7"/>
      <c r="N36" s="8"/>
    </row>
    <row r="37" spans="1:14">
      <c r="A37" s="7"/>
      <c r="B37" s="128">
        <v>2018</v>
      </c>
      <c r="C37" s="129">
        <f>SUM($C11:C11)</f>
        <v>0</v>
      </c>
      <c r="D37" s="129">
        <f>SUM($C11:D11)</f>
        <v>0</v>
      </c>
      <c r="E37" s="129">
        <f>SUM($C11:E11)</f>
        <v>0</v>
      </c>
      <c r="F37" s="129">
        <f>SUM($C11:F11)</f>
        <v>423</v>
      </c>
      <c r="G37" s="129">
        <f>SUM($C11:G11)</f>
        <v>2015</v>
      </c>
      <c r="H37" s="129">
        <f>SUM($C11:H11)</f>
        <v>3197</v>
      </c>
      <c r="I37" s="129">
        <f>SUM($C11:I11)</f>
        <v>3867</v>
      </c>
      <c r="J37" s="7"/>
      <c r="K37" s="7"/>
      <c r="L37" s="7"/>
      <c r="M37" s="7"/>
      <c r="N37" s="8"/>
    </row>
    <row r="38" spans="1:14">
      <c r="A38" s="7"/>
      <c r="B38" s="128">
        <v>2019</v>
      </c>
      <c r="C38" s="129">
        <f>SUM($C12:C12)</f>
        <v>0</v>
      </c>
      <c r="D38" s="129">
        <f>SUM($C12:D12)</f>
        <v>0</v>
      </c>
      <c r="E38" s="129">
        <f>SUM($C12:E12)</f>
        <v>0</v>
      </c>
      <c r="F38" s="129">
        <f>SUM($C12:F12)</f>
        <v>0</v>
      </c>
      <c r="G38" s="129">
        <f>SUM($C12:G12)</f>
        <v>449</v>
      </c>
      <c r="H38" s="129">
        <f>SUM($C12:H12)</f>
        <v>2124</v>
      </c>
      <c r="I38" s="129">
        <f>SUM($C12:I12)</f>
        <v>3664</v>
      </c>
      <c r="J38" s="7"/>
      <c r="K38" s="7"/>
      <c r="L38" s="7"/>
      <c r="M38" s="7"/>
      <c r="N38" s="8"/>
    </row>
    <row r="39" spans="1:14">
      <c r="A39" s="7"/>
      <c r="B39" s="128">
        <v>2020</v>
      </c>
      <c r="C39" s="129">
        <f>SUM($C13:C13)</f>
        <v>0</v>
      </c>
      <c r="D39" s="129">
        <f>SUM($C13:D13)</f>
        <v>0</v>
      </c>
      <c r="E39" s="129">
        <f>SUM($C13:E13)</f>
        <v>0</v>
      </c>
      <c r="F39" s="129">
        <f>SUM($C13:F13)</f>
        <v>0</v>
      </c>
      <c r="G39" s="129">
        <f>SUM($C13:G13)</f>
        <v>0</v>
      </c>
      <c r="H39" s="129">
        <f>SUM($C13:H13)</f>
        <v>354</v>
      </c>
      <c r="I39" s="129">
        <f>SUM($C13:I13)</f>
        <v>2063</v>
      </c>
      <c r="J39" s="7"/>
      <c r="K39" s="7"/>
      <c r="L39" s="7"/>
      <c r="M39" s="7"/>
      <c r="N39" s="8"/>
    </row>
    <row r="40" spans="1:14">
      <c r="A40" s="7"/>
      <c r="B40" s="128">
        <v>2021</v>
      </c>
      <c r="C40" s="129">
        <f>SUM($C14:C14)</f>
        <v>0</v>
      </c>
      <c r="D40" s="129">
        <f>SUM($C14:D14)</f>
        <v>0</v>
      </c>
      <c r="E40" s="129">
        <f>SUM($C14:E14)</f>
        <v>0</v>
      </c>
      <c r="F40" s="129">
        <f>SUM($C14:F14)</f>
        <v>0</v>
      </c>
      <c r="G40" s="129">
        <f>SUM($C14:G14)</f>
        <v>0</v>
      </c>
      <c r="H40" s="129">
        <f>SUM($C14:H14)</f>
        <v>0</v>
      </c>
      <c r="I40" s="129">
        <f>SUM($C14:I14)</f>
        <v>584</v>
      </c>
      <c r="J40" s="7"/>
      <c r="K40" s="7"/>
      <c r="L40" s="7"/>
      <c r="M40" s="7"/>
      <c r="N40" s="8"/>
    </row>
    <row r="41" spans="1:14">
      <c r="A41" s="7"/>
      <c r="B41"/>
      <c r="C41"/>
      <c r="D41"/>
      <c r="E41"/>
      <c r="F41"/>
      <c r="G41"/>
      <c r="H41"/>
      <c r="I41"/>
      <c r="J41" s="7"/>
      <c r="K41" s="7"/>
      <c r="L41" s="7"/>
      <c r="M41" s="7"/>
      <c r="N41" s="8"/>
    </row>
    <row r="42" spans="1:14">
      <c r="A42" s="7"/>
      <c r="B42"/>
      <c r="C42"/>
      <c r="D42"/>
      <c r="E42"/>
      <c r="F42"/>
      <c r="G42"/>
      <c r="H42"/>
      <c r="I42"/>
      <c r="J42" s="7"/>
      <c r="K42" s="7"/>
      <c r="L42" s="7"/>
      <c r="M42" s="7"/>
      <c r="N42" s="8"/>
    </row>
    <row r="43" spans="1:14">
      <c r="A43" s="7"/>
      <c r="B43" s="314" t="s">
        <v>259</v>
      </c>
      <c r="C43" s="330" t="s">
        <v>412</v>
      </c>
      <c r="D43" s="330"/>
      <c r="E43" s="330"/>
      <c r="F43" s="330"/>
      <c r="G43" s="330"/>
      <c r="H43" s="330"/>
      <c r="I43" s="330"/>
      <c r="J43" s="7"/>
      <c r="K43" s="7"/>
      <c r="L43" s="7"/>
      <c r="M43" s="7"/>
      <c r="N43" s="8"/>
    </row>
    <row r="44" spans="1:14">
      <c r="A44" s="7"/>
      <c r="B44" s="314"/>
      <c r="C44" s="128">
        <f>C33</f>
        <v>2015</v>
      </c>
      <c r="D44" s="128">
        <f t="shared" ref="D44:I44" si="1">D33</f>
        <v>2016</v>
      </c>
      <c r="E44" s="128">
        <f t="shared" si="1"/>
        <v>2017</v>
      </c>
      <c r="F44" s="128">
        <f t="shared" si="1"/>
        <v>2018</v>
      </c>
      <c r="G44" s="128">
        <f t="shared" si="1"/>
        <v>2019</v>
      </c>
      <c r="H44" s="128">
        <f t="shared" si="1"/>
        <v>2020</v>
      </c>
      <c r="I44" s="128">
        <f t="shared" si="1"/>
        <v>2021</v>
      </c>
      <c r="J44" s="7"/>
      <c r="K44" s="7"/>
      <c r="L44" s="7"/>
      <c r="M44" s="7"/>
      <c r="N44" s="8"/>
    </row>
    <row r="45" spans="1:14">
      <c r="A45" s="7"/>
      <c r="B45" s="128">
        <v>2015</v>
      </c>
      <c r="C45" s="129">
        <f t="shared" ref="C45:I45" si="2">C34+C18</f>
        <v>1499</v>
      </c>
      <c r="D45" s="129">
        <f t="shared" si="2"/>
        <v>3078</v>
      </c>
      <c r="E45" s="129">
        <f t="shared" si="2"/>
        <v>3387</v>
      </c>
      <c r="F45" s="129">
        <f t="shared" si="2"/>
        <v>3718</v>
      </c>
      <c r="G45" s="129">
        <f t="shared" si="2"/>
        <v>3741</v>
      </c>
      <c r="H45" s="129">
        <f t="shared" si="2"/>
        <v>3746</v>
      </c>
      <c r="I45" s="129">
        <f t="shared" si="2"/>
        <v>3746</v>
      </c>
      <c r="J45" s="7"/>
      <c r="K45" s="7"/>
      <c r="L45" s="7"/>
      <c r="M45" s="7"/>
      <c r="N45" s="8"/>
    </row>
    <row r="46" spans="1:14">
      <c r="A46" s="7"/>
      <c r="B46" s="128">
        <v>2016</v>
      </c>
      <c r="C46" s="129">
        <f t="shared" ref="C46:C51" si="3">C35+C20</f>
        <v>0</v>
      </c>
      <c r="D46" s="129">
        <f t="shared" ref="D46:I46" si="4">D35+D19</f>
        <v>1672</v>
      </c>
      <c r="E46" s="129">
        <f t="shared" si="4"/>
        <v>3554</v>
      </c>
      <c r="F46" s="129">
        <f t="shared" si="4"/>
        <v>3907</v>
      </c>
      <c r="G46" s="129">
        <f t="shared" si="4"/>
        <v>4207</v>
      </c>
      <c r="H46" s="129">
        <f t="shared" si="4"/>
        <v>4227</v>
      </c>
      <c r="I46" s="129">
        <f t="shared" si="4"/>
        <v>4228</v>
      </c>
      <c r="J46" s="7"/>
      <c r="K46" s="7"/>
      <c r="L46" s="7"/>
      <c r="M46" s="7"/>
      <c r="N46" s="8"/>
    </row>
    <row r="47" spans="1:14">
      <c r="A47" s="7"/>
      <c r="B47" s="128">
        <v>2017</v>
      </c>
      <c r="C47" s="129">
        <f t="shared" si="3"/>
        <v>0</v>
      </c>
      <c r="D47" s="129">
        <f>D36+D21</f>
        <v>0</v>
      </c>
      <c r="E47" s="129">
        <f>E36+E20</f>
        <v>1892</v>
      </c>
      <c r="F47" s="129">
        <f>F36+F20</f>
        <v>3303</v>
      </c>
      <c r="G47" s="129">
        <f>G36+G20</f>
        <v>3866</v>
      </c>
      <c r="H47" s="129">
        <f>H36+H20</f>
        <v>4287</v>
      </c>
      <c r="I47" s="129">
        <f>I36+I20</f>
        <v>4296</v>
      </c>
      <c r="J47" s="7"/>
      <c r="K47" s="7"/>
      <c r="L47" s="7"/>
      <c r="M47" s="7"/>
      <c r="N47" s="8"/>
    </row>
    <row r="48" spans="1:14">
      <c r="A48" s="7"/>
      <c r="B48" s="128">
        <v>2018</v>
      </c>
      <c r="C48" s="129">
        <f t="shared" si="3"/>
        <v>0</v>
      </c>
      <c r="D48" s="129">
        <f>D37+D22</f>
        <v>0</v>
      </c>
      <c r="E48" s="129">
        <f>E37+E22</f>
        <v>0</v>
      </c>
      <c r="F48" s="129">
        <f>F37+F21</f>
        <v>1827</v>
      </c>
      <c r="G48" s="129">
        <f>G37+G21</f>
        <v>3364</v>
      </c>
      <c r="H48" s="129">
        <f>H37+H21</f>
        <v>3717</v>
      </c>
      <c r="I48" s="129">
        <f>I37+I21</f>
        <v>4070</v>
      </c>
      <c r="J48" s="7"/>
      <c r="K48" s="7"/>
      <c r="L48" s="7"/>
      <c r="M48" s="7"/>
      <c r="N48" s="8"/>
    </row>
    <row r="49" spans="1:14">
      <c r="A49" s="7"/>
      <c r="B49" s="128">
        <v>2019</v>
      </c>
      <c r="C49" s="129">
        <f t="shared" si="3"/>
        <v>0</v>
      </c>
      <c r="D49" s="129">
        <f>D38+D23</f>
        <v>0</v>
      </c>
      <c r="E49" s="129">
        <f>E38+E23</f>
        <v>0</v>
      </c>
      <c r="F49" s="129">
        <f>F38+F23</f>
        <v>0</v>
      </c>
      <c r="G49" s="129">
        <f>G38+G22</f>
        <v>1696</v>
      </c>
      <c r="H49" s="129">
        <f>H38+H22</f>
        <v>3825</v>
      </c>
      <c r="I49" s="129">
        <f>I38+I22</f>
        <v>4217</v>
      </c>
      <c r="J49" s="7"/>
      <c r="K49" s="7"/>
      <c r="L49" s="7"/>
      <c r="M49" s="7"/>
      <c r="N49" s="8"/>
    </row>
    <row r="50" spans="1:14">
      <c r="A50" s="7"/>
      <c r="B50" s="128">
        <v>2020</v>
      </c>
      <c r="C50" s="129">
        <f t="shared" si="3"/>
        <v>0</v>
      </c>
      <c r="D50" s="129">
        <f>D39+D24</f>
        <v>0</v>
      </c>
      <c r="E50" s="129">
        <f>E39+E24</f>
        <v>0</v>
      </c>
      <c r="F50" s="129">
        <f>F39+F24</f>
        <v>0</v>
      </c>
      <c r="G50" s="129">
        <f>G39+G24</f>
        <v>0</v>
      </c>
      <c r="H50" s="129">
        <f>H39+H23</f>
        <v>1897</v>
      </c>
      <c r="I50" s="129">
        <f>I39+I23</f>
        <v>3774</v>
      </c>
      <c r="J50" s="7"/>
      <c r="K50" s="7"/>
      <c r="L50" s="7"/>
      <c r="M50" s="7"/>
      <c r="N50" s="8"/>
    </row>
    <row r="51" spans="1:14">
      <c r="A51" s="7"/>
      <c r="B51" s="128">
        <v>2021</v>
      </c>
      <c r="C51" s="129">
        <f t="shared" si="3"/>
        <v>0</v>
      </c>
      <c r="D51" s="129">
        <f>D40+D25</f>
        <v>0</v>
      </c>
      <c r="E51" s="129">
        <f>E40+E25</f>
        <v>0</v>
      </c>
      <c r="F51" s="129">
        <f>F40+F25</f>
        <v>0</v>
      </c>
      <c r="G51" s="129">
        <f>G40+G25</f>
        <v>0</v>
      </c>
      <c r="H51" s="129">
        <f>H40+H25</f>
        <v>0</v>
      </c>
      <c r="I51" s="129">
        <f>I40+I24</f>
        <v>1934</v>
      </c>
      <c r="J51" s="7"/>
      <c r="K51" s="7"/>
      <c r="L51" s="7"/>
      <c r="M51" s="7"/>
      <c r="N51" s="8"/>
    </row>
    <row r="52" spans="1:14">
      <c r="A52" s="7"/>
      <c r="B52"/>
      <c r="C52"/>
      <c r="D52"/>
      <c r="E52"/>
      <c r="F52"/>
      <c r="G52"/>
      <c r="H52"/>
      <c r="I52"/>
      <c r="J52" s="7"/>
      <c r="K52" s="7"/>
      <c r="L52" s="7"/>
      <c r="M52" s="7"/>
      <c r="N52" s="8"/>
    </row>
    <row r="53" spans="1:14">
      <c r="A53" s="7"/>
      <c r="B53" s="1" t="s">
        <v>422</v>
      </c>
      <c r="C53"/>
      <c r="D53"/>
      <c r="E53"/>
      <c r="F53"/>
      <c r="G53"/>
      <c r="H53"/>
      <c r="I53"/>
      <c r="J53" s="7"/>
      <c r="K53" s="7"/>
      <c r="L53" s="7"/>
      <c r="M53" s="7"/>
      <c r="N53" s="8"/>
    </row>
    <row r="54" spans="1:14">
      <c r="A54" s="7"/>
      <c r="B54" s="314" t="s">
        <v>259</v>
      </c>
      <c r="C54" s="330" t="s">
        <v>411</v>
      </c>
      <c r="D54" s="330"/>
      <c r="E54" s="330"/>
      <c r="F54" s="330"/>
      <c r="G54" s="330"/>
      <c r="H54" s="330"/>
      <c r="I54" s="330"/>
      <c r="J54" s="7"/>
      <c r="K54" s="7"/>
      <c r="L54" s="7"/>
      <c r="M54" s="7"/>
      <c r="N54" s="8"/>
    </row>
    <row r="55" spans="1:14">
      <c r="A55" s="7"/>
      <c r="B55" s="314"/>
      <c r="C55" s="128">
        <v>12</v>
      </c>
      <c r="D55" s="128">
        <f>C55+12</f>
        <v>24</v>
      </c>
      <c r="E55" s="128">
        <f t="shared" ref="E55:I55" si="5">D55+12</f>
        <v>36</v>
      </c>
      <c r="F55" s="128">
        <f t="shared" si="5"/>
        <v>48</v>
      </c>
      <c r="G55" s="128">
        <f t="shared" si="5"/>
        <v>60</v>
      </c>
      <c r="H55" s="128">
        <f t="shared" si="5"/>
        <v>72</v>
      </c>
      <c r="I55" s="128">
        <f t="shared" si="5"/>
        <v>84</v>
      </c>
      <c r="J55" s="7"/>
      <c r="K55" s="7"/>
      <c r="L55" s="7"/>
      <c r="M55" s="7"/>
      <c r="N55" s="8"/>
    </row>
    <row r="56" spans="1:14">
      <c r="A56" s="7"/>
      <c r="B56" s="128">
        <v>2015</v>
      </c>
      <c r="C56" s="129">
        <f>C45</f>
        <v>1499</v>
      </c>
      <c r="D56" s="129">
        <f t="shared" ref="D56:I56" si="6">D45</f>
        <v>3078</v>
      </c>
      <c r="E56" s="129">
        <f t="shared" si="6"/>
        <v>3387</v>
      </c>
      <c r="F56" s="129">
        <f t="shared" si="6"/>
        <v>3718</v>
      </c>
      <c r="G56" s="129">
        <f t="shared" si="6"/>
        <v>3741</v>
      </c>
      <c r="H56" s="129">
        <f t="shared" si="6"/>
        <v>3746</v>
      </c>
      <c r="I56" s="129">
        <f t="shared" si="6"/>
        <v>3746</v>
      </c>
      <c r="J56" s="7"/>
      <c r="K56" s="7"/>
      <c r="L56" s="7"/>
      <c r="M56" s="7"/>
      <c r="N56" s="8"/>
    </row>
    <row r="57" spans="1:14">
      <c r="A57" s="7"/>
      <c r="B57" s="128">
        <v>2016</v>
      </c>
      <c r="C57" s="129">
        <f>D46</f>
        <v>1672</v>
      </c>
      <c r="D57" s="129">
        <f t="shared" ref="D57:H57" si="7">E46</f>
        <v>3554</v>
      </c>
      <c r="E57" s="129">
        <f t="shared" si="7"/>
        <v>3907</v>
      </c>
      <c r="F57" s="129">
        <f t="shared" si="7"/>
        <v>4207</v>
      </c>
      <c r="G57" s="129">
        <f t="shared" si="7"/>
        <v>4227</v>
      </c>
      <c r="H57" s="129">
        <f t="shared" si="7"/>
        <v>4228</v>
      </c>
      <c r="I57" s="129"/>
      <c r="J57" s="7"/>
      <c r="K57" s="7"/>
      <c r="L57" s="7"/>
      <c r="M57" s="7"/>
      <c r="N57" s="8"/>
    </row>
    <row r="58" spans="1:14">
      <c r="A58" s="7"/>
      <c r="B58" s="128">
        <v>2017</v>
      </c>
      <c r="C58" s="129">
        <f>E47</f>
        <v>1892</v>
      </c>
      <c r="D58" s="129">
        <f t="shared" ref="D58:G58" si="8">F47</f>
        <v>3303</v>
      </c>
      <c r="E58" s="129">
        <f t="shared" si="8"/>
        <v>3866</v>
      </c>
      <c r="F58" s="129">
        <f t="shared" si="8"/>
        <v>4287</v>
      </c>
      <c r="G58" s="129">
        <f t="shared" si="8"/>
        <v>4296</v>
      </c>
      <c r="H58" s="129"/>
      <c r="I58" s="129"/>
      <c r="J58" s="7"/>
      <c r="K58" s="7"/>
      <c r="L58" s="7"/>
      <c r="M58" s="7"/>
      <c r="N58" s="8"/>
    </row>
    <row r="59" spans="1:14">
      <c r="A59" s="7"/>
      <c r="B59" s="128">
        <v>2018</v>
      </c>
      <c r="C59" s="129">
        <f>F48</f>
        <v>1827</v>
      </c>
      <c r="D59" s="129">
        <f t="shared" ref="D59:F59" si="9">G48</f>
        <v>3364</v>
      </c>
      <c r="E59" s="129">
        <f t="shared" si="9"/>
        <v>3717</v>
      </c>
      <c r="F59" s="129">
        <f t="shared" si="9"/>
        <v>4070</v>
      </c>
      <c r="G59" s="129"/>
      <c r="H59" s="129"/>
      <c r="I59" s="129"/>
      <c r="J59" s="7"/>
      <c r="K59" s="7"/>
      <c r="L59" s="7"/>
      <c r="M59" s="7"/>
      <c r="N59" s="8"/>
    </row>
    <row r="60" spans="1:14">
      <c r="A60" s="7"/>
      <c r="B60" s="128">
        <v>2019</v>
      </c>
      <c r="C60" s="129">
        <f>G49</f>
        <v>1696</v>
      </c>
      <c r="D60" s="129">
        <f t="shared" ref="D60:E60" si="10">H49</f>
        <v>3825</v>
      </c>
      <c r="E60" s="129">
        <f t="shared" si="10"/>
        <v>4217</v>
      </c>
      <c r="F60" s="129"/>
      <c r="G60" s="129"/>
      <c r="H60" s="129"/>
      <c r="I60" s="129"/>
      <c r="J60" s="7"/>
      <c r="K60" s="7"/>
      <c r="L60" s="7"/>
      <c r="M60" s="7"/>
      <c r="N60" s="8"/>
    </row>
    <row r="61" spans="1:14">
      <c r="A61" s="7"/>
      <c r="B61" s="128">
        <v>2020</v>
      </c>
      <c r="C61" s="129">
        <f>H50</f>
        <v>1897</v>
      </c>
      <c r="D61" s="129">
        <f t="shared" ref="D61" si="11">I50</f>
        <v>3774</v>
      </c>
      <c r="E61" s="129"/>
      <c r="F61" s="129"/>
      <c r="G61" s="129"/>
      <c r="H61" s="129"/>
      <c r="I61" s="129"/>
      <c r="J61" s="7"/>
      <c r="K61" s="7"/>
      <c r="L61" s="7"/>
      <c r="M61" s="7"/>
      <c r="N61" s="8"/>
    </row>
    <row r="62" spans="1:14">
      <c r="A62" s="7"/>
      <c r="B62" s="128">
        <v>2021</v>
      </c>
      <c r="C62" s="129">
        <f>I51</f>
        <v>1934</v>
      </c>
      <c r="D62" s="129"/>
      <c r="E62" s="129"/>
      <c r="F62" s="129"/>
      <c r="G62" s="129"/>
      <c r="H62" s="129"/>
      <c r="I62" s="129"/>
      <c r="J62" s="7"/>
      <c r="K62" s="7"/>
      <c r="L62" s="7"/>
      <c r="M62" s="7"/>
      <c r="N62" s="8"/>
    </row>
    <row r="64" spans="1:14">
      <c r="A64" s="6" t="s">
        <v>5</v>
      </c>
      <c r="B64" s="9" t="s">
        <v>271</v>
      </c>
      <c r="C64" s="4"/>
      <c r="D64" s="4"/>
      <c r="E64" s="4"/>
      <c r="F64" s="4"/>
      <c r="G64" s="4"/>
      <c r="H64" s="4"/>
      <c r="I64" s="4"/>
      <c r="J64" s="4"/>
      <c r="K64" s="4"/>
      <c r="L64" s="4"/>
    </row>
    <row r="65" spans="1:13">
      <c r="A65" s="3"/>
      <c r="B65" s="3"/>
      <c r="C65" s="3"/>
      <c r="D65" s="3"/>
      <c r="E65" s="3"/>
      <c r="F65" s="3"/>
      <c r="G65" s="4"/>
      <c r="H65" s="4"/>
      <c r="I65" s="4"/>
      <c r="J65" s="4"/>
      <c r="K65" s="4"/>
      <c r="L65" s="4"/>
    </row>
    <row r="66" spans="1:13">
      <c r="A66" s="7"/>
      <c r="B66" s="7"/>
      <c r="C66" s="7"/>
      <c r="D66" s="7"/>
      <c r="E66" s="7"/>
      <c r="F66" s="7"/>
      <c r="G66" s="7"/>
      <c r="H66" s="7"/>
      <c r="I66" s="7"/>
      <c r="J66" s="7"/>
      <c r="K66" s="7"/>
      <c r="L66" s="7"/>
    </row>
    <row r="67" spans="1:13">
      <c r="A67" s="7" t="s">
        <v>1</v>
      </c>
      <c r="B67" s="7"/>
      <c r="C67" s="7"/>
      <c r="D67" s="7"/>
      <c r="E67" s="7"/>
      <c r="F67" s="7"/>
      <c r="G67" s="7"/>
      <c r="H67" s="7"/>
      <c r="I67" s="7"/>
      <c r="J67" s="7"/>
      <c r="K67" s="7"/>
      <c r="L67" s="7"/>
    </row>
    <row r="68" spans="1:13">
      <c r="A68" s="7"/>
      <c r="B68" s="7"/>
      <c r="C68" s="7"/>
      <c r="D68" s="7"/>
      <c r="E68" s="7"/>
      <c r="F68" s="7"/>
      <c r="G68" s="7"/>
      <c r="H68" s="7"/>
      <c r="I68" s="7"/>
      <c r="J68" s="7"/>
      <c r="K68" s="7"/>
      <c r="L68" s="7"/>
    </row>
    <row r="69" spans="1:13">
      <c r="C69" s="1" t="s">
        <v>413</v>
      </c>
      <c r="M69" s="7"/>
    </row>
    <row r="70" spans="1:13">
      <c r="D70" s="130" t="s">
        <v>414</v>
      </c>
      <c r="E70" s="131">
        <f>SUM(H8:H14)</f>
        <v>4256</v>
      </c>
      <c r="F70" s="132" t="s">
        <v>415</v>
      </c>
      <c r="G70" s="131">
        <f>SUM(H18:H24)-SUM(G18:G24)</f>
        <v>569</v>
      </c>
      <c r="H70" s="130" t="s">
        <v>414</v>
      </c>
      <c r="I70" s="131">
        <f>E70+G70</f>
        <v>4825</v>
      </c>
      <c r="M70" s="7"/>
    </row>
    <row r="72" spans="1:13">
      <c r="A72" s="3"/>
      <c r="B72" s="3"/>
      <c r="C72" s="3"/>
      <c r="D72" s="3"/>
      <c r="E72" s="3"/>
      <c r="F72" s="3"/>
      <c r="G72" s="4"/>
      <c r="H72" s="4"/>
      <c r="I72" s="4"/>
      <c r="J72" s="4"/>
      <c r="K72" s="4"/>
      <c r="L72" s="4"/>
    </row>
    <row r="73" spans="1:13">
      <c r="A73" s="14" t="s">
        <v>272</v>
      </c>
      <c r="B73" s="16"/>
      <c r="C73" s="16"/>
      <c r="D73" s="16"/>
      <c r="E73" s="16"/>
      <c r="F73" s="16"/>
      <c r="G73" s="16"/>
      <c r="H73" s="9"/>
      <c r="I73" s="9"/>
      <c r="J73" s="9"/>
      <c r="K73" s="4"/>
      <c r="L73" s="4"/>
    </row>
    <row r="74" spans="1:13">
      <c r="A74" s="14"/>
      <c r="B74" s="16"/>
      <c r="C74" s="16"/>
      <c r="D74" s="16"/>
      <c r="E74" s="16"/>
      <c r="F74" s="16"/>
      <c r="G74" s="16"/>
      <c r="H74" s="9"/>
      <c r="I74" s="9"/>
      <c r="J74" s="9"/>
      <c r="K74" s="4"/>
      <c r="L74" s="4"/>
    </row>
    <row r="75" spans="1:13" ht="63">
      <c r="A75" s="9"/>
      <c r="B75" s="30" t="s">
        <v>273</v>
      </c>
      <c r="C75" s="30" t="s">
        <v>274</v>
      </c>
      <c r="D75" s="312" t="s">
        <v>275</v>
      </c>
      <c r="E75" s="312"/>
      <c r="F75" s="30" t="s">
        <v>276</v>
      </c>
      <c r="G75" s="30" t="s">
        <v>277</v>
      </c>
      <c r="H75" s="30" t="s">
        <v>278</v>
      </c>
      <c r="I75" s="30" t="s">
        <v>279</v>
      </c>
      <c r="J75" s="9"/>
      <c r="K75" s="4"/>
      <c r="L75" s="4"/>
    </row>
    <row r="76" spans="1:13">
      <c r="A76" s="9"/>
      <c r="B76" s="34">
        <v>1</v>
      </c>
      <c r="C76" s="73">
        <v>43682</v>
      </c>
      <c r="D76" s="321" t="s">
        <v>280</v>
      </c>
      <c r="E76" s="321"/>
      <c r="F76" s="73">
        <v>42861</v>
      </c>
      <c r="G76" s="73">
        <v>43283</v>
      </c>
      <c r="H76" s="34"/>
      <c r="I76" s="34">
        <v>-15</v>
      </c>
      <c r="J76" s="9"/>
      <c r="K76" s="4"/>
      <c r="L76" s="4"/>
    </row>
    <row r="77" spans="1:13">
      <c r="A77" s="9"/>
      <c r="B77" s="34">
        <v>2</v>
      </c>
      <c r="C77" s="73">
        <v>43818</v>
      </c>
      <c r="D77" s="321" t="s">
        <v>281</v>
      </c>
      <c r="E77" s="321"/>
      <c r="F77" s="73">
        <v>42430</v>
      </c>
      <c r="G77" s="73">
        <v>42974</v>
      </c>
      <c r="H77" s="34">
        <v>-45</v>
      </c>
      <c r="I77" s="34">
        <v>45</v>
      </c>
      <c r="J77" s="9"/>
      <c r="K77" s="4"/>
      <c r="L77" s="4"/>
    </row>
    <row r="78" spans="1:13">
      <c r="A78" s="9"/>
      <c r="B78" s="34">
        <v>3</v>
      </c>
      <c r="C78" s="73">
        <v>43827</v>
      </c>
      <c r="D78" s="321" t="s">
        <v>282</v>
      </c>
      <c r="E78" s="321"/>
      <c r="F78" s="73">
        <v>43390</v>
      </c>
      <c r="G78" s="73">
        <v>43822</v>
      </c>
      <c r="H78" s="34"/>
      <c r="I78" s="34">
        <v>10</v>
      </c>
      <c r="J78" s="9"/>
      <c r="K78" s="4"/>
      <c r="L78" s="4"/>
    </row>
    <row r="79" spans="1:13">
      <c r="A79" s="9"/>
      <c r="B79" s="34">
        <v>4</v>
      </c>
      <c r="C79" s="73">
        <v>43858</v>
      </c>
      <c r="D79" s="321" t="s">
        <v>283</v>
      </c>
      <c r="E79" s="321"/>
      <c r="F79" s="73">
        <v>42217</v>
      </c>
      <c r="G79" s="73">
        <v>42702</v>
      </c>
      <c r="H79" s="34">
        <v>-20</v>
      </c>
      <c r="I79" s="34">
        <v>15</v>
      </c>
      <c r="J79" s="9"/>
      <c r="K79" s="4"/>
      <c r="L79" s="4"/>
    </row>
    <row r="80" spans="1:13">
      <c r="A80" s="9"/>
      <c r="B80" s="34">
        <v>5</v>
      </c>
      <c r="C80" s="73">
        <v>44231</v>
      </c>
      <c r="D80" s="321" t="s">
        <v>284</v>
      </c>
      <c r="E80" s="321"/>
      <c r="F80" s="73">
        <v>44086</v>
      </c>
      <c r="G80" s="73">
        <v>44230</v>
      </c>
      <c r="H80" s="34">
        <v>30</v>
      </c>
      <c r="I80" s="34"/>
      <c r="J80" s="9"/>
      <c r="K80" s="4"/>
      <c r="L80" s="4"/>
    </row>
    <row r="81" spans="1:12">
      <c r="A81" s="9"/>
      <c r="B81" s="34">
        <v>6</v>
      </c>
      <c r="C81" s="73">
        <v>44327</v>
      </c>
      <c r="D81" s="321" t="s">
        <v>285</v>
      </c>
      <c r="E81" s="321"/>
      <c r="F81" s="73">
        <v>42900</v>
      </c>
      <c r="G81" s="73">
        <v>43940</v>
      </c>
      <c r="H81" s="34"/>
      <c r="I81" s="34">
        <v>5</v>
      </c>
      <c r="J81" s="9"/>
      <c r="K81" s="4"/>
      <c r="L81" s="4"/>
    </row>
    <row r="82" spans="1:12">
      <c r="A82" s="3"/>
      <c r="B82" s="3"/>
      <c r="C82" s="3"/>
      <c r="D82" s="3"/>
      <c r="E82" s="3"/>
      <c r="F82" s="3"/>
      <c r="G82" s="4"/>
      <c r="H82" s="4"/>
      <c r="I82" s="4"/>
      <c r="J82" s="4"/>
      <c r="K82" s="4"/>
      <c r="L82" s="4"/>
    </row>
    <row r="84" spans="1:12">
      <c r="A84" s="6" t="s">
        <v>0</v>
      </c>
      <c r="B84" s="9" t="s">
        <v>345</v>
      </c>
      <c r="C84" s="4"/>
      <c r="D84" s="4"/>
      <c r="E84" s="4"/>
      <c r="F84" s="4"/>
      <c r="G84" s="4"/>
      <c r="H84" s="4"/>
      <c r="I84" s="4"/>
      <c r="J84" s="4"/>
      <c r="K84" s="4"/>
      <c r="L84" s="4"/>
    </row>
    <row r="85" spans="1:12">
      <c r="A85" s="3"/>
      <c r="B85" s="3"/>
      <c r="C85" s="3"/>
      <c r="D85" s="3"/>
      <c r="E85" s="3"/>
      <c r="F85" s="3"/>
      <c r="G85" s="4"/>
      <c r="H85" s="4"/>
      <c r="I85" s="4"/>
      <c r="J85" s="4"/>
      <c r="K85" s="4"/>
      <c r="L85" s="4"/>
    </row>
    <row r="86" spans="1:12">
      <c r="A86" s="7"/>
      <c r="B86" s="7"/>
      <c r="C86" s="7"/>
      <c r="D86" s="7"/>
      <c r="E86" s="7"/>
      <c r="F86" s="7"/>
      <c r="G86" s="7"/>
      <c r="H86" s="7"/>
      <c r="I86" s="7"/>
      <c r="J86" s="7"/>
      <c r="K86" s="7"/>
      <c r="L86" s="7"/>
    </row>
    <row r="87" spans="1:12">
      <c r="A87" s="7" t="s">
        <v>1</v>
      </c>
      <c r="B87" s="7"/>
      <c r="C87" s="7"/>
      <c r="D87" s="7"/>
      <c r="E87" s="7"/>
      <c r="F87" s="7"/>
      <c r="G87" s="7"/>
      <c r="H87" s="7"/>
      <c r="I87" s="7"/>
      <c r="J87" s="7"/>
      <c r="K87" s="7"/>
      <c r="L87" s="7"/>
    </row>
    <row r="88" spans="1:12">
      <c r="A88" s="7"/>
      <c r="B88" s="7"/>
      <c r="C88" s="7"/>
      <c r="D88" s="7"/>
      <c r="E88" s="7"/>
      <c r="F88" s="7"/>
      <c r="G88" s="7"/>
      <c r="H88" s="7"/>
      <c r="I88" s="7"/>
      <c r="J88" s="7"/>
      <c r="K88" s="7"/>
      <c r="L88" s="7"/>
    </row>
    <row r="89" spans="1:12">
      <c r="A89" s="7"/>
      <c r="B89" s="7" t="s">
        <v>424</v>
      </c>
      <c r="C89" s="7"/>
      <c r="D89" s="7"/>
      <c r="E89" s="7"/>
      <c r="F89" s="7"/>
      <c r="G89" s="7"/>
      <c r="H89" s="7"/>
      <c r="I89" s="7"/>
      <c r="K89" s="7"/>
      <c r="L89" s="7"/>
    </row>
    <row r="90" spans="1:12">
      <c r="A90" s="7"/>
      <c r="B90" s="314" t="s">
        <v>259</v>
      </c>
      <c r="C90" s="330" t="s">
        <v>411</v>
      </c>
      <c r="D90" s="330"/>
      <c r="E90" s="330"/>
      <c r="F90" s="330"/>
      <c r="G90" s="330"/>
      <c r="H90" s="330"/>
      <c r="I90" s="330"/>
      <c r="K90" s="7"/>
      <c r="L90" s="7"/>
    </row>
    <row r="91" spans="1:12">
      <c r="A91" s="7"/>
      <c r="B91" s="314"/>
      <c r="C91" s="128">
        <v>12</v>
      </c>
      <c r="D91" s="128">
        <f>C91+12</f>
        <v>24</v>
      </c>
      <c r="E91" s="128">
        <f t="shared" ref="E91:I91" si="12">D91+12</f>
        <v>36</v>
      </c>
      <c r="F91" s="128">
        <f t="shared" si="12"/>
        <v>48</v>
      </c>
      <c r="G91" s="128">
        <f t="shared" si="12"/>
        <v>60</v>
      </c>
      <c r="H91" s="128">
        <f t="shared" si="12"/>
        <v>72</v>
      </c>
      <c r="I91" s="128">
        <f t="shared" si="12"/>
        <v>84</v>
      </c>
      <c r="K91" s="7"/>
      <c r="L91" s="7"/>
    </row>
    <row r="92" spans="1:12">
      <c r="A92" s="7"/>
      <c r="B92" s="128">
        <v>2015</v>
      </c>
      <c r="C92" s="129"/>
      <c r="D92" s="129"/>
      <c r="E92" s="129"/>
      <c r="F92" s="129"/>
      <c r="G92" s="129"/>
      <c r="H92" s="129"/>
      <c r="I92" s="129"/>
      <c r="K92" s="7"/>
      <c r="L92" s="7"/>
    </row>
    <row r="93" spans="1:12">
      <c r="A93" s="7"/>
      <c r="B93" s="128">
        <v>2016</v>
      </c>
      <c r="C93" s="129"/>
      <c r="D93" s="129"/>
      <c r="E93" s="129"/>
      <c r="F93" s="129"/>
      <c r="G93" s="129">
        <v>-5</v>
      </c>
      <c r="H93" s="129">
        <v>-5</v>
      </c>
      <c r="I93" s="129"/>
      <c r="J93" s="133" t="s">
        <v>416</v>
      </c>
      <c r="K93" s="7"/>
      <c r="L93" s="7"/>
    </row>
    <row r="94" spans="1:12">
      <c r="A94" s="7"/>
      <c r="B94" s="128">
        <v>2017</v>
      </c>
      <c r="C94" s="129"/>
      <c r="D94" s="129"/>
      <c r="E94" s="129"/>
      <c r="F94" s="129"/>
      <c r="G94" s="129"/>
      <c r="H94" s="129"/>
      <c r="I94" s="129"/>
      <c r="J94" s="133" t="s">
        <v>423</v>
      </c>
      <c r="K94" s="7"/>
      <c r="L94" s="7"/>
    </row>
    <row r="95" spans="1:12">
      <c r="A95" s="7"/>
      <c r="B95" s="128">
        <v>2018</v>
      </c>
      <c r="C95" s="129"/>
      <c r="D95" s="129">
        <v>-15</v>
      </c>
      <c r="E95" s="129">
        <f>D95</f>
        <v>-15</v>
      </c>
      <c r="F95" s="129">
        <f>E95</f>
        <v>-15</v>
      </c>
      <c r="G95" s="129"/>
      <c r="H95" s="129"/>
      <c r="I95" s="129"/>
      <c r="J95" s="133" t="s">
        <v>417</v>
      </c>
      <c r="K95" s="7"/>
      <c r="L95" s="7"/>
    </row>
    <row r="96" spans="1:12">
      <c r="A96" s="7"/>
      <c r="B96" s="128">
        <v>2019</v>
      </c>
      <c r="C96" s="129">
        <v>10</v>
      </c>
      <c r="D96" s="129">
        <f>C96</f>
        <v>10</v>
      </c>
      <c r="E96" s="129">
        <f>D96</f>
        <v>10</v>
      </c>
      <c r="F96" s="129"/>
      <c r="G96" s="129"/>
      <c r="H96" s="129"/>
      <c r="I96" s="129"/>
      <c r="J96" s="133" t="s">
        <v>418</v>
      </c>
      <c r="K96" s="7"/>
      <c r="L96" s="7"/>
    </row>
    <row r="97" spans="1:12">
      <c r="A97" s="7"/>
      <c r="B97" s="128">
        <v>2020</v>
      </c>
      <c r="C97" s="129"/>
      <c r="D97" s="129">
        <v>5</v>
      </c>
      <c r="E97" s="129"/>
      <c r="F97" s="129"/>
      <c r="G97" s="129"/>
      <c r="H97" s="129"/>
      <c r="I97" s="129"/>
      <c r="J97" s="133" t="s">
        <v>420</v>
      </c>
      <c r="K97" s="7"/>
      <c r="L97" s="7"/>
    </row>
    <row r="98" spans="1:12">
      <c r="A98" s="7"/>
      <c r="B98" s="128">
        <v>2021</v>
      </c>
      <c r="C98" s="129">
        <v>30</v>
      </c>
      <c r="D98" s="129"/>
      <c r="E98" s="129"/>
      <c r="F98" s="129"/>
      <c r="G98" s="129"/>
      <c r="H98" s="129"/>
      <c r="I98" s="129"/>
      <c r="J98" s="133" t="s">
        <v>419</v>
      </c>
      <c r="K98" s="7"/>
      <c r="L98" s="7"/>
    </row>
    <row r="99" spans="1:12">
      <c r="A99" s="7"/>
      <c r="B99" s="7"/>
      <c r="C99" s="7"/>
      <c r="D99" s="7"/>
      <c r="E99" s="7"/>
      <c r="F99" s="7"/>
      <c r="G99" s="7"/>
      <c r="H99" s="7"/>
      <c r="I99" s="7"/>
      <c r="J99" s="133"/>
      <c r="K99" s="7"/>
      <c r="L99" s="7"/>
    </row>
    <row r="100" spans="1:12">
      <c r="A100" s="7"/>
      <c r="B100" s="1" t="s">
        <v>425</v>
      </c>
      <c r="J100" s="133"/>
      <c r="K100" s="7"/>
      <c r="L100" s="7"/>
    </row>
    <row r="101" spans="1:12">
      <c r="A101" s="7"/>
      <c r="B101" s="314" t="s">
        <v>259</v>
      </c>
      <c r="C101" s="330" t="s">
        <v>411</v>
      </c>
      <c r="D101" s="330"/>
      <c r="E101" s="330"/>
      <c r="F101" s="330"/>
      <c r="G101" s="330"/>
      <c r="H101" s="330"/>
      <c r="I101" s="330"/>
      <c r="J101" s="133"/>
      <c r="K101" s="7"/>
      <c r="L101" s="7"/>
    </row>
    <row r="102" spans="1:12">
      <c r="A102" s="7"/>
      <c r="B102" s="314"/>
      <c r="C102" s="128">
        <v>12</v>
      </c>
      <c r="D102" s="128">
        <f>C102+12</f>
        <v>24</v>
      </c>
      <c r="E102" s="128">
        <f t="shared" ref="E102:I102" si="13">D102+12</f>
        <v>36</v>
      </c>
      <c r="F102" s="128">
        <f t="shared" si="13"/>
        <v>48</v>
      </c>
      <c r="G102" s="128">
        <f t="shared" si="13"/>
        <v>60</v>
      </c>
      <c r="H102" s="128">
        <f t="shared" si="13"/>
        <v>72</v>
      </c>
      <c r="I102" s="128">
        <f t="shared" si="13"/>
        <v>84</v>
      </c>
      <c r="J102" s="133"/>
      <c r="K102" s="7"/>
      <c r="L102" s="7"/>
    </row>
    <row r="103" spans="1:12">
      <c r="A103" s="7"/>
      <c r="B103" s="128">
        <v>2015</v>
      </c>
      <c r="C103" s="129">
        <f t="shared" ref="C103:I103" si="14">C56+C92</f>
        <v>1499</v>
      </c>
      <c r="D103" s="129">
        <f t="shared" si="14"/>
        <v>3078</v>
      </c>
      <c r="E103" s="129">
        <f t="shared" si="14"/>
        <v>3387</v>
      </c>
      <c r="F103" s="129">
        <f t="shared" si="14"/>
        <v>3718</v>
      </c>
      <c r="G103" s="129">
        <f t="shared" si="14"/>
        <v>3741</v>
      </c>
      <c r="H103" s="129">
        <f t="shared" si="14"/>
        <v>3746</v>
      </c>
      <c r="I103" s="129">
        <f t="shared" si="14"/>
        <v>3746</v>
      </c>
      <c r="J103" s="133"/>
      <c r="K103" s="7"/>
      <c r="L103" s="7"/>
    </row>
    <row r="104" spans="1:12">
      <c r="A104" s="7"/>
      <c r="B104" s="128">
        <v>2016</v>
      </c>
      <c r="C104" s="129">
        <f t="shared" ref="C104:H104" si="15">C57+C93</f>
        <v>1672</v>
      </c>
      <c r="D104" s="129">
        <f t="shared" si="15"/>
        <v>3554</v>
      </c>
      <c r="E104" s="129">
        <f t="shared" si="15"/>
        <v>3907</v>
      </c>
      <c r="F104" s="129">
        <f t="shared" si="15"/>
        <v>4207</v>
      </c>
      <c r="G104" s="134">
        <f t="shared" si="15"/>
        <v>4222</v>
      </c>
      <c r="H104" s="134">
        <f t="shared" si="15"/>
        <v>4223</v>
      </c>
      <c r="I104" s="129"/>
      <c r="J104" s="133" t="s">
        <v>416</v>
      </c>
      <c r="K104" s="7"/>
      <c r="L104" s="7"/>
    </row>
    <row r="105" spans="1:12">
      <c r="A105" s="7"/>
      <c r="B105" s="128">
        <v>2017</v>
      </c>
      <c r="C105" s="129">
        <f>C58+C94</f>
        <v>1892</v>
      </c>
      <c r="D105" s="129">
        <f>D58+D94</f>
        <v>3303</v>
      </c>
      <c r="E105" s="129">
        <f>E58+E94</f>
        <v>3866</v>
      </c>
      <c r="F105" s="129">
        <f>F58+F94</f>
        <v>4287</v>
      </c>
      <c r="G105" s="129">
        <f>G58+G94</f>
        <v>4296</v>
      </c>
      <c r="H105" s="129"/>
      <c r="I105" s="129"/>
      <c r="J105" s="133" t="s">
        <v>423</v>
      </c>
      <c r="K105" s="7"/>
      <c r="L105" s="7"/>
    </row>
    <row r="106" spans="1:12">
      <c r="A106" s="7"/>
      <c r="B106" s="128">
        <v>2018</v>
      </c>
      <c r="C106" s="129">
        <f>C59+C95</f>
        <v>1827</v>
      </c>
      <c r="D106" s="134">
        <f>D59+D95</f>
        <v>3349</v>
      </c>
      <c r="E106" s="134">
        <f>E59+E95</f>
        <v>3702</v>
      </c>
      <c r="F106" s="134">
        <f>F59+F95</f>
        <v>4055</v>
      </c>
      <c r="G106" s="129"/>
      <c r="H106" s="129"/>
      <c r="I106" s="129"/>
      <c r="J106" s="133" t="s">
        <v>417</v>
      </c>
      <c r="K106" s="7"/>
      <c r="L106" s="7"/>
    </row>
    <row r="107" spans="1:12">
      <c r="A107" s="7"/>
      <c r="B107" s="128">
        <v>2019</v>
      </c>
      <c r="C107" s="134">
        <f>C60+C96</f>
        <v>1706</v>
      </c>
      <c r="D107" s="134">
        <f>D60+D96</f>
        <v>3835</v>
      </c>
      <c r="E107" s="134">
        <f>E60+E96</f>
        <v>4227</v>
      </c>
      <c r="F107" s="129"/>
      <c r="G107" s="129"/>
      <c r="H107" s="129"/>
      <c r="I107" s="129"/>
      <c r="J107" s="133" t="s">
        <v>418</v>
      </c>
      <c r="K107" s="7"/>
      <c r="L107" s="7"/>
    </row>
    <row r="108" spans="1:12">
      <c r="A108" s="7"/>
      <c r="B108" s="128">
        <v>2020</v>
      </c>
      <c r="C108" s="129">
        <f>C61+C97</f>
        <v>1897</v>
      </c>
      <c r="D108" s="134">
        <f>D61+D97</f>
        <v>3779</v>
      </c>
      <c r="E108" s="129"/>
      <c r="F108" s="129"/>
      <c r="G108" s="129"/>
      <c r="H108" s="129"/>
      <c r="I108" s="129"/>
      <c r="J108" s="133" t="s">
        <v>420</v>
      </c>
      <c r="K108" s="7"/>
      <c r="L108" s="7"/>
    </row>
    <row r="109" spans="1:12">
      <c r="A109" s="7"/>
      <c r="B109" s="128">
        <v>2021</v>
      </c>
      <c r="C109" s="134">
        <f>C62+C98</f>
        <v>1964</v>
      </c>
      <c r="D109" s="129"/>
      <c r="E109" s="129"/>
      <c r="F109" s="129"/>
      <c r="G109" s="129"/>
      <c r="H109" s="129"/>
      <c r="I109" s="129"/>
      <c r="J109" s="133" t="s">
        <v>419</v>
      </c>
      <c r="K109" s="7"/>
      <c r="L109" s="7"/>
    </row>
    <row r="111" spans="1:12">
      <c r="A111" s="3"/>
      <c r="B111" s="3"/>
      <c r="C111" s="3"/>
      <c r="D111" s="3"/>
      <c r="E111" s="3"/>
      <c r="F111" s="3"/>
      <c r="G111" s="4"/>
      <c r="H111" s="4"/>
      <c r="I111" s="4"/>
      <c r="J111" s="4"/>
      <c r="K111" s="4"/>
      <c r="L111" s="4"/>
    </row>
    <row r="112" spans="1:12">
      <c r="A112" s="14" t="s">
        <v>286</v>
      </c>
      <c r="B112" s="16"/>
      <c r="C112" s="9"/>
      <c r="D112" s="9"/>
      <c r="E112" s="9"/>
      <c r="F112" s="3"/>
      <c r="G112" s="4"/>
      <c r="H112" s="4"/>
      <c r="I112" s="4"/>
      <c r="J112" s="4"/>
      <c r="K112" s="4"/>
      <c r="L112" s="4"/>
    </row>
    <row r="113" spans="1:13">
      <c r="A113" s="9"/>
      <c r="B113" s="9"/>
      <c r="C113" s="9"/>
      <c r="D113" s="9"/>
      <c r="E113" s="9"/>
      <c r="F113" s="3"/>
      <c r="G113" s="4"/>
      <c r="H113" s="4"/>
      <c r="I113" s="4"/>
      <c r="J113" s="4"/>
      <c r="K113" s="4"/>
      <c r="L113" s="4"/>
    </row>
    <row r="114" spans="1:13" ht="15.6" customHeight="1">
      <c r="A114" s="9"/>
      <c r="B114" s="310" t="s">
        <v>287</v>
      </c>
      <c r="C114" s="310"/>
      <c r="D114" s="310"/>
      <c r="E114" s="9"/>
      <c r="F114" s="3"/>
      <c r="G114" s="4"/>
      <c r="H114" s="4"/>
      <c r="I114" s="4"/>
      <c r="J114" s="4"/>
      <c r="K114" s="4"/>
      <c r="L114" s="4"/>
    </row>
    <row r="115" spans="1:13">
      <c r="A115" s="9"/>
      <c r="B115" s="329">
        <v>44196</v>
      </c>
      <c r="C115" s="329"/>
      <c r="D115" s="27">
        <v>3900</v>
      </c>
      <c r="E115" s="9"/>
      <c r="F115" s="3"/>
      <c r="G115" s="4"/>
      <c r="H115" s="4"/>
      <c r="I115" s="4"/>
      <c r="J115" s="4"/>
      <c r="K115" s="4"/>
      <c r="L115" s="4"/>
    </row>
    <row r="116" spans="1:13">
      <c r="A116" s="9"/>
      <c r="B116" s="329">
        <v>44561</v>
      </c>
      <c r="C116" s="329"/>
      <c r="D116" s="27">
        <v>4100</v>
      </c>
      <c r="E116" s="9"/>
      <c r="F116" s="3"/>
      <c r="G116" s="4"/>
      <c r="H116" s="4"/>
      <c r="I116" s="4"/>
      <c r="J116" s="4"/>
      <c r="K116" s="4"/>
      <c r="L116" s="4"/>
    </row>
    <row r="117" spans="1:13">
      <c r="A117" s="3"/>
      <c r="B117" s="3"/>
      <c r="C117" s="3"/>
      <c r="D117" s="3"/>
      <c r="E117" s="3"/>
      <c r="F117" s="3"/>
      <c r="G117" s="4"/>
      <c r="H117" s="4"/>
      <c r="I117" s="4"/>
      <c r="J117" s="4"/>
      <c r="K117" s="4"/>
      <c r="L117" s="4"/>
    </row>
    <row r="119" spans="1:13">
      <c r="A119" s="6" t="s">
        <v>2</v>
      </c>
      <c r="B119" s="9" t="s">
        <v>363</v>
      </c>
      <c r="C119" s="4"/>
      <c r="D119" s="4"/>
      <c r="E119" s="4"/>
      <c r="F119" s="4"/>
      <c r="G119" s="4"/>
      <c r="H119" s="4"/>
      <c r="I119" s="4"/>
      <c r="J119" s="4"/>
      <c r="K119" s="4"/>
      <c r="L119" s="4"/>
    </row>
    <row r="120" spans="1:13">
      <c r="A120" s="3"/>
      <c r="B120" s="3"/>
      <c r="C120" s="3"/>
      <c r="D120" s="3"/>
      <c r="E120" s="3"/>
      <c r="F120" s="3"/>
      <c r="G120" s="4"/>
      <c r="H120" s="4"/>
      <c r="I120" s="4"/>
      <c r="J120" s="4"/>
      <c r="K120" s="4"/>
      <c r="L120" s="4"/>
    </row>
    <row r="121" spans="1:13">
      <c r="A121" s="7"/>
      <c r="B121" s="7"/>
      <c r="C121" s="7"/>
      <c r="D121" s="7"/>
      <c r="E121" s="7"/>
      <c r="F121" s="7"/>
      <c r="G121" s="7"/>
      <c r="H121" s="7"/>
      <c r="I121" s="7"/>
      <c r="J121" s="7"/>
      <c r="K121" s="7"/>
      <c r="L121" s="7"/>
    </row>
    <row r="122" spans="1:13">
      <c r="A122" s="7" t="s">
        <v>1</v>
      </c>
      <c r="B122" s="7"/>
      <c r="C122" s="7"/>
      <c r="D122" s="7"/>
      <c r="E122" s="7"/>
      <c r="F122" s="7"/>
      <c r="G122" s="7"/>
      <c r="H122" s="7"/>
      <c r="I122" s="7"/>
      <c r="J122" s="7"/>
      <c r="K122" s="7"/>
      <c r="L122" s="7"/>
    </row>
    <row r="123" spans="1:13">
      <c r="A123" s="7"/>
      <c r="B123" s="7"/>
      <c r="C123" s="7"/>
      <c r="D123" s="7"/>
      <c r="E123" s="7"/>
      <c r="F123" s="7"/>
      <c r="G123" s="7"/>
      <c r="H123" s="7"/>
      <c r="I123" s="7"/>
      <c r="J123" s="7"/>
      <c r="K123" s="7"/>
      <c r="L123" s="7"/>
    </row>
    <row r="124" spans="1:13">
      <c r="A124" s="7"/>
      <c r="B124" s="1" t="s">
        <v>421</v>
      </c>
      <c r="G124" s="7"/>
      <c r="H124" s="7"/>
      <c r="I124" s="7"/>
      <c r="J124" s="7"/>
      <c r="K124" s="7"/>
      <c r="L124" s="7"/>
    </row>
    <row r="125" spans="1:13">
      <c r="A125" s="7"/>
      <c r="B125" s="135"/>
      <c r="C125" s="135" t="s">
        <v>414</v>
      </c>
      <c r="D125" s="131">
        <f>(C109+D108+E107+F106+G105+H104+I103)-(C108+D107+E106+F105+G104+H103)</f>
        <v>4601</v>
      </c>
      <c r="E125" s="132" t="s">
        <v>415</v>
      </c>
      <c r="F125" s="131">
        <f>D116-D115</f>
        <v>200</v>
      </c>
      <c r="G125" s="132" t="s">
        <v>414</v>
      </c>
      <c r="H125" s="131">
        <f>D125+F125</f>
        <v>4801</v>
      </c>
      <c r="I125" s="7"/>
      <c r="J125" s="7"/>
      <c r="K125" s="7"/>
      <c r="L125" s="7"/>
    </row>
    <row r="126" spans="1:13">
      <c r="D126" s="131"/>
    </row>
    <row r="128" spans="1:13">
      <c r="M128" s="7"/>
    </row>
    <row r="129" spans="13:13">
      <c r="M129" s="7"/>
    </row>
  </sheetData>
  <mergeCells count="25">
    <mergeCell ref="D75:E75"/>
    <mergeCell ref="C5:I5"/>
    <mergeCell ref="B6:B7"/>
    <mergeCell ref="C6:I6"/>
    <mergeCell ref="B16:B17"/>
    <mergeCell ref="C16:I16"/>
    <mergeCell ref="B32:B33"/>
    <mergeCell ref="C32:I32"/>
    <mergeCell ref="B43:B44"/>
    <mergeCell ref="C43:I43"/>
    <mergeCell ref="B54:B55"/>
    <mergeCell ref="C54:I54"/>
    <mergeCell ref="B114:D114"/>
    <mergeCell ref="B115:C115"/>
    <mergeCell ref="B116:C116"/>
    <mergeCell ref="D76:E76"/>
    <mergeCell ref="D77:E77"/>
    <mergeCell ref="D78:E78"/>
    <mergeCell ref="D79:E79"/>
    <mergeCell ref="D80:E80"/>
    <mergeCell ref="D81:E81"/>
    <mergeCell ref="B90:B91"/>
    <mergeCell ref="C90:I90"/>
    <mergeCell ref="B101:B102"/>
    <mergeCell ref="C101:I101"/>
  </mergeCell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679CB-C84E-4E60-AA59-0691A02320C8}">
  <dimension ref="A1:R53"/>
  <sheetViews>
    <sheetView zoomScaleNormal="100" workbookViewId="0">
      <selection activeCell="F46" sqref="F46"/>
    </sheetView>
  </sheetViews>
  <sheetFormatPr defaultColWidth="8.85546875" defaultRowHeight="15.75"/>
  <cols>
    <col min="1" max="1" width="8.85546875" style="1" customWidth="1"/>
    <col min="2" max="2" width="29.28515625" style="1" customWidth="1"/>
    <col min="3" max="6" width="13.7109375" style="1" customWidth="1"/>
    <col min="7" max="7" width="12.140625" style="1" customWidth="1"/>
    <col min="8" max="8" width="25.28515625" style="1" customWidth="1"/>
    <col min="9" max="16384" width="8.85546875" style="1"/>
  </cols>
  <sheetData>
    <row r="1" spans="1:12" ht="18.75">
      <c r="A1" s="2" t="s">
        <v>288</v>
      </c>
      <c r="B1" s="4"/>
      <c r="C1" s="9" t="s">
        <v>289</v>
      </c>
      <c r="D1" s="4"/>
      <c r="E1" s="4"/>
      <c r="F1" s="4"/>
      <c r="G1" s="4"/>
      <c r="H1" s="4"/>
      <c r="I1" s="4"/>
      <c r="J1" s="4"/>
      <c r="K1" s="4"/>
      <c r="L1" s="3"/>
    </row>
    <row r="2" spans="1:12">
      <c r="A2" s="4"/>
      <c r="B2" s="4"/>
      <c r="C2" s="4"/>
      <c r="D2" s="4"/>
      <c r="E2" s="4"/>
      <c r="F2" s="4"/>
      <c r="G2" s="4"/>
      <c r="H2" s="4"/>
      <c r="I2" s="4"/>
      <c r="J2" s="4"/>
      <c r="K2" s="4"/>
      <c r="L2" s="3"/>
    </row>
    <row r="3" spans="1:12">
      <c r="A3" s="14" t="s">
        <v>290</v>
      </c>
      <c r="B3" s="9"/>
      <c r="C3" s="9"/>
      <c r="D3" s="9"/>
      <c r="E3" s="9"/>
      <c r="F3" s="9"/>
      <c r="G3" s="9"/>
      <c r="H3" s="9"/>
      <c r="I3" s="9"/>
      <c r="J3" s="4"/>
      <c r="K3" s="4"/>
      <c r="L3" s="3"/>
    </row>
    <row r="4" spans="1:12">
      <c r="A4" s="14"/>
      <c r="B4" s="9"/>
      <c r="C4" s="9"/>
      <c r="D4" s="9"/>
      <c r="E4" s="9"/>
      <c r="F4" s="9"/>
      <c r="G4" s="9"/>
      <c r="H4" s="9"/>
      <c r="I4" s="9"/>
      <c r="J4" s="9"/>
      <c r="K4" s="9"/>
      <c r="L4" s="9"/>
    </row>
    <row r="5" spans="1:12" ht="28.15" customHeight="1">
      <c r="A5" s="9"/>
      <c r="B5" s="80"/>
      <c r="C5" s="80"/>
      <c r="D5" s="310" t="s">
        <v>291</v>
      </c>
      <c r="E5" s="310"/>
      <c r="F5" s="9"/>
      <c r="G5" s="9"/>
      <c r="H5" s="9"/>
      <c r="I5" s="9"/>
      <c r="J5" s="9"/>
      <c r="K5" s="9"/>
      <c r="L5" s="9"/>
    </row>
    <row r="6" spans="1:12" ht="31.5">
      <c r="A6" s="9"/>
      <c r="B6" s="47" t="s">
        <v>292</v>
      </c>
      <c r="C6" s="47" t="s">
        <v>293</v>
      </c>
      <c r="D6" s="19" t="s">
        <v>294</v>
      </c>
      <c r="E6" s="30" t="s">
        <v>295</v>
      </c>
      <c r="F6" s="9"/>
      <c r="G6" s="9"/>
      <c r="H6" s="9"/>
      <c r="I6" s="9"/>
      <c r="J6" s="9"/>
      <c r="K6" s="9"/>
      <c r="L6" s="9"/>
    </row>
    <row r="7" spans="1:12">
      <c r="A7" s="9"/>
      <c r="B7" s="340" t="s">
        <v>296</v>
      </c>
      <c r="C7" s="76">
        <v>1</v>
      </c>
      <c r="D7" s="78">
        <v>14000</v>
      </c>
      <c r="E7" s="78">
        <v>35000</v>
      </c>
      <c r="F7" s="9"/>
      <c r="G7" s="9"/>
      <c r="H7" s="9"/>
      <c r="I7" s="9"/>
      <c r="J7" s="9"/>
      <c r="K7" s="9"/>
      <c r="L7" s="9"/>
    </row>
    <row r="8" spans="1:12">
      <c r="A8" s="9"/>
      <c r="B8" s="321"/>
      <c r="C8" s="77">
        <v>2</v>
      </c>
      <c r="D8" s="79">
        <v>32000</v>
      </c>
      <c r="E8" s="79">
        <v>20000</v>
      </c>
      <c r="F8" s="9"/>
      <c r="G8" s="9"/>
      <c r="H8" s="9"/>
      <c r="I8" s="9"/>
      <c r="J8" s="9"/>
      <c r="K8" s="9"/>
      <c r="L8" s="9"/>
    </row>
    <row r="9" spans="1:12">
      <c r="A9" s="9"/>
      <c r="B9" s="321" t="s">
        <v>297</v>
      </c>
      <c r="C9" s="76">
        <v>3</v>
      </c>
      <c r="D9" s="78">
        <v>22000</v>
      </c>
      <c r="E9" s="78">
        <v>16000</v>
      </c>
      <c r="F9" s="9"/>
      <c r="G9" s="9"/>
      <c r="H9" s="9"/>
      <c r="I9" s="9"/>
      <c r="J9" s="9"/>
      <c r="K9" s="9"/>
      <c r="L9" s="9"/>
    </row>
    <row r="10" spans="1:12">
      <c r="A10" s="9"/>
      <c r="B10" s="321"/>
      <c r="C10" s="77">
        <v>4</v>
      </c>
      <c r="D10" s="79">
        <v>10000</v>
      </c>
      <c r="E10" s="79">
        <v>3000</v>
      </c>
      <c r="F10" s="9"/>
      <c r="G10" s="9"/>
      <c r="H10" s="9"/>
      <c r="I10" s="9"/>
      <c r="J10" s="9"/>
      <c r="K10" s="9"/>
      <c r="L10" s="9"/>
    </row>
    <row r="11" spans="1:12">
      <c r="A11" s="14"/>
      <c r="B11" s="9"/>
      <c r="C11" s="9"/>
      <c r="D11" s="9"/>
      <c r="E11" s="9"/>
      <c r="F11" s="9"/>
      <c r="G11" s="9"/>
      <c r="H11" s="9"/>
      <c r="I11" s="9"/>
      <c r="J11" s="9"/>
      <c r="K11" s="9"/>
      <c r="L11" s="9"/>
    </row>
    <row r="12" spans="1:12" ht="46.15" customHeight="1">
      <c r="A12" s="9"/>
      <c r="B12" s="30" t="s">
        <v>292</v>
      </c>
      <c r="C12" s="319" t="s">
        <v>298</v>
      </c>
      <c r="D12" s="320"/>
      <c r="E12" s="319" t="s">
        <v>299</v>
      </c>
      <c r="F12" s="320"/>
      <c r="G12" s="9"/>
      <c r="H12" s="9"/>
      <c r="I12" s="9"/>
      <c r="J12" s="9"/>
      <c r="K12" s="9"/>
      <c r="L12" s="9"/>
    </row>
    <row r="13" spans="1:12">
      <c r="A13" s="9"/>
      <c r="B13" s="26" t="s">
        <v>296</v>
      </c>
      <c r="C13" s="341">
        <v>88600</v>
      </c>
      <c r="D13" s="341"/>
      <c r="E13" s="339">
        <v>0.16</v>
      </c>
      <c r="F13" s="339"/>
      <c r="G13" s="9"/>
      <c r="H13" s="9"/>
      <c r="I13" s="9"/>
      <c r="J13" s="9"/>
      <c r="K13" s="9"/>
      <c r="L13" s="9"/>
    </row>
    <row r="14" spans="1:12">
      <c r="A14" s="9"/>
      <c r="B14" s="26" t="s">
        <v>297</v>
      </c>
      <c r="C14" s="341">
        <v>92200</v>
      </c>
      <c r="D14" s="341"/>
      <c r="E14" s="339">
        <v>0.38</v>
      </c>
      <c r="F14" s="339"/>
      <c r="G14" s="9"/>
      <c r="H14" s="9"/>
      <c r="I14" s="9"/>
      <c r="J14" s="9"/>
      <c r="K14" s="9"/>
      <c r="L14" s="9"/>
    </row>
    <row r="15" spans="1:12">
      <c r="A15" s="14"/>
      <c r="B15" s="16"/>
      <c r="C15" s="9"/>
      <c r="D15" s="9"/>
      <c r="E15" s="9"/>
      <c r="F15" s="9"/>
      <c r="G15" s="9"/>
      <c r="H15" s="9"/>
      <c r="I15" s="9"/>
      <c r="J15" s="9"/>
      <c r="K15" s="9"/>
      <c r="L15" s="9"/>
    </row>
    <row r="16" spans="1:12">
      <c r="A16" s="9"/>
      <c r="B16" s="17" t="s">
        <v>301</v>
      </c>
      <c r="C16" s="23"/>
      <c r="D16" s="61">
        <v>20000</v>
      </c>
      <c r="E16" s="9"/>
      <c r="F16" s="9"/>
      <c r="G16" s="9"/>
      <c r="H16" s="9"/>
      <c r="I16" s="9"/>
      <c r="J16" s="9"/>
      <c r="K16" s="9"/>
      <c r="L16" s="9"/>
    </row>
    <row r="17" spans="1:18">
      <c r="A17" s="9"/>
      <c r="B17" s="17" t="s">
        <v>302</v>
      </c>
      <c r="C17" s="9"/>
      <c r="D17" s="61">
        <v>45000</v>
      </c>
      <c r="E17" s="9"/>
      <c r="F17" s="9"/>
      <c r="G17" s="9"/>
      <c r="H17" s="9"/>
      <c r="I17" s="9"/>
      <c r="J17" s="9"/>
      <c r="K17" s="9"/>
      <c r="L17" s="9"/>
    </row>
    <row r="18" spans="1:18">
      <c r="A18" s="9"/>
      <c r="B18" s="17" t="s">
        <v>303</v>
      </c>
      <c r="C18" s="9"/>
      <c r="D18" s="48">
        <v>0.67</v>
      </c>
      <c r="E18" s="9"/>
      <c r="F18" s="9"/>
      <c r="G18" s="9"/>
      <c r="H18" s="9"/>
      <c r="I18" s="9"/>
      <c r="J18" s="9"/>
      <c r="K18" s="9"/>
      <c r="L18" s="9"/>
    </row>
    <row r="19" spans="1:18">
      <c r="A19" s="9"/>
      <c r="B19" s="17" t="s">
        <v>300</v>
      </c>
      <c r="C19" s="9"/>
      <c r="D19" s="9"/>
      <c r="E19" s="9"/>
      <c r="F19" s="9"/>
      <c r="G19" s="9"/>
      <c r="H19" s="9"/>
      <c r="I19" s="9"/>
      <c r="J19" s="9"/>
      <c r="K19" s="9"/>
      <c r="L19" s="9"/>
    </row>
    <row r="20" spans="1:18">
      <c r="A20" s="9"/>
      <c r="B20" s="75" t="s">
        <v>304</v>
      </c>
      <c r="C20" s="9"/>
      <c r="D20" s="9"/>
      <c r="E20" s="9"/>
      <c r="F20" s="61">
        <v>2000000</v>
      </c>
      <c r="G20" s="9"/>
      <c r="H20" s="9"/>
      <c r="I20" s="9"/>
      <c r="J20" s="9"/>
      <c r="K20" s="9"/>
      <c r="L20" s="9"/>
    </row>
    <row r="21" spans="1:18">
      <c r="A21" s="9"/>
      <c r="B21" s="9"/>
      <c r="C21" s="9"/>
      <c r="D21" s="9"/>
      <c r="E21" s="9"/>
      <c r="F21" s="9"/>
      <c r="G21" s="9"/>
      <c r="H21" s="9"/>
      <c r="I21" s="9"/>
      <c r="J21" s="9"/>
      <c r="K21" s="9"/>
      <c r="L21" s="9"/>
    </row>
    <row r="22" spans="1:18">
      <c r="A22" s="7"/>
      <c r="B22" s="7"/>
      <c r="C22" s="7"/>
      <c r="D22" s="7"/>
      <c r="E22" s="7"/>
      <c r="F22" s="7"/>
      <c r="G22" s="7"/>
      <c r="H22" s="7"/>
      <c r="I22" s="7"/>
      <c r="J22" s="7"/>
      <c r="K22" s="7"/>
      <c r="L22" s="7"/>
    </row>
    <row r="23" spans="1:18">
      <c r="A23" s="9" t="s">
        <v>364</v>
      </c>
      <c r="B23" s="9"/>
      <c r="C23" s="9"/>
      <c r="D23" s="4"/>
      <c r="E23" s="4"/>
      <c r="F23" s="4"/>
      <c r="G23" s="4"/>
      <c r="H23" s="4"/>
      <c r="I23" s="4"/>
      <c r="J23" s="4"/>
      <c r="K23" s="4"/>
      <c r="L23" s="4"/>
      <c r="M23" s="8"/>
      <c r="N23" s="8"/>
      <c r="O23" s="8"/>
      <c r="P23" s="8"/>
      <c r="Q23" s="8"/>
      <c r="R23" s="8"/>
    </row>
    <row r="24" spans="1:18">
      <c r="A24" s="3"/>
      <c r="B24" s="3"/>
      <c r="C24" s="3"/>
      <c r="D24" s="3"/>
      <c r="E24" s="3"/>
      <c r="F24" s="3"/>
      <c r="G24" s="4"/>
      <c r="H24" s="4"/>
      <c r="I24" s="4"/>
      <c r="J24" s="4"/>
      <c r="K24" s="4"/>
      <c r="L24" s="4"/>
    </row>
    <row r="25" spans="1:18">
      <c r="A25" s="7"/>
      <c r="B25" s="7"/>
      <c r="C25" s="7"/>
      <c r="D25" s="7"/>
      <c r="E25" s="7"/>
      <c r="F25" s="7"/>
      <c r="G25" s="7"/>
      <c r="H25" s="7"/>
      <c r="I25" s="7"/>
      <c r="J25" s="7"/>
      <c r="K25" s="7"/>
      <c r="L25" s="7"/>
      <c r="M25" s="7"/>
    </row>
    <row r="26" spans="1:18">
      <c r="A26" s="7" t="s">
        <v>1</v>
      </c>
      <c r="B26" s="7"/>
      <c r="C26" s="7"/>
      <c r="D26" s="7"/>
      <c r="E26" s="7"/>
      <c r="F26" s="7"/>
      <c r="G26" s="7"/>
      <c r="H26" s="7"/>
      <c r="I26" s="7"/>
      <c r="J26" s="7"/>
      <c r="K26" s="7"/>
      <c r="L26" s="7"/>
      <c r="M26" s="7"/>
      <c r="N26" s="8"/>
    </row>
    <row r="27" spans="1:18" ht="31.5">
      <c r="B27" s="230" t="s">
        <v>292</v>
      </c>
      <c r="C27" s="204" t="s">
        <v>572</v>
      </c>
      <c r="D27" s="231" t="s">
        <v>573</v>
      </c>
      <c r="E27" s="241" t="s">
        <v>574</v>
      </c>
      <c r="F27" s="232" t="s">
        <v>575</v>
      </c>
      <c r="G27" s="7"/>
      <c r="H27" s="7"/>
    </row>
    <row r="28" spans="1:18">
      <c r="B28" s="235" t="str">
        <f>B13</f>
        <v>July 1, 2019 – June 30, 2020</v>
      </c>
      <c r="C28" s="233">
        <f>C13</f>
        <v>88600</v>
      </c>
      <c r="D28" s="234">
        <f>E13</f>
        <v>0.16</v>
      </c>
      <c r="E28" s="235">
        <f>D18</f>
        <v>0.67</v>
      </c>
      <c r="F28" s="218">
        <f>C28*D28*E28</f>
        <v>9497.92</v>
      </c>
      <c r="G28" s="7"/>
      <c r="H28" s="7"/>
    </row>
    <row r="29" spans="1:18">
      <c r="B29" s="235" t="str">
        <f>B14</f>
        <v>July 1, 2020 – June 30, 2021</v>
      </c>
      <c r="C29" s="233">
        <f>C14</f>
        <v>92200</v>
      </c>
      <c r="D29" s="234">
        <f>E14</f>
        <v>0.38</v>
      </c>
      <c r="E29" s="235">
        <f>D18</f>
        <v>0.67</v>
      </c>
      <c r="F29" s="226">
        <f>C29*D29*E29</f>
        <v>23474.120000000003</v>
      </c>
      <c r="G29" s="7"/>
      <c r="H29" s="7"/>
    </row>
    <row r="30" spans="1:18">
      <c r="B30" s="236" t="s">
        <v>83</v>
      </c>
      <c r="C30" s="237">
        <f>SUM(C28:C29)</f>
        <v>180800</v>
      </c>
      <c r="D30" s="116"/>
      <c r="E30" s="116"/>
      <c r="F30" s="237">
        <f>SUM(F28:F29)</f>
        <v>32972.04</v>
      </c>
      <c r="G30" s="7"/>
      <c r="H30" s="188"/>
    </row>
    <row r="31" spans="1:18">
      <c r="B31" s="7"/>
      <c r="C31" s="7"/>
      <c r="D31" s="7"/>
      <c r="E31" s="7"/>
      <c r="F31" s="7"/>
      <c r="G31" s="7"/>
      <c r="H31" s="7"/>
    </row>
    <row r="32" spans="1:18">
      <c r="B32" s="203"/>
      <c r="C32" s="204"/>
      <c r="D32" s="205" t="s">
        <v>586</v>
      </c>
      <c r="E32" s="206"/>
      <c r="F32" s="207"/>
      <c r="G32" s="208"/>
      <c r="H32" s="204" t="s">
        <v>577</v>
      </c>
    </row>
    <row r="33" spans="2:8">
      <c r="B33" s="209"/>
      <c r="C33" s="209"/>
      <c r="D33" s="205" t="s">
        <v>571</v>
      </c>
      <c r="E33" s="207"/>
      <c r="F33" s="210"/>
      <c r="G33" s="211"/>
      <c r="H33" s="209" t="s">
        <v>578</v>
      </c>
    </row>
    <row r="34" spans="2:8">
      <c r="B34" s="212" t="s">
        <v>292</v>
      </c>
      <c r="C34" s="212" t="s">
        <v>293</v>
      </c>
      <c r="D34" s="213" t="s">
        <v>570</v>
      </c>
      <c r="E34" s="214" t="s">
        <v>579</v>
      </c>
      <c r="F34" s="214" t="s">
        <v>295</v>
      </c>
      <c r="G34" s="213" t="s">
        <v>576</v>
      </c>
      <c r="H34" s="212" t="s">
        <v>580</v>
      </c>
    </row>
    <row r="35" spans="2:8">
      <c r="B35" s="215" t="str">
        <f>B7</f>
        <v>July 1, 2019 – June 30, 2020</v>
      </c>
      <c r="C35" s="215">
        <f>C7</f>
        <v>1</v>
      </c>
      <c r="D35" s="217">
        <f>D7</f>
        <v>14000</v>
      </c>
      <c r="E35" s="216">
        <f>MIN(D35,$D$16)</f>
        <v>14000</v>
      </c>
      <c r="F35" s="216">
        <f>E7</f>
        <v>35000</v>
      </c>
      <c r="G35" s="217">
        <f>$D$17</f>
        <v>45000</v>
      </c>
      <c r="H35" s="218">
        <f>MIN(E35+F35,G35)</f>
        <v>45000</v>
      </c>
    </row>
    <row r="36" spans="2:8">
      <c r="B36" s="215"/>
      <c r="C36" s="215">
        <f t="shared" ref="C36:C38" si="0">C8</f>
        <v>2</v>
      </c>
      <c r="D36" s="217">
        <f t="shared" ref="D36:D38" si="1">D8</f>
        <v>32000</v>
      </c>
      <c r="E36" s="216">
        <f t="shared" ref="E36:E38" si="2">MIN(D36,$D$16)</f>
        <v>20000</v>
      </c>
      <c r="F36" s="216">
        <f t="shared" ref="F36:F38" si="3">E8</f>
        <v>20000</v>
      </c>
      <c r="G36" s="217">
        <f t="shared" ref="G36:G38" si="4">$D$17</f>
        <v>45000</v>
      </c>
      <c r="H36" s="218">
        <f>MIN(E36+F36,G36)</f>
        <v>40000</v>
      </c>
    </row>
    <row r="37" spans="2:8">
      <c r="B37" s="219" t="str">
        <f>B9</f>
        <v>July 1, 2020 – June 30, 2021</v>
      </c>
      <c r="C37" s="219">
        <f t="shared" si="0"/>
        <v>3</v>
      </c>
      <c r="D37" s="221">
        <f t="shared" si="1"/>
        <v>22000</v>
      </c>
      <c r="E37" s="220">
        <f t="shared" si="2"/>
        <v>20000</v>
      </c>
      <c r="F37" s="220">
        <f t="shared" si="3"/>
        <v>16000</v>
      </c>
      <c r="G37" s="221">
        <f t="shared" si="4"/>
        <v>45000</v>
      </c>
      <c r="H37" s="222">
        <f t="shared" ref="H37:H38" si="5">MIN(E37+F37,G37)</f>
        <v>36000</v>
      </c>
    </row>
    <row r="38" spans="2:8">
      <c r="B38" s="223"/>
      <c r="C38" s="223">
        <f t="shared" si="0"/>
        <v>4</v>
      </c>
      <c r="D38" s="225">
        <f t="shared" si="1"/>
        <v>10000</v>
      </c>
      <c r="E38" s="224">
        <f t="shared" si="2"/>
        <v>10000</v>
      </c>
      <c r="F38" s="224">
        <f t="shared" si="3"/>
        <v>3000</v>
      </c>
      <c r="G38" s="225">
        <f t="shared" si="4"/>
        <v>45000</v>
      </c>
      <c r="H38" s="226">
        <f t="shared" si="5"/>
        <v>13000</v>
      </c>
    </row>
    <row r="39" spans="2:8">
      <c r="B39" s="223" t="s">
        <v>83</v>
      </c>
      <c r="C39" s="227"/>
      <c r="D39" s="228"/>
      <c r="E39" s="228"/>
      <c r="F39" s="228"/>
      <c r="G39" s="229"/>
      <c r="H39" s="226">
        <f>SUM(H35:H38)</f>
        <v>134000</v>
      </c>
    </row>
    <row r="40" spans="2:8">
      <c r="B40" s="7"/>
      <c r="C40" s="110"/>
      <c r="D40" s="7"/>
      <c r="E40" s="7"/>
      <c r="F40" s="7"/>
      <c r="G40" s="7"/>
      <c r="H40" s="7"/>
    </row>
    <row r="41" spans="2:8">
      <c r="B41" s="7" t="s">
        <v>398</v>
      </c>
      <c r="C41" s="110"/>
      <c r="D41" s="7"/>
      <c r="E41" s="157">
        <f>F30</f>
        <v>32972.04</v>
      </c>
      <c r="F41" s="7"/>
      <c r="G41" s="7"/>
    </row>
    <row r="42" spans="2:8">
      <c r="B42" s="7"/>
      <c r="C42" s="110"/>
      <c r="D42" s="7"/>
      <c r="E42" s="7"/>
      <c r="F42" s="7"/>
      <c r="G42" s="7"/>
    </row>
    <row r="43" spans="2:8">
      <c r="B43" s="7" t="s">
        <v>581</v>
      </c>
      <c r="C43" s="7"/>
      <c r="D43" s="7"/>
      <c r="E43" s="157">
        <f>H39+E41</f>
        <v>166972.04</v>
      </c>
      <c r="F43" s="7"/>
      <c r="G43" s="7"/>
    </row>
    <row r="44" spans="2:8">
      <c r="B44" s="7"/>
      <c r="C44" s="7"/>
      <c r="D44" s="7"/>
      <c r="E44" s="7"/>
      <c r="F44" s="7"/>
      <c r="G44" s="7"/>
    </row>
    <row r="45" spans="2:8">
      <c r="B45" s="7" t="s">
        <v>584</v>
      </c>
      <c r="C45" s="7"/>
      <c r="D45" s="7"/>
      <c r="E45" s="157">
        <f>C30</f>
        <v>180800</v>
      </c>
      <c r="F45" s="7"/>
      <c r="G45" s="7"/>
    </row>
    <row r="46" spans="2:8">
      <c r="B46" s="7"/>
      <c r="C46" s="7"/>
      <c r="D46" s="7"/>
      <c r="E46" s="7"/>
      <c r="F46" s="7"/>
      <c r="G46" s="7"/>
    </row>
    <row r="47" spans="2:8">
      <c r="B47" s="7" t="s">
        <v>583</v>
      </c>
      <c r="C47" s="7"/>
      <c r="D47" s="7"/>
      <c r="E47" s="238">
        <f>E43/E45</f>
        <v>0.92351792035398239</v>
      </c>
      <c r="F47" s="7"/>
      <c r="G47" s="7"/>
    </row>
    <row r="48" spans="2:8">
      <c r="B48" s="7"/>
      <c r="C48" s="7"/>
      <c r="D48" s="7"/>
      <c r="E48" s="7"/>
      <c r="F48" s="7"/>
      <c r="G48" s="7"/>
    </row>
    <row r="49" spans="2:7">
      <c r="B49" s="7" t="s">
        <v>574</v>
      </c>
      <c r="C49" s="7"/>
      <c r="D49" s="7"/>
      <c r="E49" s="7">
        <f>D18</f>
        <v>0.67</v>
      </c>
      <c r="F49" s="7"/>
      <c r="G49" s="7"/>
    </row>
    <row r="50" spans="2:7">
      <c r="B50" s="7"/>
      <c r="C50" s="7"/>
      <c r="D50" s="7"/>
      <c r="E50" s="7"/>
      <c r="F50" s="7"/>
      <c r="G50" s="7"/>
    </row>
    <row r="51" spans="2:7">
      <c r="B51" s="7" t="s">
        <v>582</v>
      </c>
      <c r="C51" s="7"/>
      <c r="D51" s="7"/>
      <c r="E51" s="239">
        <f>SQRT(C30/F20)</f>
        <v>0.30066592756745814</v>
      </c>
      <c r="F51" s="7"/>
      <c r="G51" s="7"/>
    </row>
    <row r="52" spans="2:7">
      <c r="B52" s="7"/>
      <c r="C52" s="7"/>
      <c r="D52" s="7"/>
      <c r="E52" s="7"/>
      <c r="F52" s="7"/>
      <c r="G52" s="7"/>
    </row>
    <row r="53" spans="2:7">
      <c r="B53" s="7" t="s">
        <v>585</v>
      </c>
      <c r="C53" s="7"/>
      <c r="D53" s="7"/>
      <c r="E53" s="240">
        <f>(E47-E49)/E49*E51</f>
        <v>0.11376746369881055</v>
      </c>
      <c r="F53" s="7"/>
      <c r="G53" s="7"/>
    </row>
  </sheetData>
  <mergeCells count="9">
    <mergeCell ref="E13:F13"/>
    <mergeCell ref="E14:F14"/>
    <mergeCell ref="E12:F12"/>
    <mergeCell ref="D5:E5"/>
    <mergeCell ref="B7:B8"/>
    <mergeCell ref="B9:B10"/>
    <mergeCell ref="C12:D12"/>
    <mergeCell ref="C13:D13"/>
    <mergeCell ref="C14:D1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EFA3E-4231-43C6-94D0-40E3EB0D43EC}">
  <dimension ref="A1:AW75"/>
  <sheetViews>
    <sheetView zoomScaleNormal="100" workbookViewId="0"/>
  </sheetViews>
  <sheetFormatPr defaultColWidth="8.85546875" defaultRowHeight="15.75"/>
  <cols>
    <col min="1" max="1" width="8.85546875" style="1" customWidth="1"/>
    <col min="2" max="2" width="18.7109375" style="1" customWidth="1"/>
    <col min="3" max="3" width="15.5703125" style="1" customWidth="1"/>
    <col min="4" max="4" width="16.42578125" style="1" customWidth="1"/>
    <col min="5" max="5" width="11.7109375" style="1" customWidth="1"/>
    <col min="6" max="6" width="14.7109375" style="1" customWidth="1"/>
    <col min="7" max="7" width="12.5703125" style="1" customWidth="1"/>
    <col min="8" max="9" width="16.28515625" style="1" customWidth="1"/>
    <col min="10" max="12" width="8.85546875" style="1"/>
    <col min="13" max="48" width="3" style="1" customWidth="1"/>
    <col min="49" max="16384" width="8.85546875" style="1"/>
  </cols>
  <sheetData>
    <row r="1" spans="1:11" ht="18.75">
      <c r="A1" s="2" t="s">
        <v>22</v>
      </c>
      <c r="B1" s="4"/>
      <c r="C1" s="9" t="s">
        <v>11</v>
      </c>
      <c r="D1" s="4"/>
      <c r="E1" s="4"/>
      <c r="F1" s="4"/>
      <c r="G1" s="4"/>
      <c r="H1" s="4"/>
      <c r="I1" s="4"/>
      <c r="J1" s="4"/>
      <c r="K1" s="3"/>
    </row>
    <row r="2" spans="1:11">
      <c r="A2" s="4"/>
      <c r="B2" s="4"/>
      <c r="C2" s="4"/>
      <c r="D2" s="4"/>
      <c r="E2" s="4"/>
      <c r="F2" s="4"/>
      <c r="G2" s="4"/>
      <c r="H2" s="4"/>
      <c r="I2" s="4"/>
      <c r="J2" s="4"/>
      <c r="K2" s="3"/>
    </row>
    <row r="3" spans="1:11">
      <c r="A3" s="4" t="s">
        <v>23</v>
      </c>
      <c r="B3" s="4"/>
      <c r="C3" s="4"/>
      <c r="D3" s="4"/>
      <c r="E3" s="4"/>
      <c r="F3" s="4"/>
      <c r="G3" s="4"/>
      <c r="H3" s="4"/>
      <c r="I3" s="4"/>
      <c r="J3" s="4"/>
      <c r="K3" s="3"/>
    </row>
    <row r="4" spans="1:11">
      <c r="A4" s="10"/>
      <c r="B4" s="4"/>
      <c r="C4" s="4"/>
      <c r="D4" s="4"/>
      <c r="E4" s="4"/>
      <c r="F4" s="4"/>
      <c r="G4" s="9"/>
      <c r="H4" s="9"/>
      <c r="I4" s="9"/>
      <c r="J4" s="9"/>
      <c r="K4" s="9"/>
    </row>
    <row r="5" spans="1:11">
      <c r="A5" s="10"/>
      <c r="B5" s="14" t="s">
        <v>24</v>
      </c>
      <c r="C5" s="9"/>
      <c r="D5" s="9"/>
      <c r="E5" s="4"/>
      <c r="F5" s="4"/>
      <c r="G5" s="9"/>
      <c r="H5" s="9"/>
      <c r="I5" s="9"/>
      <c r="J5" s="9"/>
      <c r="K5" s="9"/>
    </row>
    <row r="6" spans="1:11">
      <c r="A6" s="10"/>
      <c r="B6" s="9"/>
      <c r="C6" s="9"/>
      <c r="D6" s="9"/>
      <c r="E6" s="4"/>
      <c r="F6" s="4"/>
      <c r="G6" s="9"/>
      <c r="H6" s="9"/>
      <c r="I6" s="9"/>
      <c r="J6" s="9"/>
      <c r="K6" s="9"/>
    </row>
    <row r="7" spans="1:11">
      <c r="A7" s="10"/>
      <c r="B7" s="19" t="s">
        <v>25</v>
      </c>
      <c r="C7" s="19" t="s">
        <v>26</v>
      </c>
      <c r="D7" s="9"/>
      <c r="E7" s="4"/>
      <c r="F7" s="4"/>
      <c r="G7" s="9"/>
      <c r="H7" s="9"/>
      <c r="I7" s="9"/>
      <c r="J7" s="9"/>
      <c r="K7" s="9"/>
    </row>
    <row r="8" spans="1:11">
      <c r="A8" s="10"/>
      <c r="B8" s="20">
        <v>42917</v>
      </c>
      <c r="C8" s="103">
        <v>0.05</v>
      </c>
      <c r="D8" s="9"/>
      <c r="E8" s="4"/>
      <c r="F8" s="4"/>
      <c r="G8" s="9"/>
      <c r="H8" s="9"/>
      <c r="I8" s="9"/>
      <c r="J8" s="9"/>
      <c r="K8" s="9"/>
    </row>
    <row r="9" spans="1:11">
      <c r="A9" s="4"/>
      <c r="B9" s="20">
        <v>43344</v>
      </c>
      <c r="C9" s="103">
        <v>-0.02</v>
      </c>
      <c r="D9" s="9"/>
      <c r="E9" s="4"/>
      <c r="F9" s="4"/>
      <c r="G9" s="9"/>
      <c r="H9" s="9"/>
      <c r="I9" s="9"/>
      <c r="J9" s="9"/>
      <c r="K9" s="9"/>
    </row>
    <row r="10" spans="1:11">
      <c r="A10" s="4"/>
      <c r="B10" s="20">
        <v>43862</v>
      </c>
      <c r="C10" s="103">
        <v>7.0000000000000007E-2</v>
      </c>
      <c r="D10" s="9"/>
      <c r="E10" s="4"/>
      <c r="F10" s="4"/>
      <c r="G10" s="9"/>
      <c r="H10" s="9"/>
      <c r="I10" s="9"/>
      <c r="J10" s="9"/>
      <c r="K10" s="9"/>
    </row>
    <row r="11" spans="1:11">
      <c r="A11" s="10"/>
      <c r="B11" s="20">
        <v>44470</v>
      </c>
      <c r="C11" s="103">
        <v>0.03</v>
      </c>
      <c r="D11" s="9"/>
      <c r="E11" s="4"/>
      <c r="F11" s="4"/>
      <c r="G11" s="9"/>
      <c r="H11" s="9"/>
      <c r="I11" s="9"/>
      <c r="J11" s="9"/>
      <c r="K11" s="9"/>
    </row>
    <row r="12" spans="1:11">
      <c r="A12" s="4"/>
      <c r="B12" s="9"/>
      <c r="C12" s="9"/>
      <c r="D12" s="9"/>
      <c r="E12" s="4"/>
      <c r="F12" s="4"/>
      <c r="G12" s="9"/>
      <c r="H12" s="9"/>
      <c r="I12" s="9"/>
      <c r="J12" s="9"/>
      <c r="K12" s="9"/>
    </row>
    <row r="13" spans="1:11">
      <c r="A13" s="4"/>
      <c r="B13" s="17" t="s">
        <v>29</v>
      </c>
      <c r="C13" s="9"/>
      <c r="D13" s="9"/>
      <c r="E13" s="9"/>
      <c r="F13" s="20">
        <v>43586</v>
      </c>
      <c r="G13" s="9" t="s">
        <v>30</v>
      </c>
      <c r="H13" s="9"/>
      <c r="I13" s="22">
        <v>0.1</v>
      </c>
      <c r="J13" s="9"/>
      <c r="K13" s="9"/>
    </row>
    <row r="14" spans="1:11">
      <c r="A14" s="4"/>
      <c r="B14" s="17" t="s">
        <v>27</v>
      </c>
      <c r="C14" s="9"/>
      <c r="D14" s="9"/>
      <c r="E14" s="9"/>
      <c r="F14" s="9"/>
      <c r="G14" s="9"/>
      <c r="H14" s="9"/>
      <c r="I14" s="9"/>
      <c r="J14" s="9"/>
      <c r="K14" s="9"/>
    </row>
    <row r="15" spans="1:11">
      <c r="A15" s="4"/>
      <c r="B15" s="17" t="s">
        <v>28</v>
      </c>
      <c r="C15" s="9"/>
      <c r="D15" s="9"/>
      <c r="E15" s="9"/>
      <c r="F15" s="9"/>
      <c r="G15" s="9"/>
      <c r="H15" s="9"/>
      <c r="I15" s="9"/>
      <c r="J15" s="9"/>
      <c r="K15" s="9"/>
    </row>
    <row r="16" spans="1:11">
      <c r="A16" s="9"/>
      <c r="B16" s="17" t="s">
        <v>344</v>
      </c>
      <c r="C16" s="9"/>
      <c r="D16" s="20">
        <v>44927</v>
      </c>
      <c r="E16" s="9"/>
      <c r="F16" s="9"/>
      <c r="G16" s="9"/>
      <c r="H16" s="9"/>
      <c r="I16" s="9"/>
      <c r="J16" s="9"/>
      <c r="K16" s="9"/>
    </row>
    <row r="17" spans="1:49">
      <c r="A17" s="9"/>
      <c r="B17" s="17" t="s">
        <v>31</v>
      </c>
      <c r="C17" s="9"/>
      <c r="D17" s="9"/>
      <c r="E17" s="61">
        <v>1400000</v>
      </c>
      <c r="F17" s="9"/>
      <c r="G17" s="9"/>
      <c r="H17" s="9"/>
      <c r="I17" s="9"/>
      <c r="J17" s="9"/>
      <c r="K17" s="9"/>
    </row>
    <row r="18" spans="1:49">
      <c r="A18" s="9"/>
      <c r="B18" s="9"/>
      <c r="C18" s="9"/>
      <c r="D18" s="9"/>
      <c r="E18" s="9"/>
      <c r="F18" s="9"/>
      <c r="G18" s="9"/>
      <c r="H18" s="9"/>
      <c r="I18" s="9"/>
      <c r="J18" s="9"/>
      <c r="K18" s="9"/>
    </row>
    <row r="20" spans="1:49">
      <c r="A20" s="6" t="s">
        <v>4</v>
      </c>
      <c r="B20" s="9" t="s">
        <v>32</v>
      </c>
      <c r="C20" s="4"/>
      <c r="D20" s="4"/>
      <c r="E20" s="4"/>
      <c r="F20" s="4"/>
      <c r="G20" s="4"/>
      <c r="H20" s="4"/>
      <c r="I20" s="4"/>
      <c r="J20" s="4"/>
      <c r="K20" s="4"/>
      <c r="L20" s="8"/>
      <c r="M20" s="8"/>
      <c r="N20" s="8"/>
      <c r="O20" s="8"/>
      <c r="P20" s="8"/>
      <c r="Q20" s="8"/>
    </row>
    <row r="21" spans="1:49">
      <c r="A21" s="3"/>
      <c r="B21" s="3"/>
      <c r="C21" s="3"/>
      <c r="D21" s="3"/>
      <c r="E21" s="3"/>
      <c r="F21" s="4"/>
      <c r="G21" s="4"/>
      <c r="H21" s="4"/>
      <c r="I21" s="4"/>
      <c r="J21" s="4"/>
      <c r="K21" s="4"/>
    </row>
    <row r="22" spans="1:49">
      <c r="A22" s="7"/>
      <c r="B22" s="7"/>
      <c r="C22" s="7"/>
      <c r="D22" s="7"/>
      <c r="E22" s="7"/>
      <c r="F22" s="7"/>
      <c r="G22" s="7"/>
      <c r="H22" s="7"/>
      <c r="I22" s="7"/>
      <c r="J22" s="7"/>
      <c r="K22" s="7"/>
      <c r="L22" s="7"/>
      <c r="M22" s="93" t="s">
        <v>333</v>
      </c>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row>
    <row r="23" spans="1:49">
      <c r="A23" s="7" t="s">
        <v>1</v>
      </c>
      <c r="B23" s="7"/>
      <c r="C23" s="7"/>
      <c r="D23" s="7"/>
      <c r="E23" s="7"/>
      <c r="F23" s="7"/>
      <c r="G23" s="7"/>
      <c r="H23" s="7"/>
      <c r="I23" s="7"/>
      <c r="J23" s="7"/>
      <c r="K23" s="7"/>
      <c r="L23" s="7"/>
      <c r="M23" s="300">
        <v>2018</v>
      </c>
      <c r="N23" s="300"/>
      <c r="O23" s="300"/>
      <c r="P23" s="300"/>
      <c r="Q23" s="300"/>
      <c r="R23" s="300"/>
      <c r="S23" s="300"/>
      <c r="T23" s="300"/>
      <c r="U23" s="300"/>
      <c r="V23" s="300"/>
      <c r="W23" s="300"/>
      <c r="X23" s="300"/>
      <c r="Y23" s="300">
        <f>M23+1</f>
        <v>2019</v>
      </c>
      <c r="Z23" s="300"/>
      <c r="AA23" s="300"/>
      <c r="AB23" s="300"/>
      <c r="AC23" s="300"/>
      <c r="AD23" s="300"/>
      <c r="AE23" s="300"/>
      <c r="AF23" s="300"/>
      <c r="AG23" s="300"/>
      <c r="AH23" s="300"/>
      <c r="AI23" s="300"/>
      <c r="AJ23" s="300"/>
      <c r="AK23" s="300">
        <f>Y23+1</f>
        <v>2020</v>
      </c>
      <c r="AL23" s="300"/>
      <c r="AM23" s="300"/>
      <c r="AN23" s="300"/>
      <c r="AO23" s="300"/>
      <c r="AP23" s="300"/>
      <c r="AQ23" s="300"/>
      <c r="AR23" s="300"/>
      <c r="AS23" s="300"/>
      <c r="AT23" s="300"/>
      <c r="AU23" s="300"/>
      <c r="AV23" s="300"/>
      <c r="AW23" s="253"/>
    </row>
    <row r="24" spans="1:49">
      <c r="A24" s="7"/>
      <c r="B24" s="7"/>
      <c r="C24" s="7"/>
      <c r="D24" s="7"/>
      <c r="E24" s="7"/>
      <c r="F24" s="7"/>
      <c r="G24" s="7"/>
      <c r="H24" s="7"/>
      <c r="I24" s="7"/>
      <c r="J24" s="7"/>
      <c r="K24" s="7"/>
      <c r="L24" s="7"/>
      <c r="M24" s="254"/>
      <c r="N24" s="255"/>
      <c r="O24" s="255"/>
      <c r="P24" s="255"/>
      <c r="Q24" s="255"/>
      <c r="R24" s="255"/>
      <c r="S24" s="255"/>
      <c r="T24" s="255"/>
      <c r="U24" s="255"/>
      <c r="V24" s="255"/>
      <c r="W24" s="255"/>
      <c r="X24" s="256"/>
      <c r="Y24" s="254"/>
      <c r="Z24" s="255"/>
      <c r="AA24" s="255"/>
      <c r="AB24" s="255"/>
      <c r="AC24" s="255"/>
      <c r="AD24" s="255"/>
      <c r="AE24" s="255"/>
      <c r="AF24" s="255"/>
      <c r="AG24" s="255"/>
      <c r="AH24" s="255"/>
      <c r="AI24" s="255"/>
      <c r="AJ24" s="256"/>
      <c r="AK24" s="254"/>
      <c r="AL24" s="255"/>
      <c r="AM24" s="255"/>
      <c r="AN24" s="255"/>
      <c r="AO24" s="255"/>
      <c r="AP24" s="255"/>
      <c r="AQ24" s="255"/>
      <c r="AR24" s="255"/>
      <c r="AS24" s="255"/>
      <c r="AT24" s="255"/>
      <c r="AU24" s="255"/>
      <c r="AV24" s="256"/>
      <c r="AW24" s="257"/>
    </row>
    <row r="25" spans="1:49">
      <c r="A25" s="7"/>
      <c r="C25" s="302" t="s">
        <v>592</v>
      </c>
      <c r="D25" s="302"/>
      <c r="E25" s="302"/>
      <c r="F25" s="302"/>
      <c r="G25" s="302"/>
      <c r="J25" s="7"/>
      <c r="K25" s="7"/>
      <c r="L25" s="7"/>
      <c r="M25" s="258"/>
      <c r="N25" s="183"/>
      <c r="O25" s="183"/>
      <c r="P25" s="183"/>
      <c r="Q25" s="183"/>
      <c r="R25" s="183"/>
      <c r="S25" s="183"/>
      <c r="T25" s="183"/>
      <c r="U25" s="183"/>
      <c r="V25" s="183"/>
      <c r="W25" s="183"/>
      <c r="X25" s="259"/>
      <c r="Y25" s="258"/>
      <c r="Z25" s="183"/>
      <c r="AA25" s="183"/>
      <c r="AB25" s="183"/>
      <c r="AC25" s="183"/>
      <c r="AD25" s="183" t="s">
        <v>318</v>
      </c>
      <c r="AE25" s="183"/>
      <c r="AF25" s="183"/>
      <c r="AG25" s="183"/>
      <c r="AH25" s="183"/>
      <c r="AI25" s="183"/>
      <c r="AJ25" s="259"/>
      <c r="AK25" s="258"/>
      <c r="AL25" s="183"/>
      <c r="AM25" s="183"/>
      <c r="AN25" s="183"/>
      <c r="AO25" s="183"/>
      <c r="AP25" s="183"/>
      <c r="AQ25" s="183"/>
      <c r="AR25" s="183"/>
      <c r="AS25" s="183"/>
      <c r="AT25" s="183"/>
      <c r="AU25" s="183"/>
      <c r="AV25" s="259"/>
      <c r="AW25" s="257"/>
    </row>
    <row r="26" spans="1:49">
      <c r="C26" s="243">
        <f>B8</f>
        <v>42917</v>
      </c>
      <c r="D26" s="243">
        <f>B9</f>
        <v>43344</v>
      </c>
      <c r="E26" s="243">
        <f>B10</f>
        <v>43862</v>
      </c>
      <c r="F26" s="243">
        <f>B11</f>
        <v>44470</v>
      </c>
      <c r="G26" s="243">
        <f>F13</f>
        <v>43586</v>
      </c>
      <c r="L26" s="8"/>
      <c r="M26" s="258"/>
      <c r="N26" s="183"/>
      <c r="O26" s="183"/>
      <c r="P26" s="183"/>
      <c r="Q26" s="183"/>
      <c r="R26" s="183"/>
      <c r="S26" s="183"/>
      <c r="T26" s="183"/>
      <c r="U26" s="183"/>
      <c r="V26" s="183"/>
      <c r="W26" s="183"/>
      <c r="X26" s="259"/>
      <c r="Y26" s="258"/>
      <c r="Z26" s="183" t="s">
        <v>317</v>
      </c>
      <c r="AA26" s="183"/>
      <c r="AB26" s="183"/>
      <c r="AC26" s="183"/>
      <c r="AD26" s="183"/>
      <c r="AE26" s="183"/>
      <c r="AF26" s="183"/>
      <c r="AG26" s="183"/>
      <c r="AH26" s="183"/>
      <c r="AI26" s="183"/>
      <c r="AJ26" s="259"/>
      <c r="AK26" s="258"/>
      <c r="AL26" s="183"/>
      <c r="AM26" s="183"/>
      <c r="AN26" s="183"/>
      <c r="AO26" s="183"/>
      <c r="AP26" s="183"/>
      <c r="AQ26" s="183"/>
      <c r="AR26" s="183"/>
      <c r="AS26" s="183"/>
      <c r="AT26" s="183"/>
      <c r="AU26" s="183"/>
      <c r="AV26" s="259"/>
      <c r="AW26" s="257"/>
    </row>
    <row r="27" spans="1:49">
      <c r="B27" s="137" t="s">
        <v>593</v>
      </c>
      <c r="C27" s="244">
        <f>C8</f>
        <v>0.05</v>
      </c>
      <c r="D27" s="244">
        <f>C9</f>
        <v>-0.02</v>
      </c>
      <c r="E27" s="244">
        <f>C10</f>
        <v>7.0000000000000007E-2</v>
      </c>
      <c r="F27" s="244">
        <f>C11</f>
        <v>0.03</v>
      </c>
      <c r="G27" s="244">
        <f>-I13</f>
        <v>-0.1</v>
      </c>
      <c r="H27" s="172" t="s">
        <v>594</v>
      </c>
      <c r="I27" s="172" t="s">
        <v>595</v>
      </c>
      <c r="L27" s="8"/>
      <c r="M27" s="258"/>
      <c r="N27" s="183"/>
      <c r="O27" s="183"/>
      <c r="P27" s="183"/>
      <c r="Q27" s="183"/>
      <c r="R27" s="183"/>
      <c r="S27" s="183"/>
      <c r="T27" s="183"/>
      <c r="U27" s="183"/>
      <c r="V27" s="183"/>
      <c r="W27" s="183"/>
      <c r="X27" s="259"/>
      <c r="Y27" s="258"/>
      <c r="Z27" s="183"/>
      <c r="AA27" s="183"/>
      <c r="AB27" s="183"/>
      <c r="AC27" s="183"/>
      <c r="AD27" s="183"/>
      <c r="AE27" s="183"/>
      <c r="AF27" s="183"/>
      <c r="AG27" s="183"/>
      <c r="AH27" s="183"/>
      <c r="AI27" s="183"/>
      <c r="AJ27" s="259"/>
      <c r="AK27" s="258"/>
      <c r="AL27" s="183"/>
      <c r="AM27" s="183"/>
      <c r="AN27" s="183"/>
      <c r="AO27" s="183"/>
      <c r="AP27" s="183"/>
      <c r="AQ27" s="183"/>
      <c r="AR27" s="183"/>
      <c r="AS27" s="183"/>
      <c r="AT27" s="183"/>
      <c r="AU27" s="183"/>
      <c r="AV27" s="259"/>
      <c r="AW27" s="257"/>
    </row>
    <row r="28" spans="1:49">
      <c r="B28" s="130" t="s">
        <v>317</v>
      </c>
      <c r="C28" s="130">
        <v>1</v>
      </c>
      <c r="D28" s="130"/>
      <c r="E28" s="130"/>
      <c r="F28" s="130"/>
      <c r="G28" s="130"/>
      <c r="H28" s="144">
        <f>((1+$C$27)^C28)*((1+$D$27)^D28)*((1+$E$27)^E28)*((1+$F$27)^F28)*((1+$G$27)^G28)</f>
        <v>1.05</v>
      </c>
      <c r="I28" s="245">
        <f>0.5*4/12</f>
        <v>0.16666666666666666</v>
      </c>
      <c r="L28" s="8"/>
      <c r="M28" s="258"/>
      <c r="N28" s="183"/>
      <c r="O28" s="183"/>
      <c r="P28" s="183"/>
      <c r="Q28" s="183"/>
      <c r="R28" s="183"/>
      <c r="S28" s="183"/>
      <c r="T28" s="183"/>
      <c r="U28" s="183"/>
      <c r="V28" s="183"/>
      <c r="W28" s="183"/>
      <c r="X28" s="259"/>
      <c r="Y28" s="258"/>
      <c r="Z28" s="183"/>
      <c r="AA28" s="183"/>
      <c r="AB28" s="183"/>
      <c r="AC28" s="183"/>
      <c r="AD28" s="183"/>
      <c r="AE28" s="183"/>
      <c r="AF28" s="183"/>
      <c r="AG28" s="183"/>
      <c r="AH28" s="183"/>
      <c r="AI28" s="183"/>
      <c r="AJ28" s="259"/>
      <c r="AK28" s="258"/>
      <c r="AL28" s="183"/>
      <c r="AM28" s="183"/>
      <c r="AN28" s="183"/>
      <c r="AO28" s="183"/>
      <c r="AP28" s="183"/>
      <c r="AQ28" s="183"/>
      <c r="AR28" s="183"/>
      <c r="AS28" s="183"/>
      <c r="AT28" s="183"/>
      <c r="AU28" s="183"/>
      <c r="AV28" s="259"/>
      <c r="AW28" s="257"/>
    </row>
    <row r="29" spans="1:49">
      <c r="B29" s="130" t="s">
        <v>318</v>
      </c>
      <c r="C29" s="130">
        <v>1</v>
      </c>
      <c r="D29" s="130"/>
      <c r="E29" s="130"/>
      <c r="F29" s="130"/>
      <c r="G29" s="130">
        <v>1</v>
      </c>
      <c r="H29" s="144">
        <f t="shared" ref="H29:H32" si="0">((1+$C$27)^C29)*((1+$D$27)^D29)*((1+$E$27)^E29)*((1+$F$27)^F29)*((1+$G$27)^G29)</f>
        <v>0.94500000000000006</v>
      </c>
      <c r="I29" s="245">
        <f>0.5*4*4/144</f>
        <v>5.5555555555555552E-2</v>
      </c>
      <c r="L29" s="8"/>
      <c r="M29" s="258"/>
      <c r="N29" s="183"/>
      <c r="O29" s="183"/>
      <c r="P29" s="183"/>
      <c r="Q29" s="183"/>
      <c r="R29" s="183"/>
      <c r="S29" s="183"/>
      <c r="T29" s="183"/>
      <c r="U29" s="183"/>
      <c r="V29" s="183"/>
      <c r="W29" s="183"/>
      <c r="X29" s="259"/>
      <c r="Y29" s="258"/>
      <c r="Z29" s="183"/>
      <c r="AA29" s="183"/>
      <c r="AB29" s="183"/>
      <c r="AC29" s="183"/>
      <c r="AD29" s="183"/>
      <c r="AE29" s="183"/>
      <c r="AF29" s="183"/>
      <c r="AG29" s="183"/>
      <c r="AH29" s="183"/>
      <c r="AI29" s="183"/>
      <c r="AJ29" s="259"/>
      <c r="AK29" s="258"/>
      <c r="AL29" s="183"/>
      <c r="AM29" s="183"/>
      <c r="AN29" s="183"/>
      <c r="AO29" s="183"/>
      <c r="AP29" s="183"/>
      <c r="AQ29" s="183"/>
      <c r="AR29" s="183"/>
      <c r="AS29" s="183"/>
      <c r="AT29" s="183"/>
      <c r="AU29" s="183"/>
      <c r="AV29" s="259"/>
      <c r="AW29" s="257"/>
    </row>
    <row r="30" spans="1:49">
      <c r="B30" s="130" t="s">
        <v>590</v>
      </c>
      <c r="C30" s="130">
        <v>1</v>
      </c>
      <c r="D30" s="130">
        <v>1</v>
      </c>
      <c r="E30" s="130"/>
      <c r="F30" s="130"/>
      <c r="G30" s="130"/>
      <c r="H30" s="144">
        <f t="shared" si="0"/>
        <v>1.0289999999999999</v>
      </c>
      <c r="I30" s="245">
        <f>I28</f>
        <v>0.16666666666666666</v>
      </c>
      <c r="L30" s="8"/>
      <c r="M30" s="258"/>
      <c r="N30" s="183"/>
      <c r="O30" s="183"/>
      <c r="P30" s="183"/>
      <c r="Q30" s="183"/>
      <c r="R30" s="183"/>
      <c r="S30" s="183"/>
      <c r="T30" s="183"/>
      <c r="U30" s="183"/>
      <c r="V30" s="183"/>
      <c r="W30" s="183"/>
      <c r="X30" s="259"/>
      <c r="Y30" s="258"/>
      <c r="Z30" s="183"/>
      <c r="AA30" s="183"/>
      <c r="AB30" s="183"/>
      <c r="AC30" s="183"/>
      <c r="AD30" s="183"/>
      <c r="AE30" s="183"/>
      <c r="AF30" s="183"/>
      <c r="AG30" s="183"/>
      <c r="AH30" s="183"/>
      <c r="AI30" s="183"/>
      <c r="AJ30" s="259"/>
      <c r="AK30" s="258"/>
      <c r="AL30" s="183"/>
      <c r="AM30" s="183"/>
      <c r="AN30" s="183"/>
      <c r="AO30" s="183"/>
      <c r="AP30" s="183"/>
      <c r="AQ30" s="183"/>
      <c r="AR30" s="183"/>
      <c r="AS30" s="183"/>
      <c r="AT30" s="183"/>
      <c r="AU30" s="183"/>
      <c r="AV30" s="259"/>
      <c r="AW30" s="257"/>
    </row>
    <row r="31" spans="1:49">
      <c r="B31" s="137" t="s">
        <v>591</v>
      </c>
      <c r="C31" s="137">
        <v>1</v>
      </c>
      <c r="D31" s="137">
        <v>1</v>
      </c>
      <c r="E31" s="137"/>
      <c r="F31" s="137"/>
      <c r="G31" s="137">
        <v>1</v>
      </c>
      <c r="H31" s="246">
        <f t="shared" si="0"/>
        <v>0.92609999999999992</v>
      </c>
      <c r="I31" s="247">
        <f>1-SUM(I28:I30)</f>
        <v>0.61111111111111116</v>
      </c>
      <c r="L31" s="8"/>
      <c r="M31" s="258"/>
      <c r="N31" s="183"/>
      <c r="O31" s="183"/>
      <c r="P31" s="183"/>
      <c r="Q31" s="183"/>
      <c r="R31" s="183"/>
      <c r="S31" s="183"/>
      <c r="T31" s="183"/>
      <c r="U31" s="183"/>
      <c r="V31" s="183"/>
      <c r="W31" s="183"/>
      <c r="X31" s="259"/>
      <c r="Y31" s="258"/>
      <c r="Z31" s="183"/>
      <c r="AA31" s="183"/>
      <c r="AB31" s="183"/>
      <c r="AC31" s="183"/>
      <c r="AD31" s="183"/>
      <c r="AE31" s="183"/>
      <c r="AF31" s="183"/>
      <c r="AG31" s="183"/>
      <c r="AH31" s="183"/>
      <c r="AI31" s="183"/>
      <c r="AJ31" s="259"/>
      <c r="AK31" s="258"/>
      <c r="AL31" s="183"/>
      <c r="AM31" s="183"/>
      <c r="AN31" s="183"/>
      <c r="AO31" s="183"/>
      <c r="AP31" s="183"/>
      <c r="AQ31" s="183"/>
      <c r="AR31" s="183"/>
      <c r="AS31" s="183"/>
      <c r="AT31" s="183"/>
      <c r="AU31" s="183"/>
      <c r="AV31" s="259"/>
      <c r="AW31" s="257"/>
    </row>
    <row r="32" spans="1:49">
      <c r="B32" s="248" t="s">
        <v>596</v>
      </c>
      <c r="C32" s="248">
        <v>1</v>
      </c>
      <c r="D32" s="248">
        <v>1</v>
      </c>
      <c r="E32" s="248">
        <v>1</v>
      </c>
      <c r="F32" s="248">
        <v>1</v>
      </c>
      <c r="G32" s="248">
        <v>1</v>
      </c>
      <c r="H32" s="249">
        <f t="shared" si="0"/>
        <v>1.0206548099999999</v>
      </c>
      <c r="I32" s="250"/>
      <c r="L32" s="8"/>
      <c r="M32" s="258"/>
      <c r="N32" s="183"/>
      <c r="O32" s="183"/>
      <c r="P32" s="183"/>
      <c r="Q32" s="183"/>
      <c r="R32" s="183"/>
      <c r="S32" s="183"/>
      <c r="T32" s="183"/>
      <c r="U32" s="183"/>
      <c r="V32" s="183"/>
      <c r="W32" s="183"/>
      <c r="X32" s="259"/>
      <c r="Y32" s="258"/>
      <c r="Z32" s="183"/>
      <c r="AA32" s="183"/>
      <c r="AB32" s="183"/>
      <c r="AC32" s="183"/>
      <c r="AD32" s="183"/>
      <c r="AE32" s="183"/>
      <c r="AF32" s="183" t="s">
        <v>591</v>
      </c>
      <c r="AG32" s="183"/>
      <c r="AH32" s="183"/>
      <c r="AI32" s="183"/>
      <c r="AJ32" s="259"/>
      <c r="AK32" s="258"/>
      <c r="AL32" s="183"/>
      <c r="AM32" s="183"/>
      <c r="AN32" s="183"/>
      <c r="AO32" s="183"/>
      <c r="AP32" s="183"/>
      <c r="AQ32" s="183"/>
      <c r="AR32" s="183"/>
      <c r="AS32" s="183"/>
      <c r="AT32" s="183"/>
      <c r="AU32" s="183"/>
      <c r="AV32" s="259"/>
      <c r="AW32" s="257"/>
    </row>
    <row r="33" spans="1:49">
      <c r="B33" s="1" t="s">
        <v>597</v>
      </c>
      <c r="H33" s="144">
        <f>SUMPRODUCT(H28:H31,I28:I31)</f>
        <v>0.96494999999999997</v>
      </c>
      <c r="L33" s="8"/>
      <c r="M33" s="258"/>
      <c r="N33" s="183"/>
      <c r="O33" s="183"/>
      <c r="P33" s="183"/>
      <c r="Q33" s="183"/>
      <c r="R33" s="183"/>
      <c r="S33" s="183"/>
      <c r="T33" s="183"/>
      <c r="U33" s="183"/>
      <c r="V33" s="183"/>
      <c r="W33" s="183"/>
      <c r="X33" s="259"/>
      <c r="Y33" s="258"/>
      <c r="Z33" s="183" t="s">
        <v>590</v>
      </c>
      <c r="AA33" s="183"/>
      <c r="AB33" s="183"/>
      <c r="AC33" s="183"/>
      <c r="AD33" s="183"/>
      <c r="AE33" s="183"/>
      <c r="AF33" s="183"/>
      <c r="AG33" s="183"/>
      <c r="AH33" s="183"/>
      <c r="AI33" s="183"/>
      <c r="AJ33" s="259"/>
      <c r="AK33" s="258"/>
      <c r="AL33" s="183"/>
      <c r="AM33" s="183"/>
      <c r="AN33" s="183"/>
      <c r="AO33" s="183"/>
      <c r="AP33" s="183"/>
      <c r="AQ33" s="183"/>
      <c r="AR33" s="183"/>
      <c r="AS33" s="183"/>
      <c r="AT33" s="183"/>
      <c r="AU33" s="183"/>
      <c r="AV33" s="259"/>
      <c r="AW33" s="257"/>
    </row>
    <row r="34" spans="1:49">
      <c r="B34" s="1" t="s">
        <v>598</v>
      </c>
      <c r="H34" s="144">
        <f>H32/H33</f>
        <v>1.0577281828073992</v>
      </c>
      <c r="L34" s="8"/>
      <c r="M34" s="258"/>
      <c r="N34" s="183"/>
      <c r="O34" s="183"/>
      <c r="P34" s="183"/>
      <c r="Q34" s="183"/>
      <c r="R34" s="183"/>
      <c r="S34" s="183"/>
      <c r="T34" s="183"/>
      <c r="U34" s="183"/>
      <c r="V34" s="183"/>
      <c r="W34" s="183"/>
      <c r="X34" s="259"/>
      <c r="Y34" s="258"/>
      <c r="Z34" s="183"/>
      <c r="AA34" s="183"/>
      <c r="AB34" s="183"/>
      <c r="AC34" s="183"/>
      <c r="AD34" s="183"/>
      <c r="AE34" s="183"/>
      <c r="AF34" s="183"/>
      <c r="AG34" s="183"/>
      <c r="AH34" s="183"/>
      <c r="AI34" s="183"/>
      <c r="AJ34" s="259"/>
      <c r="AK34" s="258"/>
      <c r="AL34" s="183"/>
      <c r="AM34" s="183"/>
      <c r="AN34" s="183"/>
      <c r="AO34" s="183"/>
      <c r="AP34" s="183"/>
      <c r="AQ34" s="183"/>
      <c r="AR34" s="183"/>
      <c r="AS34" s="183"/>
      <c r="AT34" s="183"/>
      <c r="AU34" s="183"/>
      <c r="AV34" s="259"/>
      <c r="AW34" s="257"/>
    </row>
    <row r="35" spans="1:49">
      <c r="B35" s="1" t="s">
        <v>599</v>
      </c>
      <c r="H35" s="142">
        <f>H34*E17</f>
        <v>1480819.455930359</v>
      </c>
      <c r="L35" s="8"/>
      <c r="M35" s="260"/>
      <c r="N35" s="261"/>
      <c r="O35" s="261"/>
      <c r="P35" s="261"/>
      <c r="Q35" s="261"/>
      <c r="R35" s="261"/>
      <c r="S35" s="261"/>
      <c r="T35" s="261"/>
      <c r="U35" s="261"/>
      <c r="V35" s="261"/>
      <c r="W35" s="261"/>
      <c r="X35" s="262"/>
      <c r="Y35" s="260"/>
      <c r="Z35" s="261"/>
      <c r="AA35" s="261"/>
      <c r="AB35" s="261"/>
      <c r="AC35" s="261"/>
      <c r="AD35" s="261"/>
      <c r="AE35" s="261"/>
      <c r="AF35" s="261"/>
      <c r="AG35" s="261"/>
      <c r="AH35" s="261"/>
      <c r="AI35" s="261"/>
      <c r="AJ35" s="262"/>
      <c r="AK35" s="260"/>
      <c r="AL35" s="261"/>
      <c r="AM35" s="261"/>
      <c r="AN35" s="261"/>
      <c r="AO35" s="261"/>
      <c r="AP35" s="261"/>
      <c r="AQ35" s="261"/>
      <c r="AR35" s="261"/>
      <c r="AS35" s="261"/>
      <c r="AT35" s="261"/>
      <c r="AU35" s="261"/>
      <c r="AV35" s="262"/>
      <c r="AW35" s="257"/>
    </row>
    <row r="36" spans="1:49">
      <c r="L36" s="8"/>
      <c r="M36" s="253"/>
      <c r="N36" s="257"/>
      <c r="O36" s="257"/>
      <c r="P36" s="257"/>
      <c r="Q36" s="257"/>
      <c r="R36" s="257"/>
      <c r="S36" s="257"/>
      <c r="T36" s="263" t="s">
        <v>587</v>
      </c>
      <c r="U36" s="257"/>
      <c r="V36" s="257"/>
      <c r="W36" s="257"/>
      <c r="X36" s="257"/>
      <c r="Y36" s="257"/>
      <c r="Z36" s="257"/>
      <c r="AA36" s="257"/>
      <c r="AB36" s="263" t="s">
        <v>588</v>
      </c>
      <c r="AC36" s="257"/>
      <c r="AD36" s="257"/>
      <c r="AE36" s="257"/>
      <c r="AF36" s="257"/>
      <c r="AG36" s="257"/>
      <c r="AH36" s="257"/>
      <c r="AI36" s="257"/>
      <c r="AJ36" s="257"/>
      <c r="AK36" s="263" t="s">
        <v>589</v>
      </c>
      <c r="AL36" s="257"/>
      <c r="AM36" s="257"/>
      <c r="AN36" s="257"/>
      <c r="AO36" s="257"/>
      <c r="AP36" s="257"/>
      <c r="AQ36" s="257"/>
      <c r="AR36" s="257"/>
      <c r="AS36" s="257"/>
      <c r="AT36" s="257"/>
      <c r="AU36" s="257"/>
      <c r="AV36" s="257"/>
      <c r="AW36" s="257"/>
    </row>
    <row r="38" spans="1:49">
      <c r="A38" s="6" t="s">
        <v>5</v>
      </c>
      <c r="B38" s="9" t="s">
        <v>33</v>
      </c>
      <c r="C38" s="4"/>
      <c r="D38" s="4"/>
      <c r="E38" s="4"/>
      <c r="F38" s="4"/>
      <c r="G38" s="4"/>
      <c r="H38" s="4"/>
      <c r="I38" s="4"/>
      <c r="J38" s="4"/>
      <c r="K38" s="4"/>
    </row>
    <row r="39" spans="1:49">
      <c r="A39" s="3"/>
      <c r="B39" s="3"/>
      <c r="C39" s="3"/>
      <c r="D39" s="3"/>
      <c r="E39" s="3"/>
      <c r="F39" s="4"/>
      <c r="G39" s="4"/>
      <c r="H39" s="4"/>
      <c r="I39" s="4"/>
      <c r="J39" s="4"/>
      <c r="K39" s="4"/>
    </row>
    <row r="40" spans="1:49">
      <c r="A40" s="7"/>
      <c r="B40" s="7"/>
      <c r="C40" s="7"/>
      <c r="D40" s="7"/>
      <c r="E40" s="7"/>
      <c r="F40" s="7"/>
      <c r="G40" s="7"/>
      <c r="H40" s="7"/>
      <c r="I40" s="7"/>
      <c r="J40" s="7"/>
      <c r="K40" s="7"/>
      <c r="M40" s="93" t="s">
        <v>333</v>
      </c>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row>
    <row r="41" spans="1:49">
      <c r="A41" s="7" t="s">
        <v>1</v>
      </c>
      <c r="B41" s="7"/>
      <c r="C41" s="7"/>
      <c r="D41" s="7"/>
      <c r="E41" s="7"/>
      <c r="F41" s="7"/>
      <c r="G41" s="7"/>
      <c r="H41" s="7"/>
      <c r="I41" s="7"/>
      <c r="J41" s="7"/>
      <c r="K41" s="7"/>
      <c r="M41" s="301">
        <v>2018</v>
      </c>
      <c r="N41" s="301"/>
      <c r="O41" s="301"/>
      <c r="P41" s="301"/>
      <c r="Q41" s="301"/>
      <c r="R41" s="301"/>
      <c r="S41" s="301"/>
      <c r="T41" s="301"/>
      <c r="U41" s="301"/>
      <c r="V41" s="301"/>
      <c r="W41" s="301"/>
      <c r="X41" s="301"/>
      <c r="Y41" s="301">
        <f>M41+1</f>
        <v>2019</v>
      </c>
      <c r="Z41" s="301"/>
      <c r="AA41" s="301"/>
      <c r="AB41" s="301"/>
      <c r="AC41" s="301"/>
      <c r="AD41" s="301"/>
      <c r="AE41" s="301"/>
      <c r="AF41" s="301"/>
      <c r="AG41" s="301"/>
      <c r="AH41" s="301"/>
      <c r="AI41" s="301"/>
      <c r="AJ41" s="301"/>
      <c r="AK41" s="301">
        <f>Y41+1</f>
        <v>2020</v>
      </c>
      <c r="AL41" s="301"/>
      <c r="AM41" s="301"/>
      <c r="AN41" s="301"/>
      <c r="AO41" s="301"/>
      <c r="AP41" s="301"/>
      <c r="AQ41" s="301"/>
      <c r="AR41" s="301"/>
      <c r="AS41" s="301"/>
      <c r="AT41" s="301"/>
      <c r="AU41" s="301"/>
      <c r="AV41" s="301"/>
    </row>
    <row r="42" spans="1:49">
      <c r="A42" s="7"/>
      <c r="B42" s="7"/>
      <c r="C42" s="7"/>
      <c r="D42" s="7"/>
      <c r="E42" s="7"/>
      <c r="F42" s="7"/>
      <c r="G42" s="7"/>
      <c r="H42" s="7"/>
      <c r="I42" s="7"/>
      <c r="J42" s="7"/>
      <c r="K42" s="7"/>
      <c r="M42" s="85"/>
      <c r="N42" s="86"/>
      <c r="O42" s="86"/>
      <c r="P42" s="86"/>
      <c r="Q42" s="86"/>
      <c r="R42" s="86"/>
      <c r="S42" s="86"/>
      <c r="T42" s="86"/>
      <c r="U42" s="86"/>
      <c r="V42" s="86"/>
      <c r="W42" s="86"/>
      <c r="X42" s="87"/>
      <c r="Y42" s="85" t="s">
        <v>317</v>
      </c>
      <c r="Z42" s="86"/>
      <c r="AA42" s="86"/>
      <c r="AB42" s="86"/>
      <c r="AC42" s="86"/>
      <c r="AD42" s="86"/>
      <c r="AE42" s="86"/>
      <c r="AF42" s="86"/>
      <c r="AG42" s="86"/>
      <c r="AH42" s="86"/>
      <c r="AI42" s="86"/>
      <c r="AJ42" s="87"/>
      <c r="AK42" s="85"/>
      <c r="AL42" s="86"/>
      <c r="AM42" s="86"/>
      <c r="AN42" s="86"/>
      <c r="AO42" s="86"/>
      <c r="AP42" s="86"/>
      <c r="AQ42" s="86"/>
      <c r="AR42" s="86"/>
      <c r="AS42" s="86"/>
      <c r="AT42" s="86"/>
      <c r="AU42" s="86"/>
      <c r="AV42" s="87"/>
    </row>
    <row r="43" spans="1:49">
      <c r="A43" s="7"/>
      <c r="B43" s="7" t="s">
        <v>600</v>
      </c>
      <c r="C43" s="7"/>
      <c r="D43" s="7"/>
      <c r="E43" s="7"/>
      <c r="F43" s="7"/>
      <c r="G43" s="7"/>
      <c r="H43" s="7"/>
      <c r="I43" s="7"/>
      <c r="J43" s="7"/>
      <c r="K43" s="7"/>
      <c r="M43" s="88"/>
      <c r="N43"/>
      <c r="O43"/>
      <c r="P43"/>
      <c r="Q43"/>
      <c r="R43"/>
      <c r="S43"/>
      <c r="T43"/>
      <c r="U43"/>
      <c r="V43"/>
      <c r="W43"/>
      <c r="X43" s="89"/>
      <c r="Y43" s="88"/>
      <c r="Z43"/>
      <c r="AA43"/>
      <c r="AB43"/>
      <c r="AC43"/>
      <c r="AD43"/>
      <c r="AE43"/>
      <c r="AF43"/>
      <c r="AG43"/>
      <c r="AH43"/>
      <c r="AI43"/>
      <c r="AJ43" s="89"/>
      <c r="AK43" s="88"/>
      <c r="AL43"/>
      <c r="AM43"/>
      <c r="AN43"/>
      <c r="AO43"/>
      <c r="AP43"/>
      <c r="AQ43"/>
      <c r="AR43"/>
      <c r="AS43"/>
      <c r="AT43"/>
      <c r="AU43"/>
      <c r="AV43" s="89"/>
    </row>
    <row r="44" spans="1:49">
      <c r="B44" s="1" t="s">
        <v>601</v>
      </c>
      <c r="L44" s="7"/>
      <c r="M44" s="88"/>
      <c r="N44"/>
      <c r="O44"/>
      <c r="P44"/>
      <c r="Q44"/>
      <c r="R44"/>
      <c r="S44"/>
      <c r="T44"/>
      <c r="U44"/>
      <c r="V44"/>
      <c r="W44"/>
      <c r="X44" s="89"/>
      <c r="Y44" s="88"/>
      <c r="Z44"/>
      <c r="AA44"/>
      <c r="AB44"/>
      <c r="AC44"/>
      <c r="AD44"/>
      <c r="AE44"/>
      <c r="AF44"/>
      <c r="AG44"/>
      <c r="AH44"/>
      <c r="AI44"/>
      <c r="AJ44" s="89"/>
      <c r="AK44" s="88"/>
      <c r="AL44"/>
      <c r="AM44"/>
      <c r="AN44"/>
      <c r="AO44"/>
      <c r="AP44"/>
      <c r="AQ44"/>
      <c r="AR44"/>
      <c r="AS44"/>
      <c r="AT44"/>
      <c r="AU44"/>
      <c r="AV44" s="89"/>
    </row>
    <row r="45" spans="1:49">
      <c r="B45" s="1" t="s">
        <v>602</v>
      </c>
      <c r="L45" s="7"/>
      <c r="M45" s="88"/>
      <c r="N45"/>
      <c r="O45"/>
      <c r="P45"/>
      <c r="Q45"/>
      <c r="R45"/>
      <c r="S45"/>
      <c r="T45"/>
      <c r="U45"/>
      <c r="V45"/>
      <c r="W45"/>
      <c r="X45" s="89"/>
      <c r="Y45" s="88"/>
      <c r="Z45"/>
      <c r="AA45"/>
      <c r="AB45"/>
      <c r="AC45"/>
      <c r="AD45"/>
      <c r="AE45"/>
      <c r="AF45"/>
      <c r="AG45"/>
      <c r="AH45"/>
      <c r="AI45"/>
      <c r="AJ45" s="89"/>
      <c r="AK45" s="88"/>
      <c r="AL45"/>
      <c r="AM45"/>
      <c r="AN45"/>
      <c r="AO45"/>
      <c r="AP45"/>
      <c r="AQ45"/>
      <c r="AR45"/>
      <c r="AS45"/>
      <c r="AT45"/>
      <c r="AU45"/>
      <c r="AV45" s="89"/>
    </row>
    <row r="46" spans="1:49">
      <c r="B46" s="1" t="s">
        <v>605</v>
      </c>
      <c r="L46" s="7"/>
      <c r="M46" s="88"/>
      <c r="N46"/>
      <c r="O46"/>
      <c r="P46"/>
      <c r="Q46"/>
      <c r="R46"/>
      <c r="S46"/>
      <c r="T46"/>
      <c r="U46"/>
      <c r="V46"/>
      <c r="W46"/>
      <c r="X46" s="89"/>
      <c r="Y46" s="88"/>
      <c r="Z46"/>
      <c r="AA46"/>
      <c r="AB46"/>
      <c r="AC46"/>
      <c r="AD46"/>
      <c r="AE46"/>
      <c r="AF46"/>
      <c r="AG46"/>
      <c r="AH46"/>
      <c r="AI46"/>
      <c r="AJ46" s="89"/>
      <c r="AK46" s="88"/>
      <c r="AL46"/>
      <c r="AM46"/>
      <c r="AN46"/>
      <c r="AO46"/>
      <c r="AP46"/>
      <c r="AQ46"/>
      <c r="AR46"/>
      <c r="AS46"/>
      <c r="AT46"/>
      <c r="AU46"/>
      <c r="AV46" s="89"/>
    </row>
    <row r="47" spans="1:49">
      <c r="L47" s="7"/>
      <c r="M47" s="88"/>
      <c r="N47"/>
      <c r="O47"/>
      <c r="P47"/>
      <c r="Q47"/>
      <c r="R47"/>
      <c r="S47"/>
      <c r="T47"/>
      <c r="U47"/>
      <c r="V47"/>
      <c r="W47"/>
      <c r="X47" s="89"/>
      <c r="Y47" s="88"/>
      <c r="Z47"/>
      <c r="AA47"/>
      <c r="AB47"/>
      <c r="AC47"/>
      <c r="AD47"/>
      <c r="AE47"/>
      <c r="AF47"/>
      <c r="AG47"/>
      <c r="AH47"/>
      <c r="AI47"/>
      <c r="AJ47" s="89"/>
      <c r="AK47" s="88"/>
      <c r="AL47"/>
      <c r="AM47"/>
      <c r="AN47"/>
      <c r="AO47"/>
      <c r="AP47"/>
      <c r="AQ47"/>
      <c r="AR47"/>
      <c r="AS47"/>
      <c r="AT47"/>
      <c r="AU47"/>
      <c r="AV47" s="89"/>
    </row>
    <row r="48" spans="1:49">
      <c r="B48" s="251" t="s">
        <v>472</v>
      </c>
      <c r="L48" s="7"/>
      <c r="M48" s="88"/>
      <c r="N48"/>
      <c r="O48"/>
      <c r="P48"/>
      <c r="Q48"/>
      <c r="R48"/>
      <c r="S48"/>
      <c r="T48"/>
      <c r="U48"/>
      <c r="V48"/>
      <c r="W48"/>
      <c r="X48" s="89"/>
      <c r="Y48" s="88"/>
      <c r="Z48" t="s">
        <v>318</v>
      </c>
      <c r="AA48"/>
      <c r="AB48"/>
      <c r="AC48"/>
      <c r="AD48"/>
      <c r="AE48"/>
      <c r="AF48"/>
      <c r="AG48" t="s">
        <v>590</v>
      </c>
      <c r="AH48"/>
      <c r="AI48"/>
      <c r="AJ48" s="89"/>
      <c r="AK48" s="88"/>
      <c r="AL48"/>
      <c r="AM48"/>
      <c r="AN48"/>
      <c r="AO48"/>
      <c r="AP48"/>
      <c r="AQ48"/>
      <c r="AR48"/>
      <c r="AS48"/>
      <c r="AT48"/>
      <c r="AU48"/>
      <c r="AV48" s="89"/>
    </row>
    <row r="49" spans="1:48">
      <c r="B49" s="252" t="s">
        <v>603</v>
      </c>
      <c r="L49" s="7"/>
      <c r="M49" s="88"/>
      <c r="N49"/>
      <c r="O49"/>
      <c r="P49"/>
      <c r="Q49"/>
      <c r="R49"/>
      <c r="S49"/>
      <c r="T49"/>
      <c r="U49"/>
      <c r="V49"/>
      <c r="W49"/>
      <c r="X49" s="89"/>
      <c r="Y49" s="88"/>
      <c r="Z49"/>
      <c r="AA49"/>
      <c r="AB49"/>
      <c r="AC49"/>
      <c r="AD49"/>
      <c r="AE49"/>
      <c r="AF49"/>
      <c r="AG49"/>
      <c r="AH49"/>
      <c r="AI49"/>
      <c r="AJ49" s="89"/>
      <c r="AK49" s="88"/>
      <c r="AL49"/>
      <c r="AM49"/>
      <c r="AN49"/>
      <c r="AO49"/>
      <c r="AP49"/>
      <c r="AQ49"/>
      <c r="AR49"/>
      <c r="AS49"/>
      <c r="AT49"/>
      <c r="AU49"/>
      <c r="AV49" s="89"/>
    </row>
    <row r="50" spans="1:48">
      <c r="M50" s="88"/>
      <c r="N50"/>
      <c r="O50"/>
      <c r="P50"/>
      <c r="Q50"/>
      <c r="R50"/>
      <c r="S50"/>
      <c r="T50"/>
      <c r="U50"/>
      <c r="V50"/>
      <c r="W50"/>
      <c r="X50" s="89"/>
      <c r="Y50" s="88"/>
      <c r="Z50"/>
      <c r="AA50"/>
      <c r="AB50"/>
      <c r="AC50"/>
      <c r="AD50"/>
      <c r="AE50"/>
      <c r="AF50"/>
      <c r="AG50"/>
      <c r="AH50"/>
      <c r="AI50"/>
      <c r="AJ50" s="89"/>
      <c r="AK50" s="88"/>
      <c r="AL50"/>
      <c r="AM50"/>
      <c r="AN50"/>
      <c r="AO50"/>
      <c r="AP50"/>
      <c r="AQ50"/>
      <c r="AR50"/>
      <c r="AS50"/>
      <c r="AT50"/>
      <c r="AU50"/>
      <c r="AV50" s="89"/>
    </row>
    <row r="51" spans="1:48">
      <c r="C51" s="302" t="s">
        <v>592</v>
      </c>
      <c r="D51" s="302"/>
      <c r="E51" s="302"/>
      <c r="F51" s="302"/>
      <c r="G51" s="302"/>
      <c r="M51" s="88"/>
      <c r="N51"/>
      <c r="O51"/>
      <c r="P51"/>
      <c r="Q51"/>
      <c r="R51"/>
      <c r="S51"/>
      <c r="T51"/>
      <c r="U51"/>
      <c r="V51"/>
      <c r="W51"/>
      <c r="X51" s="89"/>
      <c r="Y51" s="88"/>
      <c r="Z51"/>
      <c r="AA51"/>
      <c r="AB51"/>
      <c r="AC51"/>
      <c r="AD51"/>
      <c r="AE51"/>
      <c r="AF51"/>
      <c r="AG51"/>
      <c r="AH51"/>
      <c r="AI51"/>
      <c r="AJ51" s="89"/>
      <c r="AK51" s="88"/>
      <c r="AL51"/>
      <c r="AM51"/>
      <c r="AN51"/>
      <c r="AO51"/>
      <c r="AP51"/>
      <c r="AQ51"/>
      <c r="AR51"/>
      <c r="AS51"/>
      <c r="AT51"/>
      <c r="AU51"/>
      <c r="AV51" s="89"/>
    </row>
    <row r="52" spans="1:48">
      <c r="C52" s="243">
        <f>C26</f>
        <v>42917</v>
      </c>
      <c r="D52" s="243">
        <f t="shared" ref="D52:G52" si="1">D26</f>
        <v>43344</v>
      </c>
      <c r="E52" s="243">
        <f t="shared" si="1"/>
        <v>43862</v>
      </c>
      <c r="F52" s="243">
        <f t="shared" si="1"/>
        <v>44470</v>
      </c>
      <c r="G52" s="243">
        <f t="shared" si="1"/>
        <v>43586</v>
      </c>
      <c r="M52" s="88"/>
      <c r="N52"/>
      <c r="O52"/>
      <c r="P52"/>
      <c r="Q52"/>
      <c r="R52"/>
      <c r="S52"/>
      <c r="T52"/>
      <c r="U52"/>
      <c r="V52"/>
      <c r="W52"/>
      <c r="X52" s="89"/>
      <c r="Y52" s="88"/>
      <c r="Z52"/>
      <c r="AA52"/>
      <c r="AB52"/>
      <c r="AC52"/>
      <c r="AD52"/>
      <c r="AE52"/>
      <c r="AF52"/>
      <c r="AG52"/>
      <c r="AH52"/>
      <c r="AI52"/>
      <c r="AJ52" s="89"/>
      <c r="AK52" s="88"/>
      <c r="AL52"/>
      <c r="AM52"/>
      <c r="AN52"/>
      <c r="AO52"/>
      <c r="AP52"/>
      <c r="AQ52"/>
      <c r="AR52"/>
      <c r="AS52"/>
      <c r="AT52"/>
      <c r="AU52"/>
      <c r="AV52" s="89"/>
    </row>
    <row r="53" spans="1:48">
      <c r="B53" s="137" t="s">
        <v>593</v>
      </c>
      <c r="C53" s="244">
        <f t="shared" ref="C53:G53" si="2">C27</f>
        <v>0.05</v>
      </c>
      <c r="D53" s="244">
        <f t="shared" si="2"/>
        <v>-0.02</v>
      </c>
      <c r="E53" s="244">
        <f t="shared" si="2"/>
        <v>7.0000000000000007E-2</v>
      </c>
      <c r="F53" s="244">
        <f t="shared" si="2"/>
        <v>0.03</v>
      </c>
      <c r="G53" s="244">
        <f t="shared" si="2"/>
        <v>-0.1</v>
      </c>
      <c r="H53" s="172" t="s">
        <v>594</v>
      </c>
      <c r="I53" s="172" t="s">
        <v>595</v>
      </c>
      <c r="M53" s="90"/>
      <c r="N53" s="91"/>
      <c r="O53" s="91"/>
      <c r="P53" s="91"/>
      <c r="Q53" s="91"/>
      <c r="R53" s="91"/>
      <c r="S53" s="91"/>
      <c r="T53" s="91"/>
      <c r="U53" s="91"/>
      <c r="V53" s="91"/>
      <c r="W53" s="91"/>
      <c r="X53" s="92"/>
      <c r="Y53" s="90"/>
      <c r="Z53" s="91"/>
      <c r="AA53" s="91"/>
      <c r="AB53" s="91"/>
      <c r="AC53" s="91"/>
      <c r="AD53" s="91"/>
      <c r="AE53" s="91"/>
      <c r="AF53" s="91"/>
      <c r="AG53" s="91"/>
      <c r="AH53" s="91"/>
      <c r="AI53" s="91"/>
      <c r="AJ53" s="92"/>
      <c r="AK53" s="90"/>
      <c r="AL53" s="91"/>
      <c r="AM53" s="91"/>
      <c r="AN53" s="91"/>
      <c r="AO53" s="91"/>
      <c r="AP53" s="91"/>
      <c r="AQ53" s="91"/>
      <c r="AR53" s="91"/>
      <c r="AS53" s="91"/>
      <c r="AT53" s="91"/>
      <c r="AU53" s="91"/>
      <c r="AV53" s="92"/>
    </row>
    <row r="54" spans="1:48">
      <c r="B54" s="130" t="s">
        <v>317</v>
      </c>
      <c r="C54" s="130">
        <v>1</v>
      </c>
      <c r="D54" s="130"/>
      <c r="E54" s="130"/>
      <c r="F54" s="130"/>
      <c r="G54" s="130"/>
      <c r="H54" s="144">
        <f>((1+$C$53)^C54)*((1+$D$53)^D54)*((1+$E$53)^E54)*((1+$F$53)^F54)*((1+$G$53)^G54)</f>
        <v>1.05</v>
      </c>
      <c r="I54" s="245">
        <f>0.5*2*4/144</f>
        <v>2.7777777777777776E-2</v>
      </c>
      <c r="T54" s="242" t="s">
        <v>587</v>
      </c>
      <c r="AB54" s="242" t="s">
        <v>588</v>
      </c>
      <c r="AK54" s="242" t="s">
        <v>589</v>
      </c>
    </row>
    <row r="55" spans="1:48">
      <c r="B55" s="130" t="s">
        <v>318</v>
      </c>
      <c r="C55" s="130">
        <v>1</v>
      </c>
      <c r="D55" s="130">
        <v>1</v>
      </c>
      <c r="E55" s="130"/>
      <c r="F55" s="130"/>
      <c r="G55" s="130"/>
      <c r="H55" s="144">
        <f t="shared" ref="H55:H57" si="3">((1+$C$53)^C55)*((1+$D$53)^D55)*((1+$E$53)^E55)*((1+$F$53)^F55)*((1+$G$53)^G55)</f>
        <v>1.0289999999999999</v>
      </c>
      <c r="I55" s="245">
        <f>(4/12)-I54</f>
        <v>0.30555555555555552</v>
      </c>
    </row>
    <row r="56" spans="1:48">
      <c r="B56" s="130" t="s">
        <v>590</v>
      </c>
      <c r="C56" s="130">
        <v>1</v>
      </c>
      <c r="D56" s="130">
        <v>1</v>
      </c>
      <c r="E56" s="130"/>
      <c r="F56" s="130"/>
      <c r="G56" s="130">
        <v>1</v>
      </c>
      <c r="H56" s="144">
        <f t="shared" si="3"/>
        <v>0.92609999999999992</v>
      </c>
      <c r="I56" s="245">
        <f>1-SUM(I54:I55)</f>
        <v>0.66666666666666674</v>
      </c>
    </row>
    <row r="57" spans="1:48">
      <c r="B57" s="248" t="s">
        <v>596</v>
      </c>
      <c r="C57" s="248">
        <v>1</v>
      </c>
      <c r="D57" s="248">
        <v>1</v>
      </c>
      <c r="E57" s="248">
        <v>1</v>
      </c>
      <c r="F57" s="248">
        <v>1</v>
      </c>
      <c r="G57" s="248">
        <v>1</v>
      </c>
      <c r="H57" s="249">
        <f t="shared" si="3"/>
        <v>1.0206548099999999</v>
      </c>
      <c r="I57" s="250"/>
    </row>
    <row r="58" spans="1:48">
      <c r="B58" s="1" t="s">
        <v>597</v>
      </c>
      <c r="H58" s="144">
        <f>SUMPRODUCT(H54:H56,I54:I56)</f>
        <v>0.9609833333333333</v>
      </c>
    </row>
    <row r="59" spans="1:48">
      <c r="B59" s="1" t="s">
        <v>598</v>
      </c>
      <c r="H59" s="144">
        <f>H57/H58</f>
        <v>1.0620941847760106</v>
      </c>
    </row>
    <row r="61" spans="1:48">
      <c r="A61" s="3"/>
      <c r="B61" s="3"/>
      <c r="C61" s="3"/>
      <c r="D61" s="3"/>
      <c r="E61" s="3"/>
      <c r="F61" s="4"/>
      <c r="G61" s="4"/>
      <c r="H61" s="4"/>
      <c r="I61" s="4"/>
      <c r="J61" s="4"/>
      <c r="K61" s="4"/>
    </row>
    <row r="62" spans="1:48">
      <c r="A62" s="299" t="s">
        <v>34</v>
      </c>
      <c r="B62" s="299"/>
      <c r="C62" s="299"/>
      <c r="D62" s="299"/>
      <c r="E62" s="299"/>
      <c r="F62" s="299"/>
      <c r="G62" s="299"/>
      <c r="H62" s="299"/>
      <c r="I62" s="299"/>
      <c r="J62" s="299"/>
      <c r="K62" s="4"/>
    </row>
    <row r="63" spans="1:48">
      <c r="A63" s="299"/>
      <c r="B63" s="299"/>
      <c r="C63" s="299"/>
      <c r="D63" s="299"/>
      <c r="E63" s="299"/>
      <c r="F63" s="299"/>
      <c r="G63" s="299"/>
      <c r="H63" s="299"/>
      <c r="I63" s="299"/>
      <c r="J63" s="299"/>
      <c r="K63" s="4"/>
    </row>
    <row r="64" spans="1:48">
      <c r="A64" s="3"/>
      <c r="B64" s="3"/>
      <c r="C64" s="3"/>
      <c r="D64" s="3"/>
      <c r="E64" s="3"/>
      <c r="F64" s="4"/>
      <c r="G64" s="4"/>
      <c r="H64" s="4"/>
      <c r="I64" s="4"/>
      <c r="J64" s="4"/>
      <c r="K64" s="4"/>
    </row>
    <row r="66" spans="1:13">
      <c r="A66" s="6" t="s">
        <v>0</v>
      </c>
      <c r="B66" s="9" t="s">
        <v>35</v>
      </c>
      <c r="C66" s="4"/>
      <c r="D66" s="4"/>
      <c r="E66" s="4"/>
      <c r="F66" s="4"/>
      <c r="G66" s="4"/>
      <c r="H66" s="4"/>
      <c r="I66" s="4"/>
      <c r="J66" s="4"/>
      <c r="K66" s="4"/>
    </row>
    <row r="67" spans="1:13">
      <c r="A67" s="3"/>
      <c r="B67" s="3"/>
      <c r="C67" s="3"/>
      <c r="D67" s="3"/>
      <c r="E67" s="3"/>
      <c r="F67" s="4"/>
      <c r="G67" s="4"/>
      <c r="H67" s="4"/>
      <c r="I67" s="4"/>
      <c r="J67" s="4"/>
      <c r="K67" s="4"/>
    </row>
    <row r="68" spans="1:13">
      <c r="A68" s="7"/>
      <c r="B68" s="7"/>
      <c r="C68" s="7"/>
      <c r="D68" s="7"/>
      <c r="E68" s="7"/>
      <c r="F68" s="7"/>
      <c r="G68" s="7"/>
      <c r="H68" s="7"/>
      <c r="I68" s="7"/>
      <c r="J68" s="7"/>
      <c r="K68" s="7"/>
    </row>
    <row r="69" spans="1:13">
      <c r="A69" s="7" t="s">
        <v>1</v>
      </c>
      <c r="B69" s="7"/>
      <c r="C69" s="7"/>
      <c r="D69" s="7"/>
      <c r="E69" s="7"/>
      <c r="F69" s="7"/>
      <c r="G69" s="7"/>
      <c r="H69" s="7"/>
      <c r="I69" s="7"/>
      <c r="J69" s="7"/>
      <c r="K69" s="7"/>
    </row>
    <row r="70" spans="1:13">
      <c r="A70" s="7"/>
      <c r="B70" s="7"/>
      <c r="C70" s="7"/>
      <c r="D70" s="7"/>
      <c r="E70" s="7"/>
      <c r="F70" s="7"/>
      <c r="G70" s="7"/>
      <c r="H70" s="7"/>
      <c r="I70" s="7"/>
      <c r="J70" s="7"/>
      <c r="K70" s="7"/>
    </row>
    <row r="71" spans="1:13">
      <c r="A71" s="7"/>
      <c r="B71" s="7" t="s">
        <v>606</v>
      </c>
      <c r="C71" s="7"/>
      <c r="D71" s="7"/>
      <c r="E71" s="7"/>
      <c r="F71" s="7"/>
      <c r="G71" s="7"/>
      <c r="H71" s="7"/>
      <c r="I71" s="7"/>
      <c r="J71" s="7"/>
      <c r="K71" s="7"/>
    </row>
    <row r="72" spans="1:13">
      <c r="B72" s="1" t="s">
        <v>604</v>
      </c>
    </row>
    <row r="73" spans="1:13">
      <c r="L73" s="7"/>
      <c r="M73" s="7"/>
    </row>
    <row r="74" spans="1:13">
      <c r="L74" s="7"/>
      <c r="M74" s="7"/>
    </row>
    <row r="75" spans="1:13">
      <c r="L75" s="7"/>
      <c r="M75" s="7"/>
    </row>
  </sheetData>
  <mergeCells count="9">
    <mergeCell ref="A62:J63"/>
    <mergeCell ref="M23:X23"/>
    <mergeCell ref="Y23:AJ23"/>
    <mergeCell ref="AK23:AV23"/>
    <mergeCell ref="M41:X41"/>
    <mergeCell ref="Y41:AJ41"/>
    <mergeCell ref="AK41:AV41"/>
    <mergeCell ref="C25:G25"/>
    <mergeCell ref="C51:G51"/>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D357-83FD-4AB3-B836-82CEC1FDC0EE}">
  <dimension ref="A1:R82"/>
  <sheetViews>
    <sheetView zoomScaleNormal="100" workbookViewId="0"/>
  </sheetViews>
  <sheetFormatPr defaultColWidth="8.85546875" defaultRowHeight="15.75"/>
  <cols>
    <col min="1" max="1" width="8.85546875" style="1" customWidth="1"/>
    <col min="2" max="2" width="10.7109375" style="1" customWidth="1"/>
    <col min="3" max="4" width="20.7109375" style="1" customWidth="1"/>
    <col min="5" max="5" width="12.140625" style="1" customWidth="1"/>
    <col min="6" max="6" width="8.85546875" style="1" customWidth="1"/>
    <col min="7" max="7" width="8.85546875" style="1"/>
    <col min="8" max="8" width="8.85546875" style="1" customWidth="1"/>
    <col min="9" max="16384" width="8.85546875" style="1"/>
  </cols>
  <sheetData>
    <row r="1" spans="1:12" ht="18.75">
      <c r="A1" s="2" t="s">
        <v>305</v>
      </c>
      <c r="B1" s="4"/>
      <c r="C1" s="9" t="s">
        <v>11</v>
      </c>
      <c r="D1" s="4"/>
      <c r="E1" s="4"/>
      <c r="F1" s="4"/>
      <c r="G1" s="4"/>
      <c r="H1" s="4"/>
      <c r="I1" s="4"/>
      <c r="J1" s="4"/>
      <c r="K1" s="4"/>
      <c r="L1" s="3"/>
    </row>
    <row r="2" spans="1:12">
      <c r="A2" s="4"/>
      <c r="B2" s="4"/>
      <c r="C2" s="4"/>
      <c r="D2" s="4"/>
      <c r="E2" s="4"/>
      <c r="F2" s="4"/>
      <c r="G2" s="4"/>
      <c r="H2" s="4"/>
      <c r="I2" s="4"/>
      <c r="J2" s="4"/>
      <c r="K2" s="4"/>
      <c r="L2" s="3"/>
    </row>
    <row r="3" spans="1:12">
      <c r="A3" s="14" t="s">
        <v>346</v>
      </c>
      <c r="B3" s="16"/>
      <c r="C3" s="16"/>
      <c r="D3" s="9"/>
      <c r="E3" s="9"/>
      <c r="F3" s="9"/>
      <c r="G3" s="9"/>
      <c r="H3" s="9"/>
      <c r="I3" s="9"/>
      <c r="J3" s="9"/>
      <c r="K3" s="4"/>
      <c r="L3" s="3"/>
    </row>
    <row r="4" spans="1:12">
      <c r="A4" s="14"/>
      <c r="B4" s="16"/>
      <c r="C4" s="16"/>
      <c r="D4" s="9"/>
      <c r="E4" s="9"/>
      <c r="F4" s="9"/>
      <c r="G4" s="9"/>
      <c r="H4" s="9"/>
      <c r="I4" s="9"/>
      <c r="J4" s="9"/>
      <c r="K4" s="9"/>
      <c r="L4" s="9"/>
    </row>
    <row r="5" spans="1:12" ht="47.25">
      <c r="A5" s="9"/>
      <c r="B5" s="30" t="s">
        <v>306</v>
      </c>
      <c r="C5" s="30" t="s">
        <v>307</v>
      </c>
      <c r="D5" s="30" t="s">
        <v>308</v>
      </c>
      <c r="E5" s="9"/>
      <c r="F5" s="9"/>
      <c r="G5" s="9"/>
      <c r="H5" s="9"/>
      <c r="I5" s="9"/>
      <c r="J5" s="9"/>
      <c r="K5" s="9"/>
      <c r="L5" s="9"/>
    </row>
    <row r="6" spans="1:12">
      <c r="A6" s="9"/>
      <c r="B6" s="26">
        <v>1</v>
      </c>
      <c r="C6" s="21">
        <v>0.01</v>
      </c>
      <c r="D6" s="105">
        <v>50</v>
      </c>
      <c r="E6" s="9"/>
      <c r="F6" s="9"/>
      <c r="G6" s="9"/>
      <c r="H6" s="9"/>
      <c r="I6" s="9"/>
      <c r="J6" s="9"/>
      <c r="K6" s="9"/>
      <c r="L6" s="9"/>
    </row>
    <row r="7" spans="1:12">
      <c r="A7" s="9"/>
      <c r="B7" s="26">
        <v>2</v>
      </c>
      <c r="C7" s="21">
        <v>2E-3</v>
      </c>
      <c r="D7" s="105">
        <v>100</v>
      </c>
      <c r="E7" s="9"/>
      <c r="F7" s="9"/>
      <c r="G7" s="9"/>
      <c r="H7" s="9"/>
      <c r="I7" s="9"/>
      <c r="J7" s="9"/>
      <c r="K7" s="9"/>
      <c r="L7" s="9"/>
    </row>
    <row r="8" spans="1:12">
      <c r="A8" s="9"/>
      <c r="B8" s="26">
        <v>3</v>
      </c>
      <c r="C8" s="21">
        <v>4.0000000000000001E-3</v>
      </c>
      <c r="D8" s="105">
        <v>125</v>
      </c>
      <c r="E8" s="9"/>
      <c r="F8" s="9"/>
      <c r="G8" s="9"/>
      <c r="H8" s="9"/>
      <c r="I8" s="9"/>
      <c r="J8" s="9"/>
      <c r="K8" s="9"/>
      <c r="L8" s="9"/>
    </row>
    <row r="9" spans="1:12">
      <c r="A9" s="9"/>
      <c r="B9" s="26">
        <v>4</v>
      </c>
      <c r="C9" s="21">
        <v>6.0000000000000001E-3</v>
      </c>
      <c r="D9" s="105">
        <v>150</v>
      </c>
      <c r="E9" s="9"/>
      <c r="F9" s="9"/>
      <c r="G9" s="9"/>
      <c r="H9" s="9"/>
      <c r="I9" s="9"/>
      <c r="J9" s="9"/>
      <c r="K9" s="9"/>
      <c r="L9" s="9"/>
    </row>
    <row r="10" spans="1:12">
      <c r="A10" s="9"/>
      <c r="B10" s="26">
        <v>5</v>
      </c>
      <c r="C10" s="21">
        <v>8.9999999999999998E-4</v>
      </c>
      <c r="D10" s="105">
        <v>25</v>
      </c>
      <c r="E10" s="9"/>
      <c r="F10" s="9"/>
      <c r="G10" s="9"/>
      <c r="H10" s="9"/>
      <c r="I10" s="9"/>
      <c r="J10" s="9"/>
      <c r="K10" s="9"/>
      <c r="L10" s="9"/>
    </row>
    <row r="11" spans="1:12">
      <c r="A11" s="9"/>
      <c r="B11" s="26">
        <v>6</v>
      </c>
      <c r="C11" s="21">
        <v>5.0000000000000001E-3</v>
      </c>
      <c r="D11" s="105">
        <v>200</v>
      </c>
      <c r="E11" s="9"/>
      <c r="F11" s="9"/>
      <c r="G11" s="9"/>
      <c r="H11" s="9"/>
      <c r="I11" s="9"/>
      <c r="J11" s="9"/>
      <c r="K11" s="9"/>
      <c r="L11" s="9"/>
    </row>
    <row r="12" spans="1:12">
      <c r="A12" s="9"/>
      <c r="B12" s="26">
        <v>7</v>
      </c>
      <c r="C12" s="21">
        <v>4.4999999999999997E-3</v>
      </c>
      <c r="D12" s="105">
        <v>225</v>
      </c>
      <c r="E12" s="9"/>
      <c r="F12" s="9"/>
      <c r="G12" s="9"/>
      <c r="H12" s="9"/>
      <c r="I12" s="9"/>
      <c r="J12" s="9"/>
      <c r="K12" s="9"/>
      <c r="L12" s="9"/>
    </row>
    <row r="13" spans="1:12">
      <c r="A13" s="9"/>
      <c r="B13" s="26">
        <v>8</v>
      </c>
      <c r="C13" s="21">
        <v>5.0000000000000001E-3</v>
      </c>
      <c r="D13" s="105">
        <v>250</v>
      </c>
      <c r="E13" s="9"/>
      <c r="F13" s="9"/>
      <c r="G13" s="9"/>
      <c r="H13" s="9"/>
      <c r="I13" s="9"/>
      <c r="J13" s="9"/>
      <c r="K13" s="9"/>
      <c r="L13" s="9"/>
    </row>
    <row r="14" spans="1:12">
      <c r="A14" s="9"/>
      <c r="B14" s="26">
        <v>9</v>
      </c>
      <c r="C14" s="21">
        <v>1.0999999999999999E-2</v>
      </c>
      <c r="D14" s="105">
        <v>200</v>
      </c>
      <c r="E14" s="9"/>
      <c r="F14" s="9"/>
      <c r="G14" s="9"/>
      <c r="H14" s="9"/>
      <c r="I14" s="9"/>
      <c r="J14" s="9"/>
      <c r="K14" s="9"/>
      <c r="L14" s="9"/>
    </row>
    <row r="15" spans="1:12">
      <c r="A15" s="9"/>
      <c r="B15" s="26">
        <v>10</v>
      </c>
      <c r="C15" s="21">
        <v>1.2E-2</v>
      </c>
      <c r="D15" s="105">
        <v>100</v>
      </c>
      <c r="E15" s="9"/>
      <c r="F15" s="9"/>
      <c r="G15" s="9"/>
      <c r="H15" s="9"/>
      <c r="I15" s="9"/>
      <c r="J15" s="9"/>
      <c r="K15" s="9"/>
      <c r="L15" s="9"/>
    </row>
    <row r="16" spans="1:12">
      <c r="A16" s="9"/>
      <c r="B16" s="9"/>
      <c r="C16" s="9"/>
      <c r="D16" s="9"/>
      <c r="E16" s="9"/>
      <c r="F16" s="9"/>
      <c r="G16" s="9"/>
      <c r="H16" s="9"/>
      <c r="I16" s="9"/>
      <c r="J16" s="9"/>
      <c r="K16" s="9"/>
      <c r="L16" s="9"/>
    </row>
    <row r="17" spans="1:18">
      <c r="A17" s="7"/>
      <c r="B17" s="7"/>
      <c r="C17" s="7"/>
      <c r="D17" s="7"/>
      <c r="E17" s="7"/>
      <c r="F17" s="7"/>
      <c r="G17" s="7"/>
      <c r="H17" s="7"/>
      <c r="I17" s="7"/>
      <c r="J17" s="7"/>
      <c r="K17" s="7"/>
      <c r="L17" s="7"/>
    </row>
    <row r="18" spans="1:18">
      <c r="A18" s="6" t="s">
        <v>4</v>
      </c>
      <c r="B18" s="9" t="s">
        <v>309</v>
      </c>
      <c r="C18" s="4"/>
      <c r="D18" s="4"/>
      <c r="E18" s="4"/>
      <c r="F18" s="4"/>
      <c r="G18" s="4"/>
      <c r="H18" s="4"/>
      <c r="I18" s="4"/>
      <c r="J18" s="4"/>
      <c r="K18" s="4"/>
      <c r="L18" s="4"/>
      <c r="M18" s="8"/>
      <c r="N18" s="8"/>
      <c r="O18" s="8"/>
      <c r="P18" s="8"/>
      <c r="Q18" s="8"/>
      <c r="R18" s="8"/>
    </row>
    <row r="19" spans="1:18">
      <c r="A19" s="3"/>
      <c r="B19" s="3"/>
      <c r="C19" s="3"/>
      <c r="D19" s="3"/>
      <c r="E19" s="3"/>
      <c r="F19" s="3"/>
      <c r="G19" s="4"/>
      <c r="H19" s="4"/>
      <c r="I19" s="4"/>
      <c r="J19" s="4"/>
      <c r="K19" s="4"/>
      <c r="L19" s="4"/>
    </row>
    <row r="20" spans="1:18">
      <c r="A20" s="7"/>
      <c r="B20" s="7"/>
      <c r="C20" s="7"/>
      <c r="D20" s="7"/>
      <c r="E20" s="7"/>
      <c r="F20" s="7"/>
      <c r="G20" s="7"/>
      <c r="H20" s="7"/>
      <c r="I20" s="7"/>
      <c r="J20" s="7"/>
      <c r="K20" s="7"/>
      <c r="L20" s="7"/>
      <c r="M20" s="7"/>
    </row>
    <row r="21" spans="1:18">
      <c r="A21" s="7" t="s">
        <v>1</v>
      </c>
      <c r="B21" s="7"/>
      <c r="C21" s="7"/>
      <c r="D21" s="7"/>
      <c r="E21" s="7"/>
      <c r="F21" s="7"/>
      <c r="G21" s="7"/>
      <c r="H21" s="7"/>
      <c r="I21" s="7"/>
      <c r="J21" s="7"/>
      <c r="K21" s="7"/>
      <c r="L21" s="7"/>
      <c r="M21" s="7"/>
      <c r="N21" s="8"/>
    </row>
    <row r="22" spans="1:18">
      <c r="A22" s="7"/>
      <c r="B22" s="7" t="s">
        <v>486</v>
      </c>
      <c r="C22" s="110">
        <f>SUMPRODUCT(C6:C15,D6:D15)</f>
        <v>8.7849999999999984</v>
      </c>
      <c r="D22" s="7"/>
      <c r="E22" s="7"/>
      <c r="F22" s="7"/>
      <c r="G22" s="7"/>
      <c r="H22" s="7"/>
      <c r="I22" s="7"/>
      <c r="J22" s="7"/>
      <c r="K22" s="7"/>
      <c r="L22" s="7"/>
      <c r="M22" s="7"/>
      <c r="N22" s="8"/>
    </row>
    <row r="23" spans="1:18">
      <c r="M23" s="8"/>
      <c r="N23" s="8"/>
    </row>
    <row r="24" spans="1:18">
      <c r="A24" s="3"/>
      <c r="B24" s="3"/>
      <c r="C24" s="3"/>
      <c r="D24" s="3"/>
      <c r="E24" s="3"/>
      <c r="F24" s="3"/>
      <c r="G24" s="4"/>
      <c r="H24" s="4"/>
      <c r="I24" s="4"/>
      <c r="J24" s="4"/>
      <c r="K24" s="4"/>
      <c r="L24" s="4"/>
      <c r="M24" s="8"/>
      <c r="N24" s="8"/>
    </row>
    <row r="25" spans="1:18">
      <c r="A25" s="14" t="s">
        <v>70</v>
      </c>
      <c r="B25" s="9"/>
      <c r="C25" s="9"/>
      <c r="D25" s="9"/>
      <c r="E25" s="9"/>
      <c r="F25" s="9"/>
      <c r="G25" s="4"/>
      <c r="H25" s="4"/>
      <c r="I25" s="4"/>
      <c r="J25" s="4"/>
      <c r="K25" s="4"/>
      <c r="L25" s="4"/>
      <c r="M25" s="8"/>
      <c r="N25" s="8"/>
    </row>
    <row r="26" spans="1:18">
      <c r="A26" s="9"/>
      <c r="B26" s="17" t="s">
        <v>310</v>
      </c>
      <c r="C26" s="9"/>
      <c r="D26" s="9"/>
      <c r="E26" s="22">
        <v>0.25</v>
      </c>
      <c r="F26" s="9"/>
      <c r="G26" s="4"/>
      <c r="H26" s="4"/>
      <c r="I26" s="4"/>
      <c r="J26" s="4"/>
      <c r="K26" s="4"/>
      <c r="L26" s="4"/>
      <c r="M26" s="8"/>
      <c r="N26" s="8"/>
    </row>
    <row r="27" spans="1:18">
      <c r="A27" s="9"/>
      <c r="B27" s="17" t="s">
        <v>311</v>
      </c>
      <c r="C27" s="9"/>
      <c r="D27" s="9"/>
      <c r="E27" s="81">
        <v>200000</v>
      </c>
      <c r="F27" s="9"/>
      <c r="G27" s="4"/>
      <c r="H27" s="4"/>
      <c r="I27" s="4"/>
      <c r="J27" s="4"/>
      <c r="K27" s="4"/>
      <c r="L27" s="4"/>
      <c r="M27" s="8"/>
      <c r="N27" s="8"/>
    </row>
    <row r="28" spans="1:18">
      <c r="A28" s="3"/>
      <c r="B28" s="3"/>
      <c r="C28" s="3"/>
      <c r="D28" s="3"/>
      <c r="E28" s="3"/>
      <c r="F28" s="3"/>
      <c r="G28" s="4"/>
      <c r="H28" s="4"/>
      <c r="I28" s="4"/>
      <c r="J28" s="4"/>
      <c r="K28" s="4"/>
      <c r="L28" s="4"/>
      <c r="M28" s="8"/>
      <c r="N28" s="8"/>
    </row>
    <row r="30" spans="1:18">
      <c r="A30" s="6" t="s">
        <v>5</v>
      </c>
      <c r="B30" s="299" t="s">
        <v>312</v>
      </c>
      <c r="C30" s="299"/>
      <c r="D30" s="299"/>
      <c r="E30" s="299"/>
      <c r="F30" s="299"/>
      <c r="G30" s="299"/>
      <c r="H30" s="299"/>
      <c r="I30" s="299"/>
      <c r="J30" s="299"/>
      <c r="K30" s="299"/>
      <c r="L30" s="4"/>
    </row>
    <row r="31" spans="1:18">
      <c r="A31" s="6"/>
      <c r="B31" s="299"/>
      <c r="C31" s="299"/>
      <c r="D31" s="299"/>
      <c r="E31" s="299"/>
      <c r="F31" s="299"/>
      <c r="G31" s="299"/>
      <c r="H31" s="299"/>
      <c r="I31" s="299"/>
      <c r="J31" s="299"/>
      <c r="K31" s="299"/>
      <c r="L31" s="4"/>
    </row>
    <row r="32" spans="1:18">
      <c r="A32" s="3"/>
      <c r="B32" s="3"/>
      <c r="C32" s="3"/>
      <c r="D32" s="3"/>
      <c r="E32" s="3"/>
      <c r="F32" s="3"/>
      <c r="G32" s="4"/>
      <c r="H32" s="4"/>
      <c r="I32" s="4"/>
      <c r="J32" s="4"/>
      <c r="K32" s="4"/>
      <c r="L32" s="4"/>
    </row>
    <row r="33" spans="1:13">
      <c r="A33" s="7"/>
      <c r="B33" s="7"/>
      <c r="C33" s="7"/>
      <c r="D33" s="7"/>
      <c r="E33" s="7"/>
      <c r="F33" s="7"/>
      <c r="G33" s="7"/>
      <c r="H33" s="7"/>
      <c r="I33" s="7"/>
      <c r="J33" s="7"/>
      <c r="K33" s="7"/>
      <c r="L33" s="7"/>
    </row>
    <row r="34" spans="1:13">
      <c r="A34" s="7" t="s">
        <v>1</v>
      </c>
      <c r="B34" s="7"/>
      <c r="C34" s="7"/>
      <c r="D34" s="7"/>
      <c r="E34" s="7"/>
      <c r="F34" s="7"/>
      <c r="G34" s="7"/>
      <c r="H34" s="7"/>
      <c r="I34" s="7"/>
      <c r="J34" s="7"/>
      <c r="K34" s="7"/>
      <c r="L34" s="7"/>
    </row>
    <row r="35" spans="1:13">
      <c r="A35" s="7"/>
      <c r="B35" s="115" t="s">
        <v>306</v>
      </c>
      <c r="C35" s="167" t="s">
        <v>495</v>
      </c>
      <c r="D35" s="168" t="s">
        <v>496</v>
      </c>
      <c r="E35" s="7"/>
      <c r="F35" s="7"/>
      <c r="G35" s="7"/>
      <c r="H35" s="7"/>
      <c r="I35" s="7"/>
      <c r="J35" s="7"/>
      <c r="K35" s="7"/>
      <c r="L35" s="7"/>
    </row>
    <row r="36" spans="1:13">
      <c r="A36" s="7"/>
      <c r="B36" s="164">
        <v>1</v>
      </c>
      <c r="C36" s="165">
        <f>C6*D6^2</f>
        <v>25</v>
      </c>
      <c r="D36" s="165">
        <f>C36-$C$22^2</f>
        <v>-52.176224999999974</v>
      </c>
      <c r="E36" s="7"/>
      <c r="F36" s="7"/>
      <c r="G36" s="7"/>
      <c r="H36" s="7"/>
      <c r="I36" s="7"/>
      <c r="J36" s="7"/>
      <c r="K36" s="7"/>
      <c r="L36" s="7"/>
    </row>
    <row r="37" spans="1:13">
      <c r="B37" s="164">
        <v>2</v>
      </c>
      <c r="C37" s="165">
        <f t="shared" ref="C37:C45" si="0">C7*D7^2</f>
        <v>20</v>
      </c>
      <c r="D37" s="165">
        <f t="shared" ref="D37:D45" si="1">C37-$C$22^2</f>
        <v>-57.176224999999974</v>
      </c>
      <c r="E37" s="7"/>
      <c r="M37" s="7"/>
    </row>
    <row r="38" spans="1:13">
      <c r="B38" s="164">
        <v>3</v>
      </c>
      <c r="C38" s="165">
        <f t="shared" si="0"/>
        <v>62.5</v>
      </c>
      <c r="D38" s="165">
        <f t="shared" si="1"/>
        <v>-14.676224999999974</v>
      </c>
      <c r="E38" s="7"/>
      <c r="M38" s="7"/>
    </row>
    <row r="39" spans="1:13">
      <c r="B39" s="164">
        <v>4</v>
      </c>
      <c r="C39" s="165">
        <f t="shared" si="0"/>
        <v>135</v>
      </c>
      <c r="D39" s="165">
        <f t="shared" si="1"/>
        <v>57.823775000000026</v>
      </c>
      <c r="E39" s="7"/>
      <c r="M39" s="7"/>
    </row>
    <row r="40" spans="1:13">
      <c r="B40" s="164">
        <v>5</v>
      </c>
      <c r="C40" s="165">
        <f t="shared" si="0"/>
        <v>0.5625</v>
      </c>
      <c r="D40" s="165">
        <f t="shared" si="1"/>
        <v>-76.613724999999974</v>
      </c>
      <c r="E40" s="7"/>
      <c r="M40" s="7"/>
    </row>
    <row r="41" spans="1:13">
      <c r="B41" s="164">
        <v>6</v>
      </c>
      <c r="C41" s="165">
        <f t="shared" si="0"/>
        <v>200</v>
      </c>
      <c r="D41" s="165">
        <f t="shared" si="1"/>
        <v>122.82377500000003</v>
      </c>
      <c r="E41" s="7"/>
      <c r="M41" s="7"/>
    </row>
    <row r="42" spans="1:13">
      <c r="B42" s="164">
        <v>7</v>
      </c>
      <c r="C42" s="165">
        <f t="shared" si="0"/>
        <v>227.81249999999997</v>
      </c>
      <c r="D42" s="165">
        <f t="shared" si="1"/>
        <v>150.63627500000001</v>
      </c>
      <c r="E42" s="7"/>
      <c r="M42" s="7"/>
    </row>
    <row r="43" spans="1:13">
      <c r="B43" s="164">
        <v>8</v>
      </c>
      <c r="C43" s="165">
        <f t="shared" si="0"/>
        <v>312.5</v>
      </c>
      <c r="D43" s="165">
        <f t="shared" si="1"/>
        <v>235.32377500000001</v>
      </c>
      <c r="E43" s="7"/>
      <c r="M43" s="7"/>
    </row>
    <row r="44" spans="1:13">
      <c r="B44" s="164">
        <v>9</v>
      </c>
      <c r="C44" s="165">
        <f t="shared" si="0"/>
        <v>440</v>
      </c>
      <c r="D44" s="165">
        <f t="shared" si="1"/>
        <v>362.82377500000001</v>
      </c>
      <c r="E44" s="7"/>
      <c r="M44" s="7"/>
    </row>
    <row r="45" spans="1:13">
      <c r="B45" s="169">
        <v>10</v>
      </c>
      <c r="C45" s="170">
        <f t="shared" si="0"/>
        <v>120</v>
      </c>
      <c r="D45" s="170">
        <f t="shared" si="1"/>
        <v>42.823775000000026</v>
      </c>
      <c r="E45" s="7"/>
      <c r="M45" s="7"/>
    </row>
    <row r="46" spans="1:13">
      <c r="B46" s="110" t="s">
        <v>83</v>
      </c>
      <c r="C46" s="165"/>
      <c r="D46" s="165">
        <f>SUM(D36:D45)</f>
        <v>771.61275000000023</v>
      </c>
      <c r="E46" s="7"/>
      <c r="M46" s="7"/>
    </row>
    <row r="47" spans="1:13">
      <c r="B47" s="7"/>
      <c r="C47" s="166" t="s">
        <v>487</v>
      </c>
      <c r="D47" s="165">
        <f>D46^0.5</f>
        <v>27.77791838853301</v>
      </c>
      <c r="E47" s="7"/>
    </row>
    <row r="48" spans="1:13">
      <c r="B48" s="7"/>
      <c r="C48" s="7"/>
      <c r="D48" s="7"/>
      <c r="E48" s="7"/>
    </row>
    <row r="49" spans="1:12">
      <c r="B49" s="1" t="s">
        <v>489</v>
      </c>
      <c r="E49" s="171">
        <f>(C22+D47)/(1-E26)-(C22+D47)</f>
        <v>12.187639462844338</v>
      </c>
    </row>
    <row r="50" spans="1:12">
      <c r="B50" s="1" t="s">
        <v>490</v>
      </c>
      <c r="E50" s="171">
        <f>C22+D47+E49</f>
        <v>48.750557851377344</v>
      </c>
    </row>
    <row r="51" spans="1:12">
      <c r="B51" s="1" t="s">
        <v>488</v>
      </c>
      <c r="E51" s="171">
        <f>E50*E27/1000</f>
        <v>9750.1115702754687</v>
      </c>
    </row>
    <row r="53" spans="1:12">
      <c r="A53" s="3"/>
      <c r="B53" s="3"/>
      <c r="C53" s="3"/>
      <c r="D53" s="3"/>
      <c r="E53" s="3"/>
      <c r="F53" s="3"/>
      <c r="G53" s="4"/>
      <c r="H53" s="4"/>
      <c r="I53" s="4"/>
      <c r="J53" s="4"/>
      <c r="K53" s="4"/>
      <c r="L53" s="4"/>
    </row>
    <row r="54" spans="1:12">
      <c r="A54" s="14" t="s">
        <v>313</v>
      </c>
      <c r="B54" s="3"/>
      <c r="C54" s="3"/>
      <c r="D54" s="3"/>
      <c r="E54" s="3"/>
      <c r="F54" s="3"/>
      <c r="G54" s="4"/>
      <c r="H54" s="4"/>
      <c r="I54" s="4"/>
      <c r="J54" s="4"/>
      <c r="K54" s="4"/>
      <c r="L54" s="4"/>
    </row>
    <row r="55" spans="1:12">
      <c r="A55" s="3"/>
      <c r="B55" s="3"/>
      <c r="C55" s="3"/>
      <c r="D55" s="3"/>
      <c r="E55" s="3"/>
      <c r="F55" s="3"/>
      <c r="G55" s="4"/>
      <c r="H55" s="4"/>
      <c r="I55" s="4"/>
      <c r="J55" s="4"/>
      <c r="K55" s="4"/>
      <c r="L55" s="4"/>
    </row>
    <row r="57" spans="1:12">
      <c r="A57" s="6" t="s">
        <v>0</v>
      </c>
      <c r="B57" s="9" t="s">
        <v>347</v>
      </c>
      <c r="C57" s="4"/>
      <c r="D57" s="4"/>
      <c r="E57" s="4"/>
      <c r="F57" s="4"/>
      <c r="G57" s="4"/>
      <c r="H57" s="4"/>
      <c r="I57" s="4"/>
      <c r="J57" s="4"/>
      <c r="K57" s="4"/>
      <c r="L57" s="4"/>
    </row>
    <row r="58" spans="1:12">
      <c r="A58" s="3"/>
      <c r="B58" s="3"/>
      <c r="C58" s="3"/>
      <c r="D58" s="3"/>
      <c r="E58" s="3"/>
      <c r="F58" s="3"/>
      <c r="G58" s="4"/>
      <c r="H58" s="4"/>
      <c r="I58" s="4"/>
      <c r="J58" s="4"/>
      <c r="K58" s="4"/>
      <c r="L58" s="4"/>
    </row>
    <row r="59" spans="1:12">
      <c r="A59" s="7"/>
      <c r="B59" s="7"/>
      <c r="C59" s="7"/>
      <c r="D59" s="7"/>
      <c r="E59" s="7"/>
      <c r="F59" s="7"/>
      <c r="G59" s="7"/>
      <c r="H59" s="7"/>
      <c r="I59" s="7"/>
      <c r="J59" s="7"/>
      <c r="K59" s="7"/>
      <c r="L59" s="7"/>
    </row>
    <row r="60" spans="1:12">
      <c r="A60" s="7" t="s">
        <v>1</v>
      </c>
      <c r="B60" s="7"/>
      <c r="C60" s="7"/>
      <c r="D60" s="7"/>
      <c r="E60" s="7"/>
      <c r="F60" s="7"/>
      <c r="G60" s="7"/>
      <c r="H60" s="7"/>
      <c r="I60" s="7"/>
      <c r="J60" s="7"/>
      <c r="K60" s="7"/>
      <c r="L60" s="7"/>
    </row>
    <row r="61" spans="1:12">
      <c r="A61" s="7"/>
      <c r="B61" s="7"/>
      <c r="C61" s="7"/>
      <c r="D61" s="7"/>
      <c r="E61" s="7"/>
      <c r="F61" s="7"/>
      <c r="G61" s="7"/>
      <c r="H61" s="7"/>
      <c r="I61" s="7"/>
      <c r="J61" s="7"/>
      <c r="K61" s="7"/>
      <c r="L61" s="7"/>
    </row>
    <row r="62" spans="1:12">
      <c r="A62" s="7" t="s">
        <v>491</v>
      </c>
      <c r="B62" s="7"/>
      <c r="C62" s="7"/>
      <c r="D62" s="7"/>
      <c r="E62" s="7"/>
      <c r="F62" s="7"/>
      <c r="G62" s="7"/>
      <c r="H62" s="7"/>
      <c r="I62" s="7"/>
      <c r="J62" s="7"/>
      <c r="K62" s="7"/>
      <c r="L62" s="7"/>
    </row>
    <row r="63" spans="1:12">
      <c r="A63" s="7" t="s">
        <v>492</v>
      </c>
    </row>
    <row r="65" spans="1:12">
      <c r="A65" s="3"/>
      <c r="B65" s="3"/>
      <c r="C65" s="3"/>
      <c r="D65" s="3"/>
      <c r="E65" s="3"/>
      <c r="F65" s="3"/>
      <c r="G65" s="4"/>
      <c r="H65" s="4"/>
      <c r="I65" s="4"/>
      <c r="J65" s="4"/>
      <c r="K65" s="4"/>
      <c r="L65" s="4"/>
    </row>
    <row r="66" spans="1:12">
      <c r="A66" s="14" t="s">
        <v>319</v>
      </c>
      <c r="B66" s="16"/>
      <c r="C66" s="16"/>
      <c r="D66" s="9"/>
      <c r="E66" s="9"/>
      <c r="F66" s="3"/>
      <c r="G66" s="4"/>
      <c r="H66" s="4"/>
      <c r="I66" s="4"/>
      <c r="J66" s="4"/>
      <c r="K66" s="4"/>
      <c r="L66" s="4"/>
    </row>
    <row r="67" spans="1:12">
      <c r="A67" s="14"/>
      <c r="B67" s="16"/>
      <c r="C67" s="16"/>
      <c r="D67" s="9"/>
      <c r="E67" s="9"/>
      <c r="F67" s="3"/>
      <c r="G67" s="4"/>
      <c r="H67" s="4"/>
      <c r="I67" s="4"/>
      <c r="J67" s="4"/>
      <c r="K67" s="4"/>
      <c r="L67" s="4"/>
    </row>
    <row r="68" spans="1:12">
      <c r="A68" s="9"/>
      <c r="B68" s="19" t="s">
        <v>314</v>
      </c>
      <c r="C68" s="30" t="s">
        <v>315</v>
      </c>
      <c r="D68" s="30" t="s">
        <v>316</v>
      </c>
      <c r="E68" s="4"/>
      <c r="F68" s="4"/>
      <c r="G68" s="4"/>
      <c r="H68" s="4"/>
      <c r="I68" s="4"/>
      <c r="J68" s="4"/>
      <c r="K68" s="4"/>
      <c r="L68" s="4"/>
    </row>
    <row r="69" spans="1:12">
      <c r="A69" s="9"/>
      <c r="B69" s="26" t="s">
        <v>317</v>
      </c>
      <c r="C69" s="82">
        <v>22.86</v>
      </c>
      <c r="D69" s="82">
        <v>2426.1</v>
      </c>
      <c r="E69" s="4"/>
      <c r="F69" s="4"/>
      <c r="G69" s="4"/>
      <c r="H69" s="4"/>
      <c r="I69" s="4"/>
      <c r="J69" s="4"/>
      <c r="K69" s="4"/>
      <c r="L69" s="4"/>
    </row>
    <row r="70" spans="1:12">
      <c r="A70" s="9"/>
      <c r="B70" s="26" t="s">
        <v>318</v>
      </c>
      <c r="C70" s="82">
        <v>26.16</v>
      </c>
      <c r="D70" s="82">
        <v>2025.55</v>
      </c>
      <c r="E70" s="4"/>
      <c r="F70" s="4"/>
      <c r="G70" s="4"/>
      <c r="H70" s="4"/>
      <c r="I70" s="4"/>
      <c r="J70" s="4"/>
      <c r="K70" s="4"/>
      <c r="L70" s="4"/>
    </row>
    <row r="71" spans="1:12">
      <c r="A71" s="3"/>
      <c r="B71" s="3"/>
      <c r="C71" s="3"/>
      <c r="D71" s="3"/>
      <c r="E71" s="3"/>
      <c r="F71" s="3"/>
      <c r="G71" s="4"/>
      <c r="H71" s="4"/>
      <c r="I71" s="4"/>
      <c r="J71" s="4"/>
      <c r="K71" s="4"/>
      <c r="L71" s="4"/>
    </row>
    <row r="73" spans="1:12">
      <c r="A73" s="6" t="s">
        <v>2</v>
      </c>
      <c r="B73" s="9" t="s">
        <v>320</v>
      </c>
      <c r="C73" s="4"/>
      <c r="D73" s="4"/>
      <c r="E73" s="4"/>
      <c r="F73" s="4"/>
      <c r="G73" s="4"/>
      <c r="H73" s="4"/>
      <c r="I73" s="4"/>
      <c r="J73" s="4"/>
      <c r="K73" s="4"/>
      <c r="L73" s="4"/>
    </row>
    <row r="74" spans="1:12">
      <c r="A74" s="3"/>
      <c r="B74" s="3"/>
      <c r="C74" s="3"/>
      <c r="D74" s="3"/>
      <c r="E74" s="3"/>
      <c r="F74" s="3"/>
      <c r="G74" s="4"/>
      <c r="H74" s="4"/>
      <c r="I74" s="4"/>
      <c r="J74" s="4"/>
      <c r="K74" s="4"/>
      <c r="L74" s="4"/>
    </row>
    <row r="75" spans="1:12">
      <c r="A75" s="7"/>
      <c r="B75" s="7"/>
      <c r="C75" s="7"/>
      <c r="D75" s="7"/>
      <c r="E75" s="7"/>
      <c r="F75" s="7"/>
      <c r="G75" s="7"/>
      <c r="H75" s="7"/>
      <c r="I75" s="7"/>
      <c r="J75" s="7"/>
      <c r="K75" s="7"/>
      <c r="L75" s="7"/>
    </row>
    <row r="76" spans="1:12">
      <c r="A76" s="7" t="s">
        <v>1</v>
      </c>
      <c r="B76" s="7"/>
      <c r="C76" s="7"/>
      <c r="D76" s="7"/>
      <c r="E76" s="7"/>
      <c r="F76" s="7"/>
      <c r="G76" s="7"/>
      <c r="H76" s="7"/>
      <c r="I76" s="7"/>
      <c r="J76" s="7"/>
      <c r="K76" s="7"/>
      <c r="L76" s="7"/>
    </row>
    <row r="77" spans="1:12">
      <c r="A77" s="7"/>
      <c r="B77" s="137" t="s">
        <v>314</v>
      </c>
      <c r="C77" s="172" t="s">
        <v>493</v>
      </c>
      <c r="E77" s="7"/>
      <c r="F77" s="7"/>
      <c r="G77" s="7"/>
      <c r="H77" s="7"/>
      <c r="I77" s="7"/>
      <c r="J77" s="7"/>
      <c r="K77" s="7"/>
      <c r="L77" s="7"/>
    </row>
    <row r="78" spans="1:12">
      <c r="A78" s="7"/>
      <c r="B78" s="130" t="s">
        <v>317</v>
      </c>
      <c r="C78" s="163">
        <f>D69/C69</f>
        <v>106.12860892388451</v>
      </c>
      <c r="D78" s="163"/>
      <c r="E78" s="7"/>
      <c r="F78" s="7"/>
      <c r="G78" s="7"/>
      <c r="H78" s="7"/>
      <c r="I78" s="7"/>
      <c r="J78" s="7"/>
      <c r="K78" s="7"/>
      <c r="L78" s="7"/>
    </row>
    <row r="79" spans="1:12">
      <c r="B79" s="130" t="s">
        <v>318</v>
      </c>
      <c r="C79" s="163">
        <f>D70/C70</f>
        <v>77.429281345565741</v>
      </c>
      <c r="D79" s="163">
        <f>C78/C79</f>
        <v>1.3706521238423239</v>
      </c>
    </row>
    <row r="81" spans="1:13">
      <c r="A81" s="1" t="s">
        <v>494</v>
      </c>
      <c r="M81" s="7"/>
    </row>
    <row r="82" spans="1:13">
      <c r="M82" s="7"/>
    </row>
  </sheetData>
  <mergeCells count="1">
    <mergeCell ref="B30:K3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77B55-8CD1-4FA5-B007-0964481BC3C4}">
  <dimension ref="A1:R39"/>
  <sheetViews>
    <sheetView zoomScaleNormal="100" workbookViewId="0"/>
  </sheetViews>
  <sheetFormatPr defaultColWidth="8.85546875" defaultRowHeight="15.75"/>
  <cols>
    <col min="1" max="1" width="8.85546875" style="1" customWidth="1"/>
    <col min="2" max="3" width="13.5703125" style="1" customWidth="1"/>
    <col min="4" max="4" width="12.7109375" style="1" customWidth="1"/>
    <col min="5" max="5" width="16.140625" style="1" customWidth="1"/>
    <col min="6" max="6" width="12.7109375" style="1" customWidth="1"/>
    <col min="7" max="7" width="8.85546875" style="1"/>
    <col min="8" max="8" width="8.85546875" style="1" customWidth="1"/>
    <col min="9" max="16384" width="8.85546875" style="1"/>
  </cols>
  <sheetData>
    <row r="1" spans="1:12" ht="18.75">
      <c r="A1" s="2" t="s">
        <v>36</v>
      </c>
      <c r="B1" s="4"/>
      <c r="C1" s="9" t="s">
        <v>13</v>
      </c>
      <c r="D1" s="4"/>
      <c r="E1" s="4"/>
      <c r="F1" s="4"/>
      <c r="G1" s="4"/>
      <c r="H1" s="4"/>
      <c r="I1" s="4"/>
      <c r="J1" s="4"/>
      <c r="K1" s="4"/>
      <c r="L1" s="3"/>
    </row>
    <row r="2" spans="1:12">
      <c r="A2" s="4"/>
      <c r="B2" s="4"/>
      <c r="C2" s="4"/>
      <c r="D2" s="4"/>
      <c r="E2" s="4"/>
      <c r="F2" s="4"/>
      <c r="G2" s="4"/>
      <c r="H2" s="4"/>
      <c r="I2" s="4"/>
      <c r="J2" s="4"/>
      <c r="K2" s="4"/>
      <c r="L2" s="3"/>
    </row>
    <row r="5" spans="1:12">
      <c r="A5" s="5" t="s">
        <v>10</v>
      </c>
      <c r="B5" s="3"/>
      <c r="C5" s="3"/>
      <c r="D5" s="3"/>
      <c r="E5" s="3"/>
      <c r="F5" s="3"/>
      <c r="G5" s="3"/>
      <c r="H5" s="3"/>
      <c r="I5" s="3"/>
      <c r="J5" s="3"/>
      <c r="K5" s="3"/>
      <c r="L5" s="3"/>
    </row>
    <row r="6" spans="1:12">
      <c r="A6" s="7"/>
      <c r="B6" s="7"/>
      <c r="C6" s="7"/>
      <c r="D6" s="7"/>
      <c r="E6" s="7"/>
      <c r="F6" s="7"/>
      <c r="G6" s="7"/>
      <c r="H6" s="7"/>
      <c r="I6" s="7"/>
      <c r="J6" s="7"/>
      <c r="K6" s="7"/>
      <c r="L6" s="7"/>
    </row>
    <row r="8" spans="1:12">
      <c r="A8" s="5" t="s">
        <v>37</v>
      </c>
      <c r="B8" s="3"/>
      <c r="C8" s="3"/>
      <c r="D8" s="3"/>
      <c r="E8" s="3"/>
      <c r="F8" s="3"/>
      <c r="G8" s="3"/>
      <c r="H8" s="3"/>
      <c r="I8" s="3"/>
      <c r="J8" s="3"/>
      <c r="K8" s="3"/>
      <c r="L8" s="3"/>
    </row>
    <row r="9" spans="1:12">
      <c r="A9" s="7"/>
      <c r="B9" s="7"/>
      <c r="C9" s="7"/>
      <c r="D9" s="7"/>
      <c r="E9" s="7"/>
      <c r="F9" s="7"/>
      <c r="G9" s="7"/>
      <c r="H9" s="7"/>
      <c r="I9" s="7"/>
      <c r="J9" s="7"/>
      <c r="K9" s="7"/>
      <c r="L9" s="7"/>
    </row>
    <row r="10" spans="1:12">
      <c r="A10" s="7"/>
      <c r="B10" s="7"/>
      <c r="C10" s="7"/>
      <c r="D10" s="7"/>
      <c r="E10" s="7"/>
      <c r="F10" s="7"/>
      <c r="G10" s="7"/>
      <c r="H10" s="7"/>
      <c r="I10" s="7"/>
      <c r="J10" s="7"/>
      <c r="K10" s="7"/>
      <c r="L10" s="7"/>
    </row>
    <row r="11" spans="1:12">
      <c r="A11" s="4"/>
      <c r="B11" s="4"/>
      <c r="C11" s="4"/>
      <c r="D11" s="4"/>
      <c r="E11" s="4"/>
      <c r="F11" s="4"/>
      <c r="G11" s="4"/>
      <c r="H11" s="9"/>
      <c r="I11" s="9"/>
      <c r="J11" s="9"/>
      <c r="K11" s="9"/>
      <c r="L11" s="9"/>
    </row>
    <row r="12" spans="1:12">
      <c r="A12" s="303" t="s">
        <v>38</v>
      </c>
      <c r="B12" s="303"/>
      <c r="C12" s="303"/>
      <c r="D12" s="303"/>
      <c r="E12" s="303"/>
      <c r="F12" s="303"/>
      <c r="G12" s="303"/>
      <c r="H12" s="303"/>
      <c r="I12" s="303"/>
      <c r="J12" s="303"/>
      <c r="K12" s="303"/>
      <c r="L12" s="9"/>
    </row>
    <row r="13" spans="1:12">
      <c r="A13" s="303"/>
      <c r="B13" s="303"/>
      <c r="C13" s="303"/>
      <c r="D13" s="303"/>
      <c r="E13" s="303"/>
      <c r="F13" s="303"/>
      <c r="G13" s="303"/>
      <c r="H13" s="303"/>
      <c r="I13" s="303"/>
      <c r="J13" s="303"/>
      <c r="K13" s="303"/>
      <c r="L13" s="9"/>
    </row>
    <row r="14" spans="1:12">
      <c r="A14" s="14"/>
      <c r="B14" s="16"/>
      <c r="C14" s="9"/>
      <c r="D14" s="9"/>
      <c r="E14" s="9"/>
      <c r="F14" s="9"/>
      <c r="G14" s="9"/>
      <c r="H14" s="9"/>
      <c r="I14" s="9"/>
      <c r="J14" s="9"/>
      <c r="K14" s="9"/>
      <c r="L14" s="9"/>
    </row>
    <row r="15" spans="1:12">
      <c r="A15" s="14" t="s">
        <v>39</v>
      </c>
      <c r="B15" s="16"/>
      <c r="C15" s="9"/>
      <c r="D15" s="9"/>
      <c r="E15" s="9"/>
      <c r="F15" s="9"/>
      <c r="G15" s="9"/>
      <c r="H15" s="9"/>
      <c r="I15" s="9"/>
      <c r="J15" s="9"/>
      <c r="K15" s="9"/>
      <c r="L15" s="9"/>
    </row>
    <row r="16" spans="1:12">
      <c r="A16" s="14"/>
      <c r="B16" s="16"/>
      <c r="C16" s="9"/>
      <c r="D16" s="9"/>
      <c r="E16" s="9"/>
      <c r="F16" s="9"/>
      <c r="G16" s="9"/>
      <c r="H16" s="9"/>
      <c r="I16" s="9"/>
      <c r="J16" s="9"/>
      <c r="K16" s="9"/>
      <c r="L16" s="9"/>
    </row>
    <row r="17" spans="1:18">
      <c r="A17" s="9"/>
      <c r="B17" s="24" t="s">
        <v>40</v>
      </c>
      <c r="C17" s="24" t="s">
        <v>42</v>
      </c>
      <c r="D17" s="9"/>
      <c r="E17" s="9"/>
      <c r="F17" s="9"/>
      <c r="G17" s="9"/>
      <c r="H17" s="9"/>
      <c r="I17" s="9"/>
      <c r="J17" s="9"/>
      <c r="K17" s="9"/>
      <c r="L17" s="9"/>
    </row>
    <row r="18" spans="1:18">
      <c r="A18" s="9"/>
      <c r="B18" s="25" t="s">
        <v>41</v>
      </c>
      <c r="C18" s="25" t="s">
        <v>43</v>
      </c>
      <c r="D18" s="9"/>
      <c r="E18" s="9"/>
      <c r="F18" s="9"/>
      <c r="G18" s="9"/>
      <c r="H18" s="9"/>
      <c r="I18" s="9"/>
      <c r="J18" s="9"/>
      <c r="K18" s="9"/>
      <c r="L18" s="9"/>
    </row>
    <row r="19" spans="1:18">
      <c r="A19" s="9"/>
      <c r="B19" s="26">
        <v>1</v>
      </c>
      <c r="C19" s="27">
        <v>5500000</v>
      </c>
      <c r="D19" s="9"/>
      <c r="E19" s="9"/>
      <c r="F19" s="9"/>
      <c r="G19" s="9"/>
      <c r="H19" s="9"/>
      <c r="I19" s="9"/>
      <c r="J19" s="9"/>
      <c r="K19" s="9"/>
      <c r="L19" s="9"/>
    </row>
    <row r="20" spans="1:18">
      <c r="A20" s="9"/>
      <c r="B20" s="26">
        <v>2</v>
      </c>
      <c r="C20" s="27">
        <v>2000000</v>
      </c>
      <c r="D20" s="9"/>
      <c r="E20" s="9"/>
      <c r="F20" s="9"/>
      <c r="G20" s="9"/>
      <c r="H20" s="9"/>
      <c r="I20" s="9"/>
      <c r="J20" s="9"/>
      <c r="K20" s="9"/>
      <c r="L20" s="9"/>
    </row>
    <row r="21" spans="1:18">
      <c r="A21" s="9"/>
      <c r="B21" s="26">
        <v>3</v>
      </c>
      <c r="C21" s="27">
        <v>4500000</v>
      </c>
      <c r="D21" s="9"/>
      <c r="E21" s="9"/>
      <c r="F21" s="9"/>
      <c r="G21" s="9"/>
      <c r="H21" s="9"/>
      <c r="I21" s="9"/>
      <c r="J21" s="9"/>
      <c r="K21" s="9"/>
      <c r="L21" s="9"/>
    </row>
    <row r="22" spans="1:18">
      <c r="A22" s="9"/>
      <c r="B22" s="26">
        <v>4</v>
      </c>
      <c r="C22" s="27">
        <v>7000000</v>
      </c>
      <c r="D22" s="9"/>
      <c r="E22" s="9"/>
      <c r="F22" s="9"/>
      <c r="G22" s="9"/>
      <c r="H22" s="9"/>
      <c r="I22" s="9"/>
      <c r="J22" s="9"/>
      <c r="K22" s="9"/>
      <c r="L22" s="9"/>
    </row>
    <row r="23" spans="1:18">
      <c r="A23" s="9"/>
      <c r="B23" s="26">
        <v>5</v>
      </c>
      <c r="C23" s="27">
        <v>4000000</v>
      </c>
      <c r="D23" s="9"/>
      <c r="E23" s="9"/>
      <c r="F23" s="9"/>
      <c r="G23" s="9"/>
      <c r="H23" s="9"/>
      <c r="I23" s="9"/>
      <c r="J23" s="9"/>
      <c r="K23" s="9"/>
      <c r="L23" s="9"/>
    </row>
    <row r="24" spans="1:18">
      <c r="A24" s="9"/>
      <c r="B24" s="9"/>
      <c r="C24" s="9"/>
      <c r="D24" s="9"/>
      <c r="E24" s="9"/>
      <c r="F24" s="9"/>
      <c r="G24" s="9"/>
      <c r="H24" s="9"/>
      <c r="I24" s="9"/>
      <c r="J24" s="9"/>
      <c r="K24" s="9"/>
      <c r="L24" s="9"/>
    </row>
    <row r="25" spans="1:18">
      <c r="A25" s="7"/>
      <c r="B25" s="7"/>
      <c r="C25" s="7"/>
      <c r="D25" s="7"/>
      <c r="E25" s="7"/>
      <c r="F25" s="7"/>
      <c r="G25" s="7"/>
      <c r="H25" s="7"/>
      <c r="I25" s="7"/>
      <c r="J25" s="7"/>
      <c r="K25" s="7"/>
      <c r="L25" s="7"/>
    </row>
    <row r="26" spans="1:18">
      <c r="A26" s="6" t="s">
        <v>0</v>
      </c>
      <c r="B26" s="9" t="s">
        <v>44</v>
      </c>
      <c r="C26" s="4"/>
      <c r="D26" s="4"/>
      <c r="E26" s="4"/>
      <c r="F26" s="4"/>
      <c r="G26" s="4"/>
      <c r="H26" s="4"/>
      <c r="I26" s="4"/>
      <c r="J26" s="4"/>
      <c r="K26" s="4"/>
      <c r="L26" s="4"/>
      <c r="M26" s="8"/>
      <c r="N26" s="8"/>
      <c r="O26" s="8"/>
      <c r="P26" s="8"/>
      <c r="Q26" s="8"/>
      <c r="R26" s="8"/>
    </row>
    <row r="27" spans="1:18">
      <c r="A27" s="3"/>
      <c r="B27" s="3"/>
      <c r="C27" s="3"/>
      <c r="D27" s="3"/>
      <c r="E27" s="3"/>
      <c r="F27" s="3"/>
      <c r="G27" s="4"/>
      <c r="H27" s="4"/>
      <c r="I27" s="4"/>
      <c r="J27" s="4"/>
      <c r="K27" s="4"/>
      <c r="L27" s="4"/>
    </row>
    <row r="28" spans="1:18">
      <c r="A28" s="7"/>
      <c r="B28" s="7"/>
      <c r="C28" s="7"/>
      <c r="D28" s="7"/>
      <c r="E28" s="7"/>
      <c r="F28" s="7"/>
      <c r="G28" s="7"/>
      <c r="H28" s="7"/>
      <c r="I28" s="7"/>
      <c r="J28" s="7"/>
      <c r="K28" s="7"/>
      <c r="L28" s="7"/>
      <c r="M28" s="7"/>
    </row>
    <row r="29" spans="1:18">
      <c r="A29" s="7" t="s">
        <v>1</v>
      </c>
      <c r="B29" s="7"/>
      <c r="C29" s="7"/>
      <c r="D29" s="7"/>
      <c r="E29" s="7"/>
      <c r="F29" s="7"/>
      <c r="G29" s="7"/>
      <c r="H29" s="7"/>
      <c r="I29" s="7"/>
      <c r="J29" s="7"/>
      <c r="K29" s="7"/>
      <c r="L29" s="7"/>
      <c r="M29" s="7"/>
      <c r="N29" s="8"/>
    </row>
    <row r="30" spans="1:18">
      <c r="A30" s="7"/>
      <c r="B30" s="7"/>
      <c r="C30" s="7" t="s">
        <v>541</v>
      </c>
      <c r="D30" s="187">
        <v>5000000</v>
      </c>
      <c r="E30" s="7"/>
      <c r="F30" s="188"/>
      <c r="G30" s="7"/>
      <c r="H30" s="7"/>
      <c r="I30" s="7"/>
      <c r="J30" s="7"/>
      <c r="K30" s="7"/>
      <c r="L30" s="7"/>
      <c r="M30" s="7"/>
      <c r="N30" s="8"/>
    </row>
    <row r="31" spans="1:18">
      <c r="A31" s="7"/>
      <c r="B31" s="7"/>
      <c r="C31" s="7" t="s">
        <v>49</v>
      </c>
      <c r="D31" s="187">
        <v>3000000</v>
      </c>
      <c r="E31" s="7"/>
      <c r="F31" s="188"/>
      <c r="G31" s="7"/>
      <c r="H31" s="7"/>
      <c r="I31" s="7"/>
      <c r="J31" s="7"/>
      <c r="K31" s="7"/>
      <c r="L31" s="7"/>
      <c r="M31" s="7"/>
      <c r="N31" s="8"/>
    </row>
    <row r="32" spans="1:18">
      <c r="B32" s="7"/>
      <c r="C32" s="7" t="s">
        <v>542</v>
      </c>
      <c r="D32" s="187">
        <v>10000000</v>
      </c>
      <c r="E32" s="7"/>
      <c r="F32" s="188"/>
      <c r="G32" s="7"/>
      <c r="M32" s="8"/>
      <c r="N32" s="8"/>
    </row>
    <row r="33" spans="2:14">
      <c r="B33" s="7"/>
      <c r="C33" s="7"/>
      <c r="D33" s="7"/>
      <c r="E33" s="7"/>
      <c r="F33" s="188"/>
      <c r="G33" s="7"/>
      <c r="M33" s="8"/>
      <c r="N33" s="8"/>
    </row>
    <row r="34" spans="2:14" ht="47.25">
      <c r="B34" s="115" t="s">
        <v>543</v>
      </c>
      <c r="C34" s="115" t="s">
        <v>544</v>
      </c>
      <c r="D34" s="115" t="s">
        <v>545</v>
      </c>
      <c r="E34" s="115" t="s">
        <v>546</v>
      </c>
      <c r="F34" s="115" t="s">
        <v>547</v>
      </c>
      <c r="G34" s="7"/>
      <c r="M34" s="8"/>
      <c r="N34" s="8"/>
    </row>
    <row r="35" spans="2:14">
      <c r="B35" s="110">
        <v>1</v>
      </c>
      <c r="C35" s="189">
        <f>C19</f>
        <v>5500000</v>
      </c>
      <c r="D35" s="187">
        <f>IF(C35&lt;=$D$31,C35,IF(C35&gt;($D$30+$D$31),(C35-$D$30),$D$31))</f>
        <v>3000000</v>
      </c>
      <c r="E35" s="187">
        <f>D35</f>
        <v>3000000</v>
      </c>
      <c r="F35" s="112">
        <f>C35-E35</f>
        <v>2500000</v>
      </c>
      <c r="G35" s="7"/>
      <c r="M35" s="8"/>
      <c r="N35" s="8"/>
    </row>
    <row r="36" spans="2:14">
      <c r="B36" s="110">
        <v>2</v>
      </c>
      <c r="C36" s="189">
        <f t="shared" ref="C36:C39" si="0">C20</f>
        <v>2000000</v>
      </c>
      <c r="D36" s="187">
        <f>IF(C36&lt;=$D$31,C36,IF(C36&gt;($D$30+$D$31),(C36-$D$30),$D$31))</f>
        <v>2000000</v>
      </c>
      <c r="E36" s="187">
        <f>MIN((MAX(0,$D$32-SUM(D$35:D35))),D36)</f>
        <v>2000000</v>
      </c>
      <c r="F36" s="112">
        <f t="shared" ref="F36:F39" si="1">C36-E36</f>
        <v>0</v>
      </c>
      <c r="G36" s="7"/>
      <c r="M36" s="8"/>
      <c r="N36" s="8"/>
    </row>
    <row r="37" spans="2:14">
      <c r="B37" s="110">
        <v>3</v>
      </c>
      <c r="C37" s="189">
        <f t="shared" si="0"/>
        <v>4500000</v>
      </c>
      <c r="D37" s="187">
        <f>IF(C37&lt;=$D$31,C37,IF(C37&gt;($D$30+$D$31),(C37-$D$30),$D$31))</f>
        <v>3000000</v>
      </c>
      <c r="E37" s="187">
        <f>MIN((MAX(0,$D$32-SUM(D$35:D36))),D37)</f>
        <v>3000000</v>
      </c>
      <c r="F37" s="112">
        <f t="shared" si="1"/>
        <v>1500000</v>
      </c>
      <c r="G37" s="7"/>
      <c r="M37" s="8"/>
      <c r="N37" s="8"/>
    </row>
    <row r="38" spans="2:14">
      <c r="B38" s="110">
        <v>4</v>
      </c>
      <c r="C38" s="189">
        <f t="shared" si="0"/>
        <v>7000000</v>
      </c>
      <c r="D38" s="187">
        <f>IF(C38&lt;=$D$31,C38,IF(C38&gt;($D$30+$D$31),(C38-$D$30),$D$31))</f>
        <v>3000000</v>
      </c>
      <c r="E38" s="187">
        <f>MIN((MAX(0,$D$32-SUM(D$35:D37))),D38)</f>
        <v>2000000</v>
      </c>
      <c r="F38" s="112">
        <f t="shared" si="1"/>
        <v>5000000</v>
      </c>
      <c r="G38" s="7"/>
      <c r="M38" s="8"/>
      <c r="N38" s="8"/>
    </row>
    <row r="39" spans="2:14">
      <c r="B39" s="110">
        <v>5</v>
      </c>
      <c r="C39" s="189">
        <f t="shared" si="0"/>
        <v>4000000</v>
      </c>
      <c r="D39" s="187">
        <f>IF(C39&lt;=$D$31,C39,IF(C39&gt;($D$30+$D$31),(C39-$D$30),$D$31))</f>
        <v>3000000</v>
      </c>
      <c r="E39" s="187">
        <f>MIN((MAX(0,$D$32-SUM(D$35:D38))),D39)</f>
        <v>0</v>
      </c>
      <c r="F39" s="112">
        <f t="shared" si="1"/>
        <v>4000000</v>
      </c>
      <c r="G39" s="7"/>
      <c r="M39" s="8"/>
      <c r="N39" s="8"/>
    </row>
  </sheetData>
  <mergeCells count="1">
    <mergeCell ref="A12:K1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B6B6-E9C7-4816-AA82-FC8D25AC434D}">
  <dimension ref="A1:R71"/>
  <sheetViews>
    <sheetView zoomScaleNormal="100" workbookViewId="0"/>
  </sheetViews>
  <sheetFormatPr defaultColWidth="8.85546875" defaultRowHeight="15.75"/>
  <cols>
    <col min="1" max="1" width="12.140625" style="1" customWidth="1"/>
    <col min="2" max="2" width="15.7109375" style="1" customWidth="1"/>
    <col min="3" max="3" width="17.28515625" style="1" customWidth="1"/>
    <col min="4" max="8" width="11.7109375" style="1" customWidth="1"/>
    <col min="9" max="16384" width="8.85546875" style="1"/>
  </cols>
  <sheetData>
    <row r="1" spans="1:12" ht="18.75">
      <c r="A1" s="2" t="s">
        <v>45</v>
      </c>
      <c r="B1" s="4"/>
      <c r="C1" s="9" t="s">
        <v>11</v>
      </c>
      <c r="D1" s="4"/>
      <c r="E1" s="4"/>
      <c r="F1" s="4"/>
      <c r="G1" s="4"/>
      <c r="H1" s="4"/>
      <c r="I1" s="4"/>
      <c r="J1" s="4"/>
      <c r="K1" s="4"/>
      <c r="L1" s="3"/>
    </row>
    <row r="2" spans="1:12">
      <c r="A2" s="4"/>
      <c r="B2" s="4"/>
      <c r="C2" s="4"/>
      <c r="D2" s="4"/>
      <c r="E2" s="4"/>
      <c r="F2" s="4"/>
      <c r="G2" s="4"/>
      <c r="H2" s="4"/>
      <c r="I2" s="4"/>
      <c r="J2" s="4"/>
      <c r="K2" s="4"/>
      <c r="L2" s="3"/>
    </row>
    <row r="3" spans="1:12">
      <c r="A3" s="311" t="s">
        <v>46</v>
      </c>
      <c r="B3" s="311"/>
      <c r="C3" s="311"/>
      <c r="D3" s="311"/>
      <c r="E3" s="311"/>
      <c r="F3" s="311"/>
      <c r="G3" s="311"/>
      <c r="H3" s="311"/>
      <c r="I3" s="311"/>
      <c r="J3" s="311"/>
      <c r="K3" s="311"/>
      <c r="L3" s="3"/>
    </row>
    <row r="4" spans="1:12">
      <c r="A4" s="311"/>
      <c r="B4" s="311"/>
      <c r="C4" s="311"/>
      <c r="D4" s="311"/>
      <c r="E4" s="311"/>
      <c r="F4" s="311"/>
      <c r="G4" s="311"/>
      <c r="H4" s="311"/>
      <c r="I4" s="311"/>
      <c r="J4" s="311"/>
      <c r="K4" s="311"/>
      <c r="L4" s="9"/>
    </row>
    <row r="5" spans="1:12">
      <c r="A5" s="15"/>
      <c r="B5" s="16"/>
      <c r="C5" s="16"/>
      <c r="D5" s="16"/>
      <c r="E5" s="16"/>
      <c r="F5" s="16"/>
      <c r="G5" s="16"/>
      <c r="H5" s="9"/>
      <c r="I5" s="9"/>
      <c r="J5" s="9"/>
      <c r="K5" s="9"/>
      <c r="L5" s="9"/>
    </row>
    <row r="6" spans="1:12" ht="15.6" customHeight="1">
      <c r="A6" s="9"/>
      <c r="B6" s="304" t="s">
        <v>47</v>
      </c>
      <c r="C6" s="305"/>
      <c r="D6" s="305"/>
      <c r="E6" s="305"/>
      <c r="F6" s="305"/>
      <c r="G6" s="306"/>
      <c r="H6" s="16"/>
      <c r="I6" s="9"/>
      <c r="J6" s="9"/>
      <c r="K6" s="9"/>
      <c r="L6" s="9"/>
    </row>
    <row r="7" spans="1:12">
      <c r="A7" s="9"/>
      <c r="B7" s="307" t="s">
        <v>48</v>
      </c>
      <c r="C7" s="308"/>
      <c r="D7" s="308"/>
      <c r="E7" s="308"/>
      <c r="F7" s="308"/>
      <c r="G7" s="309"/>
      <c r="H7" s="16"/>
      <c r="I7" s="9"/>
      <c r="J7" s="9"/>
      <c r="K7" s="9"/>
      <c r="L7" s="9"/>
    </row>
    <row r="8" spans="1:12">
      <c r="A8" s="9"/>
      <c r="B8" s="25" t="s">
        <v>49</v>
      </c>
      <c r="C8" s="29">
        <v>44919</v>
      </c>
      <c r="D8" s="25" t="s">
        <v>50</v>
      </c>
      <c r="E8" s="25" t="s">
        <v>51</v>
      </c>
      <c r="F8" s="25" t="s">
        <v>52</v>
      </c>
      <c r="G8" s="25" t="s">
        <v>53</v>
      </c>
      <c r="H8" s="16"/>
      <c r="I8" s="9"/>
      <c r="J8" s="9"/>
      <c r="K8" s="9"/>
      <c r="L8" s="9"/>
    </row>
    <row r="9" spans="1:12">
      <c r="A9" s="9"/>
      <c r="B9" s="27">
        <v>2000000</v>
      </c>
      <c r="C9" s="31">
        <v>1.7350000000000001</v>
      </c>
      <c r="D9" s="31">
        <v>1.1579999999999999</v>
      </c>
      <c r="E9" s="31">
        <v>1.1120000000000001</v>
      </c>
      <c r="F9" s="31">
        <v>1.0629999999999999</v>
      </c>
      <c r="G9" s="31">
        <v>1.0449999999999999</v>
      </c>
      <c r="H9" s="16"/>
      <c r="I9" s="9"/>
      <c r="J9" s="9"/>
      <c r="K9" s="9"/>
      <c r="L9" s="9"/>
    </row>
    <row r="10" spans="1:12">
      <c r="A10" s="9"/>
      <c r="B10" s="27">
        <v>1000000</v>
      </c>
      <c r="C10" s="31">
        <v>1.728</v>
      </c>
      <c r="D10" s="31">
        <v>1.153</v>
      </c>
      <c r="E10" s="31">
        <v>1.0900000000000001</v>
      </c>
      <c r="F10" s="31">
        <v>1.0489999999999999</v>
      </c>
      <c r="G10" s="31">
        <v>1.034</v>
      </c>
      <c r="H10" s="16"/>
      <c r="I10" s="9"/>
      <c r="J10" s="9"/>
      <c r="K10" s="9"/>
      <c r="L10" s="9"/>
    </row>
    <row r="11" spans="1:12">
      <c r="A11" s="9"/>
      <c r="B11" s="27">
        <v>500000</v>
      </c>
      <c r="C11" s="31">
        <v>1.716</v>
      </c>
      <c r="D11" s="31">
        <v>1.149</v>
      </c>
      <c r="E11" s="31">
        <v>1.0860000000000001</v>
      </c>
      <c r="F11" s="31">
        <v>1.0409999999999999</v>
      </c>
      <c r="G11" s="31">
        <v>1.0309999999999999</v>
      </c>
      <c r="H11" s="16"/>
      <c r="I11" s="9"/>
      <c r="J11" s="9"/>
      <c r="K11" s="9"/>
      <c r="L11" s="9"/>
    </row>
    <row r="12" spans="1:12">
      <c r="A12" s="9"/>
      <c r="B12" s="15"/>
      <c r="C12" s="16"/>
      <c r="D12" s="16"/>
      <c r="E12" s="16"/>
      <c r="F12" s="16"/>
      <c r="G12" s="16"/>
      <c r="H12" s="16"/>
      <c r="I12" s="9"/>
      <c r="J12" s="9"/>
      <c r="K12" s="9"/>
      <c r="L12" s="9"/>
    </row>
    <row r="13" spans="1:12" ht="18.600000000000001" customHeight="1">
      <c r="A13" s="9"/>
      <c r="B13" s="310" t="s">
        <v>55</v>
      </c>
      <c r="C13" s="310"/>
      <c r="D13" s="310"/>
      <c r="E13" s="310"/>
      <c r="F13" s="310"/>
      <c r="G13" s="310"/>
      <c r="H13" s="310"/>
      <c r="I13" s="9"/>
      <c r="J13" s="9"/>
      <c r="K13" s="9"/>
      <c r="L13" s="9"/>
    </row>
    <row r="14" spans="1:12">
      <c r="A14" s="9"/>
      <c r="B14" s="19" t="s">
        <v>49</v>
      </c>
      <c r="C14" s="19">
        <v>12</v>
      </c>
      <c r="D14" s="19">
        <v>24</v>
      </c>
      <c r="E14" s="19">
        <v>36</v>
      </c>
      <c r="F14" s="19">
        <v>48</v>
      </c>
      <c r="G14" s="19">
        <v>60</v>
      </c>
      <c r="H14" s="19">
        <v>72</v>
      </c>
      <c r="I14" s="9"/>
      <c r="J14" s="9"/>
      <c r="K14" s="9"/>
      <c r="L14" s="9"/>
    </row>
    <row r="15" spans="1:12">
      <c r="A15" s="9"/>
      <c r="B15" s="27">
        <v>1000000</v>
      </c>
      <c r="C15" s="31">
        <v>0.95199999999999996</v>
      </c>
      <c r="D15" s="31">
        <v>0.94799999999999995</v>
      </c>
      <c r="E15" s="31">
        <v>0.94499999999999995</v>
      </c>
      <c r="F15" s="31">
        <v>0.94199999999999995</v>
      </c>
      <c r="G15" s="31">
        <v>0.88400000000000001</v>
      </c>
      <c r="H15" s="31">
        <v>0.85</v>
      </c>
      <c r="I15" s="9"/>
      <c r="J15" s="9"/>
      <c r="K15" s="9"/>
      <c r="L15" s="9"/>
    </row>
    <row r="16" spans="1:12">
      <c r="A16" s="9"/>
      <c r="B16" s="27">
        <v>500000</v>
      </c>
      <c r="C16" s="31">
        <v>0.89500000000000002</v>
      </c>
      <c r="D16" s="31">
        <v>0.89</v>
      </c>
      <c r="E16" s="31">
        <v>0.88600000000000001</v>
      </c>
      <c r="F16" s="31">
        <v>0.88</v>
      </c>
      <c r="G16" s="31">
        <v>0.81</v>
      </c>
      <c r="H16" s="31">
        <v>0.76500000000000001</v>
      </c>
      <c r="I16" s="9"/>
      <c r="J16" s="9"/>
      <c r="K16" s="9"/>
      <c r="L16" s="9"/>
    </row>
    <row r="17" spans="1:12">
      <c r="A17" s="9"/>
      <c r="B17" s="14"/>
      <c r="C17" s="16"/>
      <c r="D17" s="16"/>
      <c r="E17" s="16"/>
      <c r="F17" s="16"/>
      <c r="G17" s="16"/>
      <c r="H17" s="16"/>
      <c r="I17" s="9"/>
      <c r="J17" s="9"/>
      <c r="K17" s="9"/>
      <c r="L17" s="9"/>
    </row>
    <row r="18" spans="1:12" ht="78.75">
      <c r="A18" s="9"/>
      <c r="B18" s="30"/>
      <c r="C18" s="19" t="s">
        <v>356</v>
      </c>
      <c r="D18" s="16"/>
      <c r="E18" s="16"/>
      <c r="F18" s="16"/>
      <c r="G18" s="16"/>
      <c r="H18" s="16"/>
      <c r="I18" s="9"/>
      <c r="J18" s="9"/>
      <c r="K18" s="9"/>
      <c r="L18" s="9"/>
    </row>
    <row r="19" spans="1:12">
      <c r="A19" s="9"/>
      <c r="B19" s="27">
        <v>2000000</v>
      </c>
      <c r="C19" s="27">
        <v>4912320</v>
      </c>
      <c r="D19" s="16"/>
      <c r="E19" s="16"/>
      <c r="F19" s="16"/>
      <c r="G19" s="16"/>
      <c r="H19" s="16"/>
      <c r="I19" s="9"/>
      <c r="J19" s="9"/>
      <c r="K19" s="9"/>
      <c r="L19" s="9"/>
    </row>
    <row r="20" spans="1:12">
      <c r="A20" s="9"/>
      <c r="B20" s="27">
        <v>1000000</v>
      </c>
      <c r="C20" s="27">
        <v>4614775</v>
      </c>
      <c r="D20" s="16"/>
      <c r="E20" s="16"/>
      <c r="F20" s="16"/>
      <c r="G20" s="16"/>
      <c r="H20" s="16"/>
      <c r="I20" s="9"/>
      <c r="J20" s="9"/>
      <c r="K20" s="9"/>
      <c r="L20" s="9"/>
    </row>
    <row r="21" spans="1:12">
      <c r="A21" s="9"/>
      <c r="B21" s="27">
        <v>500000</v>
      </c>
      <c r="C21" s="27">
        <v>4520083</v>
      </c>
      <c r="D21" s="16"/>
      <c r="E21" s="16"/>
      <c r="F21" s="16"/>
      <c r="G21" s="16"/>
      <c r="H21" s="16"/>
      <c r="I21" s="9"/>
      <c r="J21" s="9"/>
      <c r="K21" s="9"/>
      <c r="L21" s="9"/>
    </row>
    <row r="22" spans="1:12">
      <c r="A22" s="9"/>
      <c r="B22" s="14" t="s">
        <v>54</v>
      </c>
      <c r="C22" s="16"/>
      <c r="D22" s="16"/>
      <c r="E22" s="16"/>
      <c r="F22" s="16"/>
      <c r="G22" s="16"/>
      <c r="H22" s="16"/>
      <c r="I22" s="9"/>
      <c r="J22" s="9"/>
      <c r="K22" s="9"/>
      <c r="L22" s="9"/>
    </row>
    <row r="23" spans="1:12" ht="47.25">
      <c r="A23" s="9"/>
      <c r="B23" s="30" t="s">
        <v>49</v>
      </c>
      <c r="C23" s="19" t="s">
        <v>334</v>
      </c>
      <c r="D23" s="16"/>
      <c r="E23" s="16"/>
      <c r="F23" s="16"/>
      <c r="G23" s="16"/>
      <c r="H23" s="16"/>
      <c r="I23" s="9"/>
      <c r="J23" s="9"/>
      <c r="K23" s="9"/>
      <c r="L23" s="9"/>
    </row>
    <row r="24" spans="1:12">
      <c r="A24" s="9"/>
      <c r="B24" s="27">
        <v>2000000</v>
      </c>
      <c r="C24" s="31">
        <v>1.2250000000000001</v>
      </c>
      <c r="D24" s="16"/>
      <c r="E24" s="16"/>
      <c r="F24" s="16"/>
      <c r="G24" s="16"/>
      <c r="H24" s="16"/>
      <c r="I24" s="9"/>
      <c r="J24" s="9"/>
      <c r="K24" s="9"/>
      <c r="L24" s="9"/>
    </row>
    <row r="25" spans="1:12">
      <c r="A25" s="9"/>
      <c r="B25" s="27">
        <v>1000000</v>
      </c>
      <c r="C25" s="31">
        <v>1.075</v>
      </c>
      <c r="D25" s="16"/>
      <c r="E25" s="16"/>
      <c r="F25" s="16"/>
      <c r="G25" s="16"/>
      <c r="H25" s="16"/>
      <c r="I25" s="9"/>
      <c r="J25" s="9"/>
      <c r="K25" s="9"/>
      <c r="L25" s="9"/>
    </row>
    <row r="26" spans="1:12">
      <c r="A26" s="9"/>
      <c r="B26" s="27">
        <v>500000</v>
      </c>
      <c r="C26" s="31">
        <v>1</v>
      </c>
      <c r="D26" s="16"/>
      <c r="E26" s="16"/>
      <c r="F26" s="16"/>
      <c r="G26" s="16"/>
      <c r="H26" s="16"/>
      <c r="I26" s="9"/>
      <c r="J26" s="9"/>
      <c r="K26" s="9"/>
      <c r="L26" s="9"/>
    </row>
    <row r="27" spans="1:12">
      <c r="A27" s="14"/>
      <c r="B27" s="16"/>
      <c r="C27" s="16"/>
      <c r="D27" s="16"/>
      <c r="E27" s="9"/>
      <c r="F27" s="9"/>
      <c r="G27" s="16"/>
      <c r="H27" s="9"/>
      <c r="I27" s="9"/>
      <c r="J27" s="9"/>
      <c r="K27" s="9"/>
      <c r="L27" s="9"/>
    </row>
    <row r="28" spans="1:12">
      <c r="A28" s="9"/>
      <c r="B28" s="17" t="s">
        <v>57</v>
      </c>
      <c r="C28" s="16"/>
      <c r="D28" s="16"/>
      <c r="E28" s="33">
        <v>2000000</v>
      </c>
      <c r="F28" s="9"/>
      <c r="G28" s="16"/>
      <c r="H28" s="9"/>
      <c r="I28" s="9"/>
      <c r="J28" s="9"/>
      <c r="K28" s="9"/>
      <c r="L28" s="9"/>
    </row>
    <row r="29" spans="1:12">
      <c r="A29" s="9"/>
      <c r="B29" s="17" t="s">
        <v>56</v>
      </c>
      <c r="C29" s="16"/>
      <c r="D29" s="16"/>
      <c r="E29" s="16"/>
      <c r="F29" s="16"/>
      <c r="G29" s="16"/>
      <c r="H29" s="9"/>
      <c r="I29" s="9"/>
      <c r="J29" s="9"/>
      <c r="K29" s="9"/>
      <c r="L29" s="9"/>
    </row>
    <row r="30" spans="1:12">
      <c r="A30" s="9"/>
      <c r="B30" s="17" t="s">
        <v>335</v>
      </c>
      <c r="C30" s="16"/>
      <c r="D30" s="16"/>
      <c r="E30" s="16"/>
      <c r="F30" s="16"/>
      <c r="G30" s="16"/>
      <c r="H30" s="9"/>
      <c r="I30" s="9"/>
      <c r="J30" s="9"/>
      <c r="K30" s="9"/>
      <c r="L30" s="9"/>
    </row>
    <row r="31" spans="1:12">
      <c r="A31" s="9"/>
      <c r="B31" s="9"/>
      <c r="C31" s="9"/>
      <c r="D31" s="9"/>
      <c r="E31" s="9"/>
      <c r="F31" s="9"/>
      <c r="G31" s="9"/>
      <c r="H31" s="9"/>
      <c r="I31" s="9"/>
      <c r="J31" s="9"/>
      <c r="K31" s="9"/>
      <c r="L31" s="9"/>
    </row>
    <row r="32" spans="1:12">
      <c r="A32" s="7"/>
      <c r="B32" s="7"/>
      <c r="C32" s="7"/>
      <c r="D32" s="7"/>
      <c r="E32" s="7"/>
      <c r="F32" s="7"/>
      <c r="G32" s="7"/>
      <c r="H32" s="7"/>
      <c r="I32" s="7"/>
      <c r="J32" s="7"/>
      <c r="K32" s="7"/>
      <c r="L32" s="7"/>
    </row>
    <row r="33" spans="1:18">
      <c r="A33" s="6" t="s">
        <v>4</v>
      </c>
      <c r="B33" s="9" t="s">
        <v>58</v>
      </c>
      <c r="C33" s="9"/>
      <c r="D33" s="9"/>
      <c r="E33" s="4"/>
      <c r="F33" s="4"/>
      <c r="G33" s="4"/>
      <c r="H33" s="4"/>
      <c r="I33" s="4"/>
      <c r="J33" s="4"/>
      <c r="K33" s="4"/>
      <c r="L33" s="4"/>
      <c r="M33" s="8"/>
      <c r="N33" s="8"/>
      <c r="O33" s="8"/>
      <c r="P33" s="8"/>
      <c r="Q33" s="8"/>
      <c r="R33" s="8"/>
    </row>
    <row r="34" spans="1:18">
      <c r="A34" s="6"/>
      <c r="B34" s="9"/>
      <c r="C34" s="9"/>
      <c r="D34" s="9"/>
      <c r="E34" s="4"/>
      <c r="F34" s="4"/>
      <c r="G34" s="4"/>
      <c r="H34" s="4"/>
      <c r="I34" s="4"/>
      <c r="J34" s="4"/>
      <c r="K34" s="4"/>
      <c r="L34" s="4"/>
      <c r="M34" s="8"/>
      <c r="N34" s="8"/>
      <c r="O34" s="8"/>
      <c r="P34" s="8"/>
      <c r="Q34" s="8"/>
      <c r="R34" s="8"/>
    </row>
    <row r="35" spans="1:18">
      <c r="A35" s="6"/>
      <c r="B35" s="14" t="s">
        <v>59</v>
      </c>
      <c r="C35" s="9"/>
      <c r="D35" s="9"/>
      <c r="E35" s="4"/>
      <c r="F35" s="4"/>
      <c r="G35" s="4"/>
      <c r="H35" s="4"/>
      <c r="I35" s="4"/>
      <c r="J35" s="4"/>
      <c r="K35" s="4"/>
      <c r="L35" s="4"/>
      <c r="M35" s="8"/>
      <c r="N35" s="8"/>
      <c r="O35" s="8"/>
      <c r="P35" s="8"/>
      <c r="Q35" s="8"/>
      <c r="R35" s="8"/>
    </row>
    <row r="36" spans="1:18">
      <c r="A36" s="6"/>
      <c r="B36" s="14"/>
      <c r="C36" s="9"/>
      <c r="D36" s="9"/>
      <c r="E36" s="4"/>
      <c r="F36" s="4"/>
      <c r="G36" s="4"/>
      <c r="H36" s="4"/>
      <c r="I36" s="4"/>
      <c r="J36" s="4"/>
      <c r="K36" s="4"/>
      <c r="L36" s="4"/>
      <c r="M36" s="8"/>
      <c r="N36" s="8"/>
      <c r="O36" s="8"/>
      <c r="P36" s="8"/>
      <c r="Q36" s="8"/>
      <c r="R36" s="8"/>
    </row>
    <row r="37" spans="1:18">
      <c r="A37" s="6"/>
      <c r="B37" s="14" t="s">
        <v>60</v>
      </c>
      <c r="C37" s="9"/>
      <c r="D37" s="9"/>
      <c r="E37" s="4"/>
      <c r="F37" s="4"/>
      <c r="G37" s="4"/>
      <c r="H37" s="4"/>
      <c r="I37" s="4"/>
      <c r="J37" s="4"/>
      <c r="K37" s="4"/>
      <c r="L37" s="4"/>
      <c r="M37" s="8"/>
      <c r="N37" s="8"/>
      <c r="O37" s="8"/>
      <c r="P37" s="8"/>
      <c r="Q37" s="8"/>
      <c r="R37" s="8"/>
    </row>
    <row r="38" spans="1:18">
      <c r="A38" s="6"/>
      <c r="B38" s="14"/>
      <c r="C38" s="9"/>
      <c r="D38" s="9"/>
      <c r="E38" s="4"/>
      <c r="F38" s="4"/>
      <c r="G38" s="4"/>
      <c r="H38" s="4"/>
      <c r="I38" s="4"/>
      <c r="J38" s="4"/>
      <c r="K38" s="4"/>
      <c r="L38" s="4"/>
      <c r="M38" s="8"/>
      <c r="N38" s="8"/>
      <c r="O38" s="8"/>
      <c r="P38" s="8"/>
      <c r="Q38" s="8"/>
      <c r="R38" s="8"/>
    </row>
    <row r="39" spans="1:18">
      <c r="A39" s="6"/>
      <c r="B39" s="14" t="s">
        <v>61</v>
      </c>
      <c r="C39" s="9"/>
      <c r="D39" s="9"/>
      <c r="E39" s="4"/>
      <c r="F39" s="4"/>
      <c r="G39" s="4"/>
      <c r="H39" s="4"/>
      <c r="I39" s="4"/>
      <c r="J39" s="4"/>
      <c r="K39" s="4"/>
      <c r="L39" s="4"/>
      <c r="M39" s="8"/>
      <c r="N39" s="8"/>
      <c r="O39" s="8"/>
      <c r="P39" s="8"/>
      <c r="Q39" s="8"/>
      <c r="R39" s="8"/>
    </row>
    <row r="40" spans="1:18">
      <c r="A40" s="3"/>
      <c r="B40" s="3"/>
      <c r="C40" s="3"/>
      <c r="D40" s="3"/>
      <c r="E40" s="3"/>
      <c r="F40" s="3"/>
      <c r="G40" s="4"/>
      <c r="H40" s="4"/>
      <c r="I40" s="4"/>
      <c r="J40" s="4"/>
      <c r="K40" s="4"/>
      <c r="L40" s="4"/>
    </row>
    <row r="41" spans="1:18">
      <c r="A41" s="7"/>
      <c r="B41" s="7"/>
      <c r="C41" s="7"/>
      <c r="D41" s="7"/>
      <c r="E41" s="7"/>
      <c r="F41" s="7"/>
      <c r="G41" s="7"/>
      <c r="H41" s="7"/>
      <c r="I41" s="7"/>
      <c r="J41" s="7"/>
      <c r="K41" s="7"/>
      <c r="L41" s="7"/>
      <c r="M41" s="7"/>
    </row>
    <row r="42" spans="1:18">
      <c r="A42" s="7" t="s">
        <v>1</v>
      </c>
      <c r="B42" s="7"/>
      <c r="C42" s="7"/>
      <c r="D42" s="7"/>
      <c r="E42" s="7"/>
      <c r="F42" s="7"/>
      <c r="G42" s="7"/>
      <c r="H42" s="7"/>
      <c r="I42" s="7"/>
      <c r="J42" s="7"/>
      <c r="K42" s="7"/>
      <c r="L42" s="7"/>
      <c r="M42" s="7"/>
      <c r="N42" s="8"/>
    </row>
    <row r="43" spans="1:18" ht="31.5">
      <c r="A43" s="7"/>
      <c r="B43" s="130" t="s">
        <v>14</v>
      </c>
      <c r="C43" s="192"/>
      <c r="D43" s="172" t="s">
        <v>87</v>
      </c>
      <c r="E43" s="137" t="s">
        <v>559</v>
      </c>
      <c r="F43" s="172" t="s">
        <v>544</v>
      </c>
      <c r="G43" s="7"/>
      <c r="H43" s="7"/>
      <c r="I43" s="7"/>
      <c r="J43" s="7"/>
      <c r="K43" s="7"/>
      <c r="L43" s="7"/>
      <c r="M43" s="7"/>
      <c r="N43" s="8"/>
    </row>
    <row r="44" spans="1:18">
      <c r="A44" s="7"/>
      <c r="C44" s="130" t="s">
        <v>560</v>
      </c>
      <c r="D44" s="142">
        <f>C20</f>
        <v>4614775</v>
      </c>
      <c r="E44" s="193">
        <f>PRODUCT(C10:G10)</f>
        <v>2.3555675902809603</v>
      </c>
      <c r="F44" s="142">
        <f>D44*E44</f>
        <v>10870414.426438818</v>
      </c>
      <c r="G44" s="7"/>
      <c r="H44" s="7"/>
      <c r="I44" s="7"/>
      <c r="J44" s="7"/>
      <c r="K44" s="7"/>
      <c r="L44" s="7"/>
      <c r="M44" s="7"/>
      <c r="N44" s="8"/>
    </row>
    <row r="45" spans="1:18">
      <c r="C45" s="137" t="s">
        <v>561</v>
      </c>
      <c r="D45" s="199">
        <f>C21</f>
        <v>4520083</v>
      </c>
      <c r="E45" s="200">
        <f>PRODUCT(C11:G11)</f>
        <v>2.2981402665833039</v>
      </c>
      <c r="F45" s="199">
        <f>D45*E45</f>
        <v>10387784.75059866</v>
      </c>
      <c r="M45" s="8"/>
      <c r="N45" s="8"/>
    </row>
    <row r="46" spans="1:18">
      <c r="C46" s="130" t="s">
        <v>563</v>
      </c>
      <c r="D46" s="142">
        <f>D44-D45</f>
        <v>94692</v>
      </c>
      <c r="E46" s="130"/>
      <c r="F46" s="142">
        <f>F44-F45</f>
        <v>482629.67584015802</v>
      </c>
      <c r="M46" s="8"/>
      <c r="N46" s="8"/>
    </row>
    <row r="47" spans="1:18">
      <c r="D47" s="130"/>
      <c r="E47" s="130"/>
      <c r="F47" s="130"/>
      <c r="M47" s="8"/>
      <c r="N47" s="8"/>
    </row>
    <row r="48" spans="1:18" ht="31.5">
      <c r="B48" s="130" t="s">
        <v>15</v>
      </c>
      <c r="C48" s="192"/>
      <c r="D48" s="172" t="s">
        <v>87</v>
      </c>
      <c r="E48" s="137" t="s">
        <v>559</v>
      </c>
      <c r="F48" s="172" t="s">
        <v>544</v>
      </c>
      <c r="M48" s="8"/>
      <c r="N48" s="8"/>
    </row>
    <row r="49" spans="1:14">
      <c r="C49" s="130" t="s">
        <v>564</v>
      </c>
      <c r="D49" s="130"/>
      <c r="E49" s="194">
        <f>PRODUCT(C9:G9)</f>
        <v>2.4817748589875999</v>
      </c>
      <c r="F49" s="130"/>
      <c r="M49" s="8"/>
      <c r="N49" s="8"/>
    </row>
    <row r="50" spans="1:14">
      <c r="C50" s="130" t="s">
        <v>560</v>
      </c>
      <c r="D50" s="142">
        <f>D44</f>
        <v>4614775</v>
      </c>
      <c r="E50" s="193">
        <f>E$49*H15/C15</f>
        <v>2.215870409810357</v>
      </c>
      <c r="F50" s="142">
        <f>D50*E50</f>
        <v>10225743.370432591</v>
      </c>
      <c r="M50" s="8"/>
      <c r="N50" s="8"/>
    </row>
    <row r="51" spans="1:14">
      <c r="B51" s="195"/>
      <c r="C51" s="137" t="s">
        <v>561</v>
      </c>
      <c r="D51" s="199">
        <f>D45</f>
        <v>4520083</v>
      </c>
      <c r="E51" s="200">
        <f>E$49*H16/C16</f>
        <v>2.1212935945536469</v>
      </c>
      <c r="F51" s="199">
        <f>D51*E51</f>
        <v>9588423.1147508323</v>
      </c>
      <c r="M51" s="8"/>
      <c r="N51" s="8"/>
    </row>
    <row r="52" spans="1:14">
      <c r="B52" s="195"/>
      <c r="C52" s="130" t="s">
        <v>563</v>
      </c>
      <c r="D52" s="142">
        <f>D50-D51</f>
        <v>94692</v>
      </c>
      <c r="E52" s="130"/>
      <c r="F52" s="142">
        <f>F50-F51</f>
        <v>637320.25568175875</v>
      </c>
      <c r="M52" s="8"/>
      <c r="N52" s="8"/>
    </row>
    <row r="53" spans="1:14">
      <c r="B53" s="195"/>
      <c r="D53" s="130"/>
      <c r="E53" s="130"/>
      <c r="F53" s="130"/>
      <c r="M53" s="8"/>
      <c r="N53" s="8"/>
    </row>
    <row r="54" spans="1:14" ht="31.5">
      <c r="B54" s="196" t="s">
        <v>16</v>
      </c>
      <c r="C54" s="192"/>
      <c r="D54" s="137"/>
      <c r="E54" s="197" t="s">
        <v>562</v>
      </c>
      <c r="F54" s="172" t="s">
        <v>544</v>
      </c>
    </row>
    <row r="55" spans="1:14">
      <c r="C55" s="130" t="s">
        <v>560</v>
      </c>
      <c r="D55" s="130"/>
      <c r="E55" s="194">
        <f>C25</f>
        <v>1.075</v>
      </c>
      <c r="F55" s="142">
        <f>F56*E55</f>
        <v>11166868.606893558</v>
      </c>
    </row>
    <row r="56" spans="1:14">
      <c r="C56" s="137" t="s">
        <v>561</v>
      </c>
      <c r="D56" s="137"/>
      <c r="E56" s="201">
        <f>C26</f>
        <v>1</v>
      </c>
      <c r="F56" s="199">
        <f>F45</f>
        <v>10387784.75059866</v>
      </c>
    </row>
    <row r="57" spans="1:14">
      <c r="C57" s="130" t="s">
        <v>563</v>
      </c>
      <c r="D57" s="130"/>
      <c r="E57" s="130"/>
      <c r="F57" s="142">
        <f>F55-F56</f>
        <v>779083.85629489832</v>
      </c>
    </row>
    <row r="58" spans="1:14">
      <c r="B58" s="196"/>
      <c r="D58" s="130"/>
      <c r="E58" s="198"/>
      <c r="F58" s="130"/>
    </row>
    <row r="59" spans="1:14">
      <c r="A59" s="6" t="s">
        <v>5</v>
      </c>
      <c r="B59" s="9" t="s">
        <v>62</v>
      </c>
      <c r="C59" s="4"/>
      <c r="D59" s="4"/>
      <c r="E59" s="4"/>
      <c r="F59" s="4"/>
      <c r="G59" s="4"/>
      <c r="H59" s="4"/>
      <c r="I59" s="4"/>
      <c r="J59" s="4"/>
      <c r="K59" s="4"/>
      <c r="L59" s="4"/>
    </row>
    <row r="60" spans="1:14">
      <c r="A60" s="6"/>
      <c r="B60" s="9"/>
      <c r="C60" s="4"/>
      <c r="D60" s="4"/>
      <c r="E60" s="4"/>
      <c r="F60" s="4"/>
      <c r="G60" s="4"/>
      <c r="H60" s="4"/>
      <c r="I60" s="4"/>
      <c r="J60" s="4"/>
      <c r="K60" s="4"/>
      <c r="L60" s="4"/>
    </row>
    <row r="61" spans="1:14">
      <c r="A61" s="6"/>
      <c r="B61" s="13" t="s">
        <v>59</v>
      </c>
      <c r="C61" s="4"/>
      <c r="D61" s="4"/>
      <c r="E61" s="4"/>
      <c r="F61" s="4"/>
      <c r="G61" s="4"/>
      <c r="H61" s="4"/>
      <c r="I61" s="4"/>
      <c r="J61" s="4"/>
      <c r="K61" s="4"/>
      <c r="L61" s="4"/>
    </row>
    <row r="62" spans="1:14">
      <c r="A62" s="6"/>
      <c r="B62" s="13"/>
      <c r="C62" s="4"/>
      <c r="D62" s="4"/>
      <c r="E62" s="4"/>
      <c r="F62" s="4"/>
      <c r="G62" s="4"/>
      <c r="H62" s="4"/>
      <c r="I62" s="4"/>
      <c r="J62" s="4"/>
      <c r="K62" s="4"/>
      <c r="L62" s="4"/>
    </row>
    <row r="63" spans="1:14">
      <c r="A63" s="6"/>
      <c r="B63" s="13" t="s">
        <v>60</v>
      </c>
      <c r="C63" s="4"/>
      <c r="D63" s="4"/>
      <c r="E63" s="4"/>
      <c r="F63" s="4"/>
      <c r="G63" s="4"/>
      <c r="H63" s="4"/>
      <c r="I63" s="4"/>
      <c r="J63" s="4"/>
      <c r="K63" s="4"/>
      <c r="L63" s="4"/>
    </row>
    <row r="64" spans="1:14">
      <c r="A64" s="3"/>
      <c r="B64" s="3"/>
      <c r="C64" s="3"/>
      <c r="D64" s="3"/>
      <c r="E64" s="3"/>
      <c r="F64" s="3"/>
      <c r="G64" s="4"/>
      <c r="H64" s="4"/>
      <c r="I64" s="4"/>
      <c r="J64" s="4"/>
      <c r="K64" s="4"/>
      <c r="L64" s="4"/>
    </row>
    <row r="65" spans="1:13">
      <c r="A65" s="7"/>
      <c r="B65" s="7"/>
      <c r="C65" s="7"/>
      <c r="D65" s="7"/>
      <c r="E65" s="7"/>
      <c r="F65" s="7"/>
      <c r="G65" s="7"/>
      <c r="H65" s="7"/>
      <c r="I65" s="7"/>
      <c r="J65" s="7"/>
      <c r="K65" s="7"/>
      <c r="L65" s="7"/>
    </row>
    <row r="66" spans="1:13">
      <c r="A66" s="7" t="s">
        <v>1</v>
      </c>
      <c r="B66" s="7"/>
      <c r="C66" s="7"/>
      <c r="D66" s="7"/>
      <c r="E66" s="7"/>
      <c r="F66" s="7"/>
      <c r="G66" s="7"/>
      <c r="H66" s="7"/>
      <c r="I66" s="7"/>
      <c r="J66" s="7"/>
      <c r="K66" s="7"/>
      <c r="L66" s="7"/>
    </row>
    <row r="67" spans="1:13" ht="31.5">
      <c r="A67" s="7"/>
      <c r="B67" s="192"/>
      <c r="C67" s="172" t="s">
        <v>87</v>
      </c>
      <c r="D67" s="172" t="s">
        <v>568</v>
      </c>
      <c r="E67" s="172" t="s">
        <v>569</v>
      </c>
      <c r="F67" s="137" t="s">
        <v>565</v>
      </c>
      <c r="G67" s="137" t="s">
        <v>566</v>
      </c>
      <c r="H67" s="7"/>
      <c r="I67" s="7"/>
      <c r="J67" s="7"/>
      <c r="K67" s="7"/>
      <c r="L67" s="7"/>
    </row>
    <row r="68" spans="1:13">
      <c r="A68" s="7"/>
      <c r="B68" s="130" t="s">
        <v>567</v>
      </c>
      <c r="C68" s="142">
        <f>C19</f>
        <v>4912320</v>
      </c>
      <c r="D68" s="142">
        <f>E49*C68</f>
        <v>12191272.275301967</v>
      </c>
      <c r="E68" s="142">
        <f>D68</f>
        <v>12191272.275301967</v>
      </c>
      <c r="F68" s="194">
        <f>D68/D$70</f>
        <v>1.1736161816983519</v>
      </c>
      <c r="G68" s="194">
        <f>E68/E$70</f>
        <v>1.2714574783988111</v>
      </c>
      <c r="H68" s="7"/>
      <c r="I68" s="7"/>
      <c r="J68" s="7"/>
      <c r="K68" s="7"/>
      <c r="L68" s="7"/>
    </row>
    <row r="69" spans="1:13">
      <c r="B69" s="130" t="s">
        <v>560</v>
      </c>
      <c r="C69" s="142">
        <f t="shared" ref="C69:C70" si="0">C20</f>
        <v>4614775</v>
      </c>
      <c r="D69" s="142">
        <f>F44</f>
        <v>10870414.426438818</v>
      </c>
      <c r="E69" s="142">
        <f>F50</f>
        <v>10225743.370432591</v>
      </c>
      <c r="F69" s="194">
        <f>D69/D$70</f>
        <v>1.0464612703697334</v>
      </c>
      <c r="G69" s="194">
        <f>E69/E$70</f>
        <v>1.0664676817089251</v>
      </c>
      <c r="M69" s="7"/>
    </row>
    <row r="70" spans="1:13">
      <c r="B70" s="130" t="s">
        <v>561</v>
      </c>
      <c r="C70" s="142">
        <f t="shared" si="0"/>
        <v>4520083</v>
      </c>
      <c r="D70" s="142">
        <f>F45</f>
        <v>10387784.75059866</v>
      </c>
      <c r="E70" s="142">
        <f>F51</f>
        <v>9588423.1147508323</v>
      </c>
      <c r="F70" s="158"/>
      <c r="G70" s="171"/>
      <c r="M70" s="7"/>
    </row>
    <row r="71" spans="1:13">
      <c r="M71" s="7"/>
    </row>
  </sheetData>
  <mergeCells count="4">
    <mergeCell ref="B6:G6"/>
    <mergeCell ref="B7:G7"/>
    <mergeCell ref="B13:H13"/>
    <mergeCell ref="A3:K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A901F-B887-4240-A20F-AC18C86ECC5D}">
  <dimension ref="A1:R55"/>
  <sheetViews>
    <sheetView zoomScaleNormal="100" workbookViewId="0"/>
  </sheetViews>
  <sheetFormatPr defaultColWidth="8.85546875" defaultRowHeight="15.75"/>
  <cols>
    <col min="1" max="1" width="8.85546875" style="1" customWidth="1"/>
    <col min="2" max="2" width="14.28515625" style="1" customWidth="1"/>
    <col min="3" max="3" width="16.28515625" style="1" customWidth="1"/>
    <col min="4" max="4" width="15.7109375" style="1" customWidth="1"/>
    <col min="5" max="5" width="14.7109375" style="1" customWidth="1"/>
    <col min="6" max="8" width="12.7109375" style="1" customWidth="1"/>
    <col min="9" max="9" width="17.85546875" style="1" customWidth="1"/>
    <col min="10" max="12" width="9.7109375" style="1" customWidth="1"/>
    <col min="13" max="16384" width="8.85546875" style="1"/>
  </cols>
  <sheetData>
    <row r="1" spans="1:18" ht="18.75">
      <c r="A1" s="2" t="s">
        <v>63</v>
      </c>
      <c r="B1" s="4"/>
      <c r="C1" s="9" t="s">
        <v>11</v>
      </c>
      <c r="D1" s="4"/>
      <c r="E1" s="4"/>
      <c r="F1" s="4"/>
      <c r="G1" s="4"/>
      <c r="H1" s="4"/>
      <c r="I1" s="4"/>
      <c r="J1" s="4"/>
      <c r="K1" s="4"/>
      <c r="L1" s="3"/>
    </row>
    <row r="2" spans="1:18">
      <c r="A2" s="4"/>
      <c r="B2" s="4"/>
      <c r="C2" s="4"/>
      <c r="D2" s="4"/>
      <c r="E2" s="4"/>
      <c r="F2" s="4"/>
      <c r="G2" s="4"/>
      <c r="H2" s="4"/>
      <c r="I2" s="4"/>
      <c r="J2" s="4"/>
      <c r="K2" s="4"/>
      <c r="L2" s="3"/>
    </row>
    <row r="3" spans="1:18">
      <c r="A3" s="14" t="s">
        <v>64</v>
      </c>
      <c r="B3" s="4"/>
      <c r="C3" s="4"/>
      <c r="D3" s="4"/>
      <c r="E3" s="4"/>
      <c r="F3" s="4"/>
      <c r="G3" s="4"/>
      <c r="H3" s="4"/>
      <c r="I3" s="4"/>
      <c r="J3" s="4"/>
      <c r="K3" s="4"/>
      <c r="L3" s="3"/>
    </row>
    <row r="4" spans="1:18">
      <c r="A4" s="10"/>
      <c r="B4" s="4"/>
      <c r="C4" s="4"/>
      <c r="D4" s="4"/>
      <c r="E4" s="4"/>
      <c r="F4" s="4"/>
      <c r="G4" s="4"/>
      <c r="H4" s="9"/>
      <c r="I4" s="9"/>
      <c r="J4" s="9"/>
      <c r="K4" s="9"/>
      <c r="L4" s="9"/>
    </row>
    <row r="5" spans="1:18" ht="63">
      <c r="A5" s="10"/>
      <c r="B5" s="30" t="s">
        <v>65</v>
      </c>
      <c r="C5" s="30" t="s">
        <v>66</v>
      </c>
      <c r="D5" s="30" t="s">
        <v>67</v>
      </c>
      <c r="E5" s="30" t="s">
        <v>68</v>
      </c>
      <c r="F5" s="4"/>
      <c r="G5" s="4"/>
      <c r="H5" s="9"/>
      <c r="I5" s="9"/>
      <c r="J5" s="9"/>
      <c r="K5" s="9"/>
      <c r="L5" s="9"/>
    </row>
    <row r="6" spans="1:18">
      <c r="A6" s="10"/>
      <c r="B6" s="34">
        <v>2016</v>
      </c>
      <c r="C6" s="35">
        <v>13525260</v>
      </c>
      <c r="D6" s="35">
        <v>17480000</v>
      </c>
      <c r="E6" s="35">
        <v>543630</v>
      </c>
      <c r="F6" s="4"/>
      <c r="G6" s="4"/>
      <c r="H6" s="9"/>
      <c r="I6" s="9"/>
      <c r="J6" s="9"/>
      <c r="K6" s="9"/>
      <c r="L6" s="9"/>
    </row>
    <row r="7" spans="1:18">
      <c r="A7" s="10"/>
      <c r="B7" s="34">
        <v>2017</v>
      </c>
      <c r="C7" s="35">
        <v>14287260</v>
      </c>
      <c r="D7" s="35">
        <v>18239240</v>
      </c>
      <c r="E7" s="35">
        <v>586640</v>
      </c>
      <c r="F7" s="4"/>
      <c r="G7" s="4"/>
      <c r="H7" s="9"/>
      <c r="I7" s="9"/>
      <c r="J7" s="9"/>
      <c r="K7" s="9"/>
      <c r="L7" s="9"/>
    </row>
    <row r="8" spans="1:18">
      <c r="A8" s="10"/>
      <c r="B8" s="34">
        <v>2018</v>
      </c>
      <c r="C8" s="35">
        <v>15646150</v>
      </c>
      <c r="D8" s="35">
        <v>19120010</v>
      </c>
      <c r="E8" s="35">
        <v>634770</v>
      </c>
      <c r="F8" s="4"/>
      <c r="G8" s="4"/>
      <c r="H8" s="9"/>
      <c r="I8" s="9"/>
      <c r="J8" s="9"/>
      <c r="K8" s="9"/>
      <c r="L8" s="9"/>
    </row>
    <row r="9" spans="1:18">
      <c r="A9" s="4"/>
      <c r="B9" s="34">
        <v>2019</v>
      </c>
      <c r="C9" s="35">
        <v>16642150</v>
      </c>
      <c r="D9" s="35">
        <v>19993320</v>
      </c>
      <c r="E9" s="35">
        <v>684470</v>
      </c>
      <c r="F9" s="4"/>
      <c r="G9" s="4"/>
      <c r="H9" s="9"/>
      <c r="I9" s="9"/>
      <c r="J9" s="9"/>
      <c r="K9" s="9"/>
      <c r="L9" s="9"/>
    </row>
    <row r="10" spans="1:18">
      <c r="A10" s="4"/>
      <c r="B10" s="34">
        <v>2020</v>
      </c>
      <c r="C10" s="35">
        <v>18527760</v>
      </c>
      <c r="D10" s="35">
        <v>20826540</v>
      </c>
      <c r="E10" s="35">
        <v>734250</v>
      </c>
      <c r="F10" s="4"/>
      <c r="G10" s="4"/>
      <c r="H10" s="9"/>
      <c r="I10" s="9"/>
      <c r="J10" s="9"/>
      <c r="K10" s="9"/>
      <c r="L10" s="9"/>
    </row>
    <row r="11" spans="1:18">
      <c r="A11" s="10"/>
      <c r="B11" s="34">
        <v>2021</v>
      </c>
      <c r="C11" s="35">
        <v>20737090</v>
      </c>
      <c r="D11" s="35">
        <v>21816000</v>
      </c>
      <c r="E11" s="35">
        <v>792360</v>
      </c>
      <c r="F11" s="4"/>
      <c r="G11" s="4"/>
      <c r="H11" s="9"/>
      <c r="I11" s="9"/>
      <c r="J11" s="9"/>
      <c r="K11" s="9"/>
      <c r="L11" s="9"/>
    </row>
    <row r="12" spans="1:18">
      <c r="A12" s="9"/>
      <c r="B12" s="9"/>
      <c r="C12" s="9"/>
      <c r="D12" s="9"/>
      <c r="E12" s="9"/>
      <c r="F12" s="9"/>
      <c r="G12" s="9"/>
      <c r="H12" s="9"/>
      <c r="I12" s="9"/>
      <c r="J12" s="9"/>
      <c r="K12" s="9"/>
      <c r="L12" s="9"/>
    </row>
    <row r="13" spans="1:18">
      <c r="A13" s="7"/>
      <c r="B13" s="7"/>
      <c r="C13" s="7"/>
      <c r="D13" s="7"/>
      <c r="E13" s="7"/>
      <c r="F13" s="7"/>
      <c r="G13" s="7"/>
      <c r="H13" s="7"/>
      <c r="I13" s="7"/>
      <c r="J13" s="7"/>
      <c r="K13" s="7"/>
      <c r="L13" s="7"/>
    </row>
    <row r="14" spans="1:18">
      <c r="A14" s="6" t="s">
        <v>4</v>
      </c>
      <c r="B14" s="9" t="s">
        <v>336</v>
      </c>
      <c r="C14" s="4"/>
      <c r="D14" s="4"/>
      <c r="E14" s="4"/>
      <c r="F14" s="4"/>
      <c r="G14" s="4"/>
      <c r="H14" s="4"/>
      <c r="I14" s="4"/>
      <c r="J14" s="4"/>
      <c r="K14" s="4"/>
      <c r="L14" s="4"/>
      <c r="M14" s="8"/>
      <c r="N14" s="8"/>
      <c r="O14" s="8"/>
      <c r="P14" s="8"/>
      <c r="Q14" s="8"/>
      <c r="R14" s="8"/>
    </row>
    <row r="15" spans="1:18">
      <c r="A15" s="3"/>
      <c r="B15" s="3"/>
      <c r="C15" s="3"/>
      <c r="D15" s="3"/>
      <c r="E15" s="3"/>
      <c r="F15" s="3"/>
      <c r="G15" s="4"/>
      <c r="H15" s="4"/>
      <c r="I15" s="4"/>
      <c r="J15" s="4"/>
      <c r="K15" s="4"/>
      <c r="L15" s="4"/>
    </row>
    <row r="16" spans="1:18">
      <c r="A16" s="7"/>
      <c r="B16" s="7"/>
      <c r="C16" s="7"/>
      <c r="D16" s="7"/>
      <c r="E16" s="7"/>
      <c r="F16" s="7"/>
      <c r="G16" s="7"/>
      <c r="H16" s="7"/>
      <c r="I16" s="7"/>
      <c r="J16" s="7"/>
      <c r="K16" s="7"/>
      <c r="L16" s="7"/>
      <c r="M16" s="7"/>
    </row>
    <row r="17" spans="1:14">
      <c r="A17" s="7" t="s">
        <v>1</v>
      </c>
      <c r="B17" s="7"/>
      <c r="C17" s="7"/>
      <c r="D17" s="7"/>
      <c r="E17" s="7"/>
      <c r="F17" s="7"/>
      <c r="G17" s="7"/>
      <c r="H17" s="7"/>
      <c r="I17" s="7"/>
      <c r="J17" s="7"/>
      <c r="K17" s="7"/>
      <c r="L17" s="7"/>
      <c r="M17" s="7"/>
      <c r="N17" s="8"/>
    </row>
    <row r="18" spans="1:14" ht="63">
      <c r="A18" s="7"/>
      <c r="B18" s="115" t="s">
        <v>65</v>
      </c>
      <c r="C18" s="115" t="s">
        <v>607</v>
      </c>
      <c r="D18" s="115" t="s">
        <v>608</v>
      </c>
      <c r="G18" s="7"/>
      <c r="H18" s="7"/>
      <c r="I18" s="7"/>
      <c r="J18" s="7"/>
      <c r="K18" s="7"/>
      <c r="L18" s="7"/>
      <c r="M18" s="7"/>
      <c r="N18" s="8"/>
    </row>
    <row r="19" spans="1:14">
      <c r="A19" s="7"/>
      <c r="B19" s="110">
        <f>B6</f>
        <v>2016</v>
      </c>
      <c r="C19" s="273">
        <f>E6/D6</f>
        <v>3.1100114416475973E-2</v>
      </c>
      <c r="D19" s="274"/>
      <c r="G19" s="7"/>
      <c r="H19" s="7"/>
      <c r="I19" s="7"/>
      <c r="J19" s="7"/>
      <c r="K19" s="7"/>
      <c r="L19" s="7"/>
      <c r="M19" s="7"/>
      <c r="N19" s="8"/>
    </row>
    <row r="20" spans="1:14">
      <c r="B20" s="110">
        <f t="shared" ref="B20:B24" si="0">B7</f>
        <v>2017</v>
      </c>
      <c r="C20" s="273">
        <f t="shared" ref="C20:C24" si="1">E7/D7</f>
        <v>3.2163620852623247E-2</v>
      </c>
      <c r="D20" s="273">
        <f t="shared" ref="D20:D24" si="2">C20/C19-1</f>
        <v>3.419622262173605E-2</v>
      </c>
      <c r="M20" s="8"/>
      <c r="N20" s="8"/>
    </row>
    <row r="21" spans="1:14">
      <c r="B21" s="110">
        <f t="shared" si="0"/>
        <v>2018</v>
      </c>
      <c r="C21" s="273">
        <f t="shared" si="1"/>
        <v>3.3199250418802083E-2</v>
      </c>
      <c r="D21" s="273">
        <f t="shared" si="2"/>
        <v>3.2198786664106915E-2</v>
      </c>
      <c r="M21" s="8"/>
      <c r="N21" s="8"/>
    </row>
    <row r="22" spans="1:14">
      <c r="B22" s="110">
        <f t="shared" si="0"/>
        <v>2019</v>
      </c>
      <c r="C22" s="273">
        <f t="shared" si="1"/>
        <v>3.4234934468112349E-2</v>
      </c>
      <c r="D22" s="273">
        <f t="shared" si="2"/>
        <v>3.1196007025619865E-2</v>
      </c>
      <c r="M22" s="8"/>
      <c r="N22" s="8"/>
    </row>
    <row r="23" spans="1:14">
      <c r="B23" s="110">
        <f t="shared" si="0"/>
        <v>2020</v>
      </c>
      <c r="C23" s="273">
        <f t="shared" si="1"/>
        <v>3.5255496112172255E-2</v>
      </c>
      <c r="D23" s="273">
        <f t="shared" si="2"/>
        <v>2.9810533010089291E-2</v>
      </c>
      <c r="M23" s="8"/>
      <c r="N23" s="8"/>
    </row>
    <row r="24" spans="1:14">
      <c r="B24" s="110">
        <f t="shared" si="0"/>
        <v>2021</v>
      </c>
      <c r="C24" s="273">
        <f t="shared" si="1"/>
        <v>3.632013201320132E-2</v>
      </c>
      <c r="D24" s="273">
        <f t="shared" si="2"/>
        <v>3.0197728536898616E-2</v>
      </c>
      <c r="M24" s="8"/>
      <c r="N24" s="8"/>
    </row>
    <row r="26" spans="1:14">
      <c r="A26" s="6" t="s">
        <v>5</v>
      </c>
      <c r="B26" s="9" t="s">
        <v>69</v>
      </c>
      <c r="C26" s="4"/>
      <c r="D26" s="4"/>
      <c r="E26" s="4"/>
      <c r="F26" s="4"/>
      <c r="G26" s="4"/>
      <c r="H26" s="4"/>
      <c r="I26" s="4"/>
      <c r="J26" s="4"/>
      <c r="K26" s="4"/>
      <c r="L26" s="4"/>
    </row>
    <row r="27" spans="1:14">
      <c r="A27" s="3"/>
      <c r="B27" s="3"/>
      <c r="C27" s="3"/>
      <c r="D27" s="3"/>
      <c r="E27" s="3"/>
      <c r="F27" s="3"/>
      <c r="G27" s="4"/>
      <c r="H27" s="4"/>
      <c r="I27" s="4"/>
      <c r="J27" s="4"/>
      <c r="K27" s="4"/>
      <c r="L27" s="4"/>
    </row>
    <row r="28" spans="1:14">
      <c r="A28" s="7"/>
      <c r="B28" s="7"/>
      <c r="C28" s="7"/>
      <c r="D28" s="7"/>
      <c r="E28" s="7"/>
      <c r="F28" s="7"/>
      <c r="G28" s="7"/>
      <c r="H28" s="7"/>
      <c r="I28" s="7"/>
      <c r="J28" s="7"/>
      <c r="K28" s="7"/>
      <c r="L28" s="7"/>
    </row>
    <row r="29" spans="1:14">
      <c r="A29" s="7" t="s">
        <v>1</v>
      </c>
      <c r="B29" s="7"/>
      <c r="C29" s="7"/>
      <c r="D29" s="7"/>
      <c r="E29" s="7"/>
      <c r="F29" s="7"/>
      <c r="G29" s="7"/>
      <c r="H29" s="7"/>
      <c r="I29" s="7"/>
      <c r="J29" s="7"/>
      <c r="K29" s="7"/>
      <c r="L29" s="7"/>
    </row>
    <row r="30" spans="1:14">
      <c r="A30" s="7"/>
      <c r="B30" s="1" t="s">
        <v>609</v>
      </c>
      <c r="C30"/>
      <c r="D30" s="265">
        <f>AVERAGE(D20:D24)</f>
        <v>3.1519855571690146E-2</v>
      </c>
      <c r="E30"/>
      <c r="G30" s="7"/>
      <c r="H30" s="7"/>
      <c r="I30" s="7"/>
      <c r="J30" s="7"/>
      <c r="K30" s="7"/>
      <c r="L30" s="7"/>
    </row>
    <row r="31" spans="1:14">
      <c r="A31" s="7"/>
      <c r="B31" s="1" t="s">
        <v>610</v>
      </c>
      <c r="C31"/>
      <c r="D31" s="265">
        <f>AVERAGE(D22:D24)</f>
        <v>3.0401422857535925E-2</v>
      </c>
      <c r="E31"/>
      <c r="G31" s="7"/>
      <c r="H31" s="7"/>
      <c r="I31" s="7"/>
      <c r="J31" s="7"/>
      <c r="K31" s="7"/>
      <c r="L31" s="7"/>
    </row>
    <row r="32" spans="1:14">
      <c r="M32" s="7"/>
    </row>
    <row r="33" spans="1:13">
      <c r="B33" s="133" t="s">
        <v>612</v>
      </c>
      <c r="C33"/>
      <c r="D33" s="265">
        <v>3.04E-2</v>
      </c>
      <c r="M33" s="7"/>
    </row>
    <row r="34" spans="1:13">
      <c r="M34" s="7"/>
    </row>
    <row r="35" spans="1:13">
      <c r="B35" s="1" t="s">
        <v>611</v>
      </c>
    </row>
    <row r="37" spans="1:13">
      <c r="A37" s="3"/>
      <c r="B37" s="3"/>
      <c r="C37" s="3"/>
      <c r="D37" s="3"/>
      <c r="E37" s="3"/>
      <c r="F37" s="3"/>
      <c r="G37" s="4"/>
      <c r="H37" s="4"/>
      <c r="I37" s="4"/>
      <c r="J37" s="4"/>
      <c r="K37" s="4"/>
      <c r="L37" s="4"/>
    </row>
    <row r="38" spans="1:13">
      <c r="A38" s="13" t="s">
        <v>70</v>
      </c>
      <c r="B38" s="9"/>
      <c r="C38" s="9"/>
      <c r="D38" s="4"/>
      <c r="E38" s="4"/>
      <c r="F38" s="4"/>
      <c r="G38" s="4"/>
      <c r="H38" s="4"/>
      <c r="I38" s="4"/>
      <c r="J38" s="4"/>
      <c r="K38" s="4"/>
      <c r="L38" s="4"/>
    </row>
    <row r="39" spans="1:13">
      <c r="A39" s="9"/>
      <c r="B39" s="36" t="s">
        <v>74</v>
      </c>
      <c r="C39" s="9"/>
      <c r="D39" s="37">
        <v>45078</v>
      </c>
      <c r="E39" s="4" t="s">
        <v>73</v>
      </c>
      <c r="F39" s="4"/>
      <c r="G39" s="4"/>
      <c r="H39" s="4"/>
      <c r="I39" s="4"/>
      <c r="J39" s="4"/>
      <c r="K39" s="4"/>
      <c r="L39" s="4"/>
    </row>
    <row r="40" spans="1:13">
      <c r="A40" s="9"/>
      <c r="B40" s="36" t="s">
        <v>71</v>
      </c>
      <c r="C40" s="9"/>
      <c r="D40" s="4"/>
      <c r="E40" s="4"/>
      <c r="F40" s="4"/>
      <c r="G40" s="4"/>
      <c r="H40" s="4"/>
      <c r="I40" s="4"/>
      <c r="J40" s="4"/>
      <c r="K40" s="4"/>
      <c r="L40" s="4"/>
    </row>
    <row r="41" spans="1:13">
      <c r="A41" s="9"/>
      <c r="B41" s="36" t="s">
        <v>72</v>
      </c>
      <c r="C41" s="9"/>
      <c r="D41" s="22">
        <v>0.01</v>
      </c>
      <c r="E41" s="32"/>
      <c r="F41" s="3"/>
      <c r="G41" s="4"/>
      <c r="H41" s="4"/>
      <c r="I41" s="4"/>
      <c r="J41" s="4"/>
      <c r="K41" s="4"/>
      <c r="L41" s="4"/>
    </row>
    <row r="42" spans="1:13">
      <c r="A42" s="3"/>
      <c r="B42" s="3"/>
      <c r="C42" s="3"/>
      <c r="D42" s="3"/>
      <c r="E42" s="3"/>
      <c r="F42" s="3"/>
      <c r="G42" s="4"/>
      <c r="H42" s="4"/>
      <c r="I42" s="4"/>
      <c r="J42" s="4"/>
      <c r="K42" s="4"/>
      <c r="L42" s="4"/>
    </row>
    <row r="44" spans="1:13">
      <c r="A44" s="6" t="s">
        <v>0</v>
      </c>
      <c r="B44" s="9" t="s">
        <v>75</v>
      </c>
      <c r="C44" s="4"/>
      <c r="D44" s="4"/>
      <c r="E44" s="4"/>
      <c r="F44" s="4"/>
      <c r="G44" s="4"/>
      <c r="H44" s="4"/>
      <c r="I44" s="4"/>
      <c r="J44" s="4"/>
      <c r="K44" s="4"/>
      <c r="L44" s="4"/>
    </row>
    <row r="45" spans="1:13">
      <c r="A45" s="3"/>
      <c r="B45" s="3"/>
      <c r="C45" s="3"/>
      <c r="D45" s="3"/>
      <c r="E45" s="3"/>
      <c r="F45" s="3"/>
      <c r="G45" s="4"/>
      <c r="H45" s="4"/>
      <c r="I45" s="4"/>
      <c r="J45" s="4"/>
      <c r="K45" s="4"/>
      <c r="L45" s="4"/>
    </row>
    <row r="46" spans="1:13">
      <c r="A46" s="7"/>
      <c r="B46" s="7"/>
      <c r="C46" s="7"/>
      <c r="D46" s="7"/>
      <c r="E46" s="7"/>
      <c r="F46" s="7"/>
      <c r="G46" s="7"/>
      <c r="H46" s="7"/>
      <c r="I46" s="7"/>
      <c r="J46" s="7"/>
      <c r="K46" s="7"/>
      <c r="L46" s="7"/>
    </row>
    <row r="47" spans="1:13">
      <c r="A47" s="7" t="s">
        <v>1</v>
      </c>
      <c r="B47" s="7"/>
      <c r="C47" s="7"/>
      <c r="D47" s="7"/>
      <c r="E47" s="7"/>
      <c r="F47" s="7"/>
      <c r="G47" s="7"/>
      <c r="H47" s="7"/>
      <c r="I47" s="7"/>
      <c r="J47" s="7"/>
      <c r="K47" s="7"/>
      <c r="L47" s="7"/>
    </row>
    <row r="48" spans="1:13">
      <c r="A48" s="7"/>
      <c r="B48" s="7" t="s">
        <v>613</v>
      </c>
      <c r="C48" s="7"/>
      <c r="D48" s="7"/>
      <c r="E48" s="271">
        <f>DATE(YEAR(D39)+1,MONTH(D39),DAY(D39))</f>
        <v>45444</v>
      </c>
      <c r="F48" s="202" t="s">
        <v>620</v>
      </c>
      <c r="G48" s="7"/>
      <c r="H48" s="7"/>
      <c r="I48" s="266"/>
      <c r="J48" s="7"/>
      <c r="K48" s="7"/>
      <c r="L48" s="7"/>
    </row>
    <row r="49" spans="2:14">
      <c r="B49" s="7"/>
      <c r="C49"/>
      <c r="D49"/>
      <c r="E49"/>
      <c r="F49"/>
      <c r="G49"/>
      <c r="H49"/>
      <c r="I49"/>
    </row>
    <row r="50" spans="2:14">
      <c r="B50" s="7"/>
      <c r="C50" s="267" t="s">
        <v>614</v>
      </c>
      <c r="D50" s="268"/>
      <c r="E50" s="7"/>
      <c r="F50" s="7"/>
      <c r="G50" s="7"/>
      <c r="H50" s="7"/>
      <c r="I50" s="7"/>
    </row>
    <row r="51" spans="2:14" ht="47.25">
      <c r="B51" s="115" t="s">
        <v>65</v>
      </c>
      <c r="C51" s="115" t="s">
        <v>615</v>
      </c>
      <c r="D51" s="115" t="s">
        <v>616</v>
      </c>
      <c r="E51" s="115" t="s">
        <v>617</v>
      </c>
      <c r="F51" s="115" t="s">
        <v>618</v>
      </c>
      <c r="G51" s="115" t="s">
        <v>619</v>
      </c>
      <c r="H51" s="115" t="s">
        <v>622</v>
      </c>
      <c r="I51" s="115" t="s">
        <v>621</v>
      </c>
      <c r="M51" s="7"/>
      <c r="N51" s="7"/>
    </row>
    <row r="52" spans="2:14">
      <c r="B52" s="110">
        <f>B22</f>
        <v>2019</v>
      </c>
      <c r="C52" s="271">
        <f t="shared" ref="C52:C54" si="3">DATE(B52,7,1)</f>
        <v>43647</v>
      </c>
      <c r="D52" s="271">
        <f>$E$48</f>
        <v>45444</v>
      </c>
      <c r="E52" s="110">
        <f>(12*YEAR(D52)+MONTH(D52))-(12*YEAR(C52)+MONTH(C52))</f>
        <v>59</v>
      </c>
      <c r="F52" s="151">
        <f>(1+$D$33)^(E52/12)</f>
        <v>1.1586317605138396</v>
      </c>
      <c r="G52" s="150">
        <f>F52*E9</f>
        <v>793048.68111890787</v>
      </c>
      <c r="H52" s="150">
        <f>D9*(1+$D$41)^(E52/12)</f>
        <v>20995763.468828142</v>
      </c>
      <c r="I52" s="264">
        <f>G52/H52</f>
        <v>3.7771842986149391E-2</v>
      </c>
      <c r="M52" s="7"/>
      <c r="N52" s="7"/>
    </row>
    <row r="53" spans="2:14">
      <c r="B53" s="110">
        <f t="shared" ref="B53:B54" si="4">B23</f>
        <v>2020</v>
      </c>
      <c r="C53" s="271">
        <f t="shared" si="3"/>
        <v>44013</v>
      </c>
      <c r="D53" s="271">
        <f t="shared" ref="D53:D54" si="5">$E$48</f>
        <v>45444</v>
      </c>
      <c r="E53" s="110">
        <f>(12*YEAR(D53)+MONTH(D53))-(12*YEAR(C53)+MONTH(C53))</f>
        <v>47</v>
      </c>
      <c r="F53" s="151">
        <f>(1+$D$33)^(E53/12)</f>
        <v>1.1244485253434002</v>
      </c>
      <c r="G53" s="150">
        <f>F53*E10</f>
        <v>825626.32973339164</v>
      </c>
      <c r="H53" s="150">
        <f>D10*(1+$D$41)^(E53/12)</f>
        <v>21654218.0392255</v>
      </c>
      <c r="I53" s="264">
        <f t="shared" ref="I53:I54" si="6">G53/H53</f>
        <v>3.812773697197526E-2</v>
      </c>
      <c r="M53" s="7"/>
      <c r="N53" s="7"/>
    </row>
    <row r="54" spans="2:14">
      <c r="B54" s="116">
        <f t="shared" si="4"/>
        <v>2021</v>
      </c>
      <c r="C54" s="272">
        <f t="shared" si="3"/>
        <v>44378</v>
      </c>
      <c r="D54" s="272">
        <f t="shared" si="5"/>
        <v>45444</v>
      </c>
      <c r="E54" s="116">
        <f>(12*YEAR(D54)+MONTH(D54))-(12*YEAR(C54)+MONTH(C54))</f>
        <v>35</v>
      </c>
      <c r="F54" s="154">
        <f>(1+$D$33)^(E54/12)</f>
        <v>1.0912738017696044</v>
      </c>
      <c r="G54" s="152">
        <f>F54*E11</f>
        <v>864681.70957016374</v>
      </c>
      <c r="H54" s="152">
        <f>D11*(1+$D$41)^(E54/12)</f>
        <v>22458416.503522467</v>
      </c>
      <c r="I54" s="269">
        <f t="shared" si="6"/>
        <v>3.850145487481469E-2</v>
      </c>
    </row>
    <row r="55" spans="2:14">
      <c r="B55" s="7"/>
      <c r="C55" s="7"/>
      <c r="D55" s="7"/>
      <c r="E55" s="7"/>
      <c r="F55" s="7"/>
      <c r="G55" s="7" t="s">
        <v>477</v>
      </c>
      <c r="H55" s="7"/>
      <c r="I55" s="270">
        <f>AVERAGE(I52:I54)</f>
        <v>3.8133678277646445E-2</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D55F-AED1-46FE-B6B2-88B2714BAA31}">
  <dimension ref="A1:R215"/>
  <sheetViews>
    <sheetView zoomScaleNormal="100" workbookViewId="0"/>
  </sheetViews>
  <sheetFormatPr defaultColWidth="8.85546875" defaultRowHeight="15.75"/>
  <cols>
    <col min="1" max="1" width="8.85546875" style="1" customWidth="1"/>
    <col min="2" max="2" width="12.7109375" style="1" customWidth="1"/>
    <col min="3" max="3" width="13.7109375" style="1" customWidth="1"/>
    <col min="4" max="4" width="16.140625" style="1" customWidth="1"/>
    <col min="5" max="5" width="16.42578125" style="1" customWidth="1"/>
    <col min="6" max="6" width="12.7109375" style="1" customWidth="1"/>
    <col min="7" max="7" width="13.7109375" style="1" customWidth="1"/>
    <col min="8" max="9" width="12.7109375" style="1" customWidth="1"/>
    <col min="10" max="16384" width="8.85546875" style="1"/>
  </cols>
  <sheetData>
    <row r="1" spans="1:12" ht="18.75">
      <c r="A1" s="2" t="s">
        <v>76</v>
      </c>
      <c r="B1" s="4"/>
      <c r="C1" s="9" t="s">
        <v>77</v>
      </c>
      <c r="D1" s="4"/>
      <c r="E1" s="4"/>
      <c r="F1" s="4"/>
      <c r="G1" s="4"/>
      <c r="H1" s="4"/>
      <c r="I1" s="4"/>
      <c r="J1" s="4"/>
      <c r="K1" s="4"/>
      <c r="L1" s="3"/>
    </row>
    <row r="2" spans="1:12">
      <c r="A2" s="4"/>
      <c r="B2" s="4"/>
      <c r="C2" s="4"/>
      <c r="D2" s="4"/>
      <c r="E2" s="4"/>
      <c r="F2" s="4"/>
      <c r="G2" s="4"/>
      <c r="H2" s="4"/>
      <c r="I2" s="4"/>
      <c r="J2" s="4"/>
      <c r="K2" s="4"/>
      <c r="L2" s="3"/>
    </row>
    <row r="3" spans="1:12">
      <c r="A3" s="9" t="s">
        <v>78</v>
      </c>
      <c r="B3" s="4"/>
      <c r="C3" s="4"/>
      <c r="D3" s="4"/>
      <c r="E3" s="4"/>
      <c r="F3" s="4"/>
      <c r="G3" s="4"/>
      <c r="H3" s="4"/>
      <c r="I3" s="4"/>
      <c r="J3" s="4"/>
      <c r="K3" s="4"/>
      <c r="L3" s="3"/>
    </row>
    <row r="4" spans="1:12">
      <c r="A4" s="10"/>
      <c r="B4" s="4"/>
      <c r="C4" s="4"/>
      <c r="D4" s="4"/>
      <c r="E4" s="4"/>
      <c r="F4" s="4"/>
      <c r="G4" s="4"/>
      <c r="H4" s="9"/>
      <c r="I4" s="9"/>
      <c r="J4" s="9"/>
      <c r="K4" s="9"/>
      <c r="L4" s="9"/>
    </row>
    <row r="5" spans="1:12" ht="31.15" customHeight="1">
      <c r="A5" s="10"/>
      <c r="B5" s="312" t="s">
        <v>79</v>
      </c>
      <c r="C5" s="312" t="s">
        <v>80</v>
      </c>
      <c r="D5" s="310" t="s">
        <v>337</v>
      </c>
      <c r="E5" s="310"/>
      <c r="F5" s="310"/>
      <c r="G5" s="4"/>
      <c r="H5" s="9"/>
      <c r="I5" s="9"/>
      <c r="J5" s="9"/>
      <c r="K5" s="9"/>
      <c r="L5" s="9"/>
    </row>
    <row r="6" spans="1:12">
      <c r="A6" s="10"/>
      <c r="B6" s="312"/>
      <c r="C6" s="312"/>
      <c r="D6" s="19" t="s">
        <v>81</v>
      </c>
      <c r="E6" s="19" t="s">
        <v>43</v>
      </c>
      <c r="F6" s="19" t="s">
        <v>82</v>
      </c>
      <c r="G6" s="4"/>
      <c r="H6" s="9"/>
      <c r="I6" s="9"/>
      <c r="J6" s="9"/>
      <c r="K6" s="9"/>
      <c r="L6" s="9"/>
    </row>
    <row r="7" spans="1:12">
      <c r="A7" s="10"/>
      <c r="B7" s="34">
        <v>2015</v>
      </c>
      <c r="C7" s="35">
        <v>11090</v>
      </c>
      <c r="D7" s="35">
        <v>1230</v>
      </c>
      <c r="E7" s="35">
        <v>5348724</v>
      </c>
      <c r="F7" s="27">
        <v>4349</v>
      </c>
      <c r="G7" s="4"/>
      <c r="H7" s="9"/>
      <c r="I7" s="9"/>
      <c r="J7" s="9"/>
      <c r="K7" s="9"/>
      <c r="L7" s="9"/>
    </row>
    <row r="8" spans="1:12">
      <c r="A8" s="10"/>
      <c r="B8" s="34">
        <v>2016</v>
      </c>
      <c r="C8" s="35">
        <v>11250</v>
      </c>
      <c r="D8" s="35">
        <v>1270</v>
      </c>
      <c r="E8" s="35">
        <v>5926222</v>
      </c>
      <c r="F8" s="27">
        <v>4666</v>
      </c>
      <c r="G8" s="4"/>
      <c r="H8" s="9"/>
      <c r="I8" s="9"/>
      <c r="J8" s="9"/>
      <c r="K8" s="9"/>
      <c r="L8" s="9"/>
    </row>
    <row r="9" spans="1:12">
      <c r="A9" s="4"/>
      <c r="B9" s="34">
        <v>2017</v>
      </c>
      <c r="C9" s="35">
        <v>11460</v>
      </c>
      <c r="D9" s="35">
        <v>1305</v>
      </c>
      <c r="E9" s="35">
        <v>6528246</v>
      </c>
      <c r="F9" s="27">
        <v>5002</v>
      </c>
      <c r="G9" s="4"/>
      <c r="H9" s="9"/>
      <c r="I9" s="9"/>
      <c r="J9" s="9"/>
      <c r="K9" s="9"/>
      <c r="L9" s="9"/>
    </row>
    <row r="10" spans="1:12">
      <c r="A10" s="4"/>
      <c r="B10" s="34">
        <v>2018</v>
      </c>
      <c r="C10" s="35">
        <v>11770</v>
      </c>
      <c r="D10" s="35">
        <v>1349</v>
      </c>
      <c r="E10" s="35">
        <v>7227370</v>
      </c>
      <c r="F10" s="27">
        <v>5358</v>
      </c>
      <c r="G10" s="4"/>
      <c r="H10" s="9"/>
      <c r="I10" s="9"/>
      <c r="J10" s="9"/>
      <c r="K10" s="9"/>
      <c r="L10" s="9"/>
    </row>
    <row r="11" spans="1:12">
      <c r="A11" s="10"/>
      <c r="B11" s="34">
        <v>2019</v>
      </c>
      <c r="C11" s="35">
        <v>12070</v>
      </c>
      <c r="D11" s="35">
        <v>1381</v>
      </c>
      <c r="E11" s="35">
        <v>8120976</v>
      </c>
      <c r="F11" s="27">
        <v>5881</v>
      </c>
      <c r="G11" s="4"/>
      <c r="H11" s="9"/>
      <c r="I11" s="9"/>
      <c r="J11" s="9"/>
      <c r="K11" s="9"/>
      <c r="L11" s="9"/>
    </row>
    <row r="12" spans="1:12">
      <c r="A12" s="4"/>
      <c r="B12" s="34">
        <v>2020</v>
      </c>
      <c r="C12" s="35">
        <v>12360</v>
      </c>
      <c r="D12" s="35">
        <v>1447</v>
      </c>
      <c r="E12" s="35">
        <v>9136918</v>
      </c>
      <c r="F12" s="27">
        <v>6314</v>
      </c>
      <c r="G12" s="4"/>
      <c r="H12" s="9"/>
      <c r="I12" s="9"/>
      <c r="J12" s="9"/>
      <c r="K12" s="9"/>
      <c r="L12" s="9"/>
    </row>
    <row r="13" spans="1:12">
      <c r="A13" s="4"/>
      <c r="B13" s="34">
        <v>2021</v>
      </c>
      <c r="C13" s="35">
        <v>12480</v>
      </c>
      <c r="D13" s="35">
        <v>1480</v>
      </c>
      <c r="E13" s="35">
        <v>9678673</v>
      </c>
      <c r="F13" s="27">
        <v>6540</v>
      </c>
      <c r="G13" s="4"/>
      <c r="H13" s="9"/>
      <c r="I13" s="9"/>
      <c r="J13" s="9"/>
      <c r="K13" s="9"/>
      <c r="L13" s="9"/>
    </row>
    <row r="14" spans="1:12">
      <c r="A14" s="4"/>
      <c r="B14" s="38" t="s">
        <v>83</v>
      </c>
      <c r="C14" s="39">
        <v>82480</v>
      </c>
      <c r="D14" s="39">
        <v>9462</v>
      </c>
      <c r="E14" s="39">
        <v>51967129</v>
      </c>
      <c r="F14" s="19"/>
      <c r="G14" s="4"/>
      <c r="H14" s="9"/>
      <c r="I14" s="9"/>
      <c r="J14" s="9"/>
      <c r="K14" s="9"/>
      <c r="L14" s="9"/>
    </row>
    <row r="15" spans="1:12">
      <c r="A15" s="4"/>
      <c r="B15" s="14"/>
      <c r="C15" s="16"/>
      <c r="D15" s="16"/>
      <c r="E15" s="16"/>
      <c r="F15" s="16"/>
      <c r="G15" s="4"/>
      <c r="H15" s="9"/>
      <c r="I15" s="9"/>
      <c r="J15" s="9"/>
      <c r="K15" s="9"/>
      <c r="L15" s="9"/>
    </row>
    <row r="16" spans="1:12">
      <c r="A16" s="9"/>
      <c r="B16" s="17" t="s">
        <v>84</v>
      </c>
      <c r="C16" s="16"/>
      <c r="D16" s="16"/>
      <c r="E16" s="22">
        <v>0.01</v>
      </c>
      <c r="F16" s="16"/>
      <c r="G16" s="9"/>
      <c r="H16" s="9"/>
      <c r="I16" s="9"/>
      <c r="J16" s="9"/>
      <c r="K16" s="9"/>
      <c r="L16" s="9"/>
    </row>
    <row r="17" spans="1:18">
      <c r="A17" s="9"/>
      <c r="B17" s="17" t="s">
        <v>85</v>
      </c>
      <c r="C17" s="16"/>
      <c r="D17" s="16"/>
      <c r="E17" s="55">
        <v>6.5000000000000002E-2</v>
      </c>
      <c r="F17" s="16"/>
      <c r="G17" s="9"/>
      <c r="H17" s="9"/>
      <c r="I17" s="9"/>
      <c r="J17" s="9"/>
      <c r="K17" s="9"/>
      <c r="L17" s="9"/>
    </row>
    <row r="18" spans="1:18">
      <c r="A18" s="9"/>
      <c r="B18" s="17"/>
      <c r="C18" s="16"/>
      <c r="D18" s="16"/>
      <c r="E18" s="42"/>
      <c r="F18" s="16"/>
      <c r="G18" s="9"/>
      <c r="H18" s="9"/>
      <c r="I18" s="9"/>
      <c r="J18" s="9"/>
      <c r="K18" s="9"/>
      <c r="L18" s="9"/>
    </row>
    <row r="19" spans="1:18">
      <c r="A19" s="7"/>
      <c r="B19" s="7"/>
      <c r="C19" s="7"/>
      <c r="D19" s="7"/>
      <c r="E19" s="7"/>
      <c r="F19" s="7"/>
      <c r="G19" s="7"/>
      <c r="H19" s="7"/>
      <c r="I19" s="7"/>
      <c r="J19" s="7"/>
      <c r="K19" s="7"/>
      <c r="L19" s="7"/>
    </row>
    <row r="20" spans="1:18">
      <c r="A20" s="6" t="s">
        <v>4</v>
      </c>
      <c r="B20" s="9" t="s">
        <v>86</v>
      </c>
      <c r="C20" s="4"/>
      <c r="D20" s="4"/>
      <c r="E20" s="4"/>
      <c r="F20" s="4"/>
      <c r="G20" s="4"/>
      <c r="H20" s="4"/>
      <c r="I20" s="4"/>
      <c r="J20" s="4"/>
      <c r="K20" s="4"/>
      <c r="L20" s="4"/>
      <c r="M20" s="8"/>
      <c r="N20" s="8"/>
      <c r="O20" s="8"/>
      <c r="P20" s="8"/>
      <c r="Q20" s="8"/>
      <c r="R20" s="8"/>
    </row>
    <row r="21" spans="1:18">
      <c r="A21" s="3"/>
      <c r="B21" s="3"/>
      <c r="C21" s="3"/>
      <c r="D21" s="3"/>
      <c r="E21" s="3"/>
      <c r="F21" s="3"/>
      <c r="G21" s="4"/>
      <c r="H21" s="4"/>
      <c r="I21" s="4"/>
      <c r="J21" s="4"/>
      <c r="K21" s="4"/>
      <c r="L21" s="4"/>
    </row>
    <row r="22" spans="1:18">
      <c r="A22" s="7"/>
      <c r="B22" s="7"/>
      <c r="C22" s="7"/>
      <c r="D22" s="7"/>
      <c r="E22" s="7"/>
      <c r="F22" s="7"/>
      <c r="G22" s="7"/>
      <c r="H22" s="7"/>
      <c r="I22" s="7"/>
      <c r="J22" s="7"/>
      <c r="K22" s="7"/>
      <c r="L22" s="7"/>
      <c r="M22" s="7"/>
    </row>
    <row r="23" spans="1:18">
      <c r="A23" s="7" t="s">
        <v>1</v>
      </c>
      <c r="B23" s="7"/>
      <c r="C23" s="7"/>
      <c r="D23" s="7"/>
      <c r="E23" s="7"/>
      <c r="F23" s="7"/>
      <c r="G23" s="7"/>
      <c r="H23" s="7"/>
      <c r="I23" s="7"/>
      <c r="J23" s="7"/>
      <c r="K23" s="7"/>
      <c r="L23" s="7"/>
      <c r="M23" s="7"/>
      <c r="N23" s="8"/>
    </row>
    <row r="24" spans="1:18" ht="47.25">
      <c r="A24" s="7"/>
      <c r="B24" s="172" t="s">
        <v>79</v>
      </c>
      <c r="C24" s="172" t="s">
        <v>80</v>
      </c>
      <c r="D24" s="172" t="s">
        <v>623</v>
      </c>
      <c r="E24" s="172" t="s">
        <v>624</v>
      </c>
      <c r="F24" s="172" t="s">
        <v>633</v>
      </c>
      <c r="G24" s="172" t="s">
        <v>625</v>
      </c>
      <c r="H24" s="172" t="s">
        <v>634</v>
      </c>
      <c r="I24" s="7"/>
      <c r="J24" s="7"/>
      <c r="K24" s="7"/>
      <c r="L24" s="7"/>
      <c r="M24" s="7"/>
      <c r="N24" s="8"/>
    </row>
    <row r="25" spans="1:18">
      <c r="B25" s="130">
        <f t="shared" ref="B25:D31" si="0">B7</f>
        <v>2015</v>
      </c>
      <c r="C25" s="142">
        <f t="shared" si="0"/>
        <v>11090</v>
      </c>
      <c r="D25" s="142">
        <f t="shared" si="0"/>
        <v>1230</v>
      </c>
      <c r="E25" s="275">
        <f t="shared" ref="E25:E31" si="1">D25/C25</f>
        <v>0.1109107303877367</v>
      </c>
      <c r="F25" s="275">
        <f>F26*(1+$E$16)</f>
        <v>1.0615201506009999</v>
      </c>
      <c r="G25" s="275">
        <f t="shared" ref="G25:G31" si="2">F25*E25</f>
        <v>0.11773397522445717</v>
      </c>
      <c r="H25" s="142">
        <f>$G$33*C25/F25</f>
        <v>1233.5449884350055</v>
      </c>
      <c r="M25" s="8"/>
      <c r="N25" s="8"/>
    </row>
    <row r="26" spans="1:18">
      <c r="B26" s="130">
        <f t="shared" si="0"/>
        <v>2016</v>
      </c>
      <c r="C26" s="142">
        <f t="shared" si="0"/>
        <v>11250</v>
      </c>
      <c r="D26" s="142">
        <f t="shared" si="0"/>
        <v>1270</v>
      </c>
      <c r="E26" s="275">
        <f t="shared" si="1"/>
        <v>0.11288888888888889</v>
      </c>
      <c r="F26" s="275">
        <f t="shared" ref="F26:F30" si="3">F27*(1+$E$16)</f>
        <v>1.0510100500999999</v>
      </c>
      <c r="G26" s="275">
        <f t="shared" si="2"/>
        <v>0.11864735676684443</v>
      </c>
      <c r="H26" s="142">
        <f t="shared" ref="H26:H31" si="4">$G$33*C26/F26</f>
        <v>1263.8552688090849</v>
      </c>
      <c r="M26" s="8"/>
      <c r="N26" s="8"/>
    </row>
    <row r="27" spans="1:18">
      <c r="B27" s="130">
        <f t="shared" si="0"/>
        <v>2017</v>
      </c>
      <c r="C27" s="142">
        <f t="shared" si="0"/>
        <v>11460</v>
      </c>
      <c r="D27" s="142">
        <f t="shared" si="0"/>
        <v>1305</v>
      </c>
      <c r="E27" s="275">
        <f t="shared" si="1"/>
        <v>0.11387434554973822</v>
      </c>
      <c r="F27" s="275">
        <f t="shared" si="3"/>
        <v>1.04060401</v>
      </c>
      <c r="G27" s="275">
        <f t="shared" si="2"/>
        <v>0.11849810061518325</v>
      </c>
      <c r="H27" s="142">
        <f t="shared" si="4"/>
        <v>1300.3217061651228</v>
      </c>
      <c r="M27" s="8"/>
      <c r="N27" s="8"/>
    </row>
    <row r="28" spans="1:18">
      <c r="B28" s="130">
        <f t="shared" si="0"/>
        <v>2018</v>
      </c>
      <c r="C28" s="142">
        <f t="shared" si="0"/>
        <v>11770</v>
      </c>
      <c r="D28" s="142">
        <f t="shared" si="0"/>
        <v>1349</v>
      </c>
      <c r="E28" s="275">
        <f t="shared" si="1"/>
        <v>0.11461342395921835</v>
      </c>
      <c r="F28" s="275">
        <f t="shared" si="3"/>
        <v>1.0303009999999999</v>
      </c>
      <c r="G28" s="275">
        <f t="shared" si="2"/>
        <v>0.11808632531860662</v>
      </c>
      <c r="H28" s="142">
        <f t="shared" si="4"/>
        <v>1348.851164605509</v>
      </c>
      <c r="M28" s="8"/>
      <c r="N28" s="8"/>
    </row>
    <row r="29" spans="1:18">
      <c r="B29" s="130">
        <f t="shared" si="0"/>
        <v>2019</v>
      </c>
      <c r="C29" s="142">
        <f t="shared" si="0"/>
        <v>12070</v>
      </c>
      <c r="D29" s="142">
        <f t="shared" si="0"/>
        <v>1381</v>
      </c>
      <c r="E29" s="275">
        <f t="shared" si="1"/>
        <v>0.11441590720795361</v>
      </c>
      <c r="F29" s="275">
        <f t="shared" si="3"/>
        <v>1.0201</v>
      </c>
      <c r="G29" s="275">
        <f t="shared" si="2"/>
        <v>0.11671566694283347</v>
      </c>
      <c r="H29" s="142">
        <f t="shared" si="4"/>
        <v>1397.0637121798111</v>
      </c>
      <c r="M29" s="8"/>
      <c r="N29" s="8"/>
    </row>
    <row r="30" spans="1:18">
      <c r="B30" s="130">
        <f t="shared" si="0"/>
        <v>2020</v>
      </c>
      <c r="C30" s="142">
        <f t="shared" si="0"/>
        <v>12360</v>
      </c>
      <c r="D30" s="142">
        <f t="shared" si="0"/>
        <v>1447</v>
      </c>
      <c r="E30" s="275">
        <f t="shared" si="1"/>
        <v>0.11707119741100323</v>
      </c>
      <c r="F30" s="275">
        <f t="shared" si="3"/>
        <v>1.01</v>
      </c>
      <c r="G30" s="275">
        <f t="shared" si="2"/>
        <v>0.11824190938511327</v>
      </c>
      <c r="H30" s="142">
        <f t="shared" si="4"/>
        <v>1444.9365830462211</v>
      </c>
      <c r="M30" s="8"/>
      <c r="N30" s="8"/>
    </row>
    <row r="31" spans="1:18">
      <c r="B31" s="137">
        <f t="shared" si="0"/>
        <v>2021</v>
      </c>
      <c r="C31" s="199">
        <f t="shared" si="0"/>
        <v>12480</v>
      </c>
      <c r="D31" s="199">
        <f t="shared" si="0"/>
        <v>1480</v>
      </c>
      <c r="E31" s="276">
        <f t="shared" si="1"/>
        <v>0.11858974358974358</v>
      </c>
      <c r="F31" s="276">
        <v>1</v>
      </c>
      <c r="G31" s="276">
        <f t="shared" si="2"/>
        <v>0.11858974358974358</v>
      </c>
      <c r="H31" s="199">
        <f t="shared" si="4"/>
        <v>1473.5547444968454</v>
      </c>
      <c r="M31" s="8"/>
      <c r="N31" s="8"/>
    </row>
    <row r="32" spans="1:18">
      <c r="E32" s="1" t="s">
        <v>626</v>
      </c>
      <c r="G32" s="275">
        <f>AVERAGE(G25:G31)</f>
        <v>0.11807329683468312</v>
      </c>
      <c r="M32" s="8"/>
      <c r="N32" s="8"/>
    </row>
    <row r="33" spans="2:14">
      <c r="E33" s="1" t="s">
        <v>627</v>
      </c>
      <c r="G33" s="278">
        <f>G32</f>
        <v>0.11807329683468312</v>
      </c>
      <c r="M33" s="8"/>
      <c r="N33" s="8"/>
    </row>
    <row r="34" spans="2:14">
      <c r="E34" s="242" t="s">
        <v>635</v>
      </c>
      <c r="M34" s="8"/>
      <c r="N34" s="8"/>
    </row>
    <row r="35" spans="2:14">
      <c r="M35" s="8"/>
      <c r="N35" s="8"/>
    </row>
    <row r="36" spans="2:14" ht="47.25">
      <c r="B36" s="172" t="s">
        <v>79</v>
      </c>
      <c r="C36" s="172" t="s">
        <v>628</v>
      </c>
      <c r="D36" s="172" t="s">
        <v>636</v>
      </c>
      <c r="E36" s="172" t="s">
        <v>629</v>
      </c>
      <c r="F36" s="172" t="s">
        <v>637</v>
      </c>
      <c r="G36" s="172" t="s">
        <v>630</v>
      </c>
      <c r="H36"/>
      <c r="M36" s="8"/>
      <c r="N36" s="8"/>
    </row>
    <row r="37" spans="2:14">
      <c r="B37" s="130">
        <f>B25</f>
        <v>2015</v>
      </c>
      <c r="C37" s="142">
        <f>F7</f>
        <v>4349</v>
      </c>
      <c r="D37" s="275">
        <f t="shared" ref="D37:D41" si="5">D38*(1+$E$17)</f>
        <v>1.4591422965376402</v>
      </c>
      <c r="E37" s="143">
        <f t="shared" ref="E37:E43" si="6">D37*C37</f>
        <v>6345.8098476421974</v>
      </c>
      <c r="F37" s="142">
        <f>$E$46/D37</f>
        <v>4501.5330005176174</v>
      </c>
      <c r="G37" s="142">
        <f t="shared" ref="G37:G43" si="7">F37*H25</f>
        <v>5552843.4730633004</v>
      </c>
      <c r="H37"/>
      <c r="M37" s="8"/>
      <c r="N37" s="8"/>
    </row>
    <row r="38" spans="2:14">
      <c r="B38" s="130">
        <f t="shared" ref="B38:B43" si="8">B26</f>
        <v>2016</v>
      </c>
      <c r="C38" s="142">
        <f t="shared" ref="C38:C43" si="9">F8</f>
        <v>4666</v>
      </c>
      <c r="D38" s="275">
        <f t="shared" si="5"/>
        <v>1.3700866634156246</v>
      </c>
      <c r="E38" s="143">
        <f t="shared" si="6"/>
        <v>6392.8243714973041</v>
      </c>
      <c r="F38" s="142">
        <f t="shared" ref="F38:F43" si="10">$E$46/D38</f>
        <v>4794.1326455512617</v>
      </c>
      <c r="G38" s="142">
        <f t="shared" si="7"/>
        <v>6059089.8034495991</v>
      </c>
      <c r="H38"/>
      <c r="M38" s="8"/>
      <c r="N38" s="8"/>
    </row>
    <row r="39" spans="2:14">
      <c r="B39" s="130">
        <f t="shared" si="8"/>
        <v>2017</v>
      </c>
      <c r="C39" s="142">
        <f t="shared" si="9"/>
        <v>5002</v>
      </c>
      <c r="D39" s="275">
        <f t="shared" si="5"/>
        <v>1.2864663506249996</v>
      </c>
      <c r="E39" s="143">
        <f t="shared" si="6"/>
        <v>6434.9046858262482</v>
      </c>
      <c r="F39" s="142">
        <f t="shared" si="10"/>
        <v>5105.7512675120943</v>
      </c>
      <c r="G39" s="142">
        <f t="shared" si="7"/>
        <v>6639119.1994260652</v>
      </c>
      <c r="H39"/>
      <c r="M39" s="8"/>
      <c r="N39" s="8"/>
    </row>
    <row r="40" spans="2:14">
      <c r="B40" s="130">
        <f t="shared" si="8"/>
        <v>2018</v>
      </c>
      <c r="C40" s="142">
        <f t="shared" si="9"/>
        <v>5358</v>
      </c>
      <c r="D40" s="275">
        <f t="shared" si="5"/>
        <v>1.2079496249999997</v>
      </c>
      <c r="E40" s="143">
        <f t="shared" si="6"/>
        <v>6472.1940907499984</v>
      </c>
      <c r="F40" s="142">
        <f t="shared" si="10"/>
        <v>5437.6250999003796</v>
      </c>
      <c r="G40" s="142">
        <f t="shared" si="7"/>
        <v>7334546.9486887744</v>
      </c>
      <c r="H40"/>
      <c r="M40" s="8"/>
      <c r="N40" s="8"/>
    </row>
    <row r="41" spans="2:14">
      <c r="B41" s="130">
        <f t="shared" si="8"/>
        <v>2019</v>
      </c>
      <c r="C41" s="142">
        <f t="shared" si="9"/>
        <v>5881</v>
      </c>
      <c r="D41" s="275">
        <f t="shared" si="5"/>
        <v>1.1342249999999998</v>
      </c>
      <c r="E41" s="143">
        <f t="shared" si="6"/>
        <v>6670.3772249999993</v>
      </c>
      <c r="F41" s="142">
        <f t="shared" si="10"/>
        <v>5791.0707313939038</v>
      </c>
      <c r="G41" s="142">
        <f t="shared" si="7"/>
        <v>8090494.7734970208</v>
      </c>
      <c r="H41"/>
      <c r="M41" s="8"/>
      <c r="N41" s="8"/>
    </row>
    <row r="42" spans="2:14">
      <c r="B42" s="130">
        <f t="shared" si="8"/>
        <v>2020</v>
      </c>
      <c r="C42" s="142">
        <f t="shared" si="9"/>
        <v>6314</v>
      </c>
      <c r="D42" s="275">
        <f>D43*(1+$E$17)</f>
        <v>1.0649999999999999</v>
      </c>
      <c r="E42" s="143">
        <f t="shared" si="6"/>
        <v>6724.41</v>
      </c>
      <c r="F42" s="142">
        <f t="shared" si="10"/>
        <v>6167.4903289345075</v>
      </c>
      <c r="G42" s="142">
        <f t="shared" si="7"/>
        <v>8911632.4018612411</v>
      </c>
      <c r="H42"/>
      <c r="M42" s="8"/>
      <c r="N42" s="8"/>
    </row>
    <row r="43" spans="2:14">
      <c r="B43" s="137">
        <f t="shared" si="8"/>
        <v>2021</v>
      </c>
      <c r="C43" s="199">
        <f t="shared" si="9"/>
        <v>6540</v>
      </c>
      <c r="D43" s="276">
        <v>1</v>
      </c>
      <c r="E43" s="277">
        <f t="shared" si="6"/>
        <v>6540</v>
      </c>
      <c r="F43" s="199">
        <f t="shared" si="10"/>
        <v>6568.3772003152499</v>
      </c>
      <c r="G43" s="199">
        <f t="shared" si="7"/>
        <v>9678863.3871694431</v>
      </c>
      <c r="H43"/>
      <c r="M43" s="8"/>
      <c r="N43" s="8"/>
    </row>
    <row r="44" spans="2:14">
      <c r="C44" s="1" t="s">
        <v>626</v>
      </c>
      <c r="E44" s="143">
        <f>AVERAGE(E37:E43)</f>
        <v>6511.5028886736782</v>
      </c>
      <c r="G44" s="142">
        <f>SUM(G37:G43)</f>
        <v>52266589.987155445</v>
      </c>
      <c r="H44"/>
      <c r="M44" s="8"/>
      <c r="N44" s="8"/>
    </row>
    <row r="45" spans="2:14">
      <c r="C45" s="1" t="s">
        <v>631</v>
      </c>
      <c r="E45" s="143">
        <f>AVERAGE(E39:E43)</f>
        <v>6568.3772003152499</v>
      </c>
      <c r="G45"/>
      <c r="H45"/>
      <c r="M45" s="8"/>
      <c r="N45" s="8"/>
    </row>
    <row r="46" spans="2:14">
      <c r="C46" s="1" t="s">
        <v>632</v>
      </c>
      <c r="E46" s="145">
        <f>E45</f>
        <v>6568.3772003152499</v>
      </c>
      <c r="G46"/>
      <c r="H46"/>
      <c r="M46" s="8"/>
      <c r="N46" s="8"/>
    </row>
    <row r="47" spans="2:14">
      <c r="C47" s="242" t="s">
        <v>638</v>
      </c>
      <c r="E47"/>
      <c r="G47"/>
      <c r="M47" s="8"/>
      <c r="N47" s="8"/>
    </row>
    <row r="48" spans="2:14">
      <c r="M48" s="8"/>
      <c r="N48" s="8"/>
    </row>
    <row r="49" spans="1:14">
      <c r="A49" s="3"/>
      <c r="B49" s="3"/>
      <c r="C49" s="3"/>
      <c r="D49" s="3"/>
      <c r="E49" s="3"/>
      <c r="F49" s="3"/>
      <c r="G49" s="4"/>
      <c r="H49" s="4"/>
      <c r="I49" s="4"/>
      <c r="J49" s="4"/>
      <c r="K49" s="4"/>
      <c r="L49" s="4"/>
      <c r="M49" s="8"/>
      <c r="N49" s="8"/>
    </row>
    <row r="50" spans="1:14">
      <c r="A50" s="303" t="s">
        <v>338</v>
      </c>
      <c r="B50" s="303"/>
      <c r="C50" s="303"/>
      <c r="D50" s="303"/>
      <c r="E50" s="303"/>
      <c r="F50" s="303"/>
      <c r="G50" s="303"/>
      <c r="H50" s="303"/>
      <c r="I50" s="303"/>
      <c r="J50" s="303"/>
      <c r="K50" s="303"/>
      <c r="L50" s="4"/>
      <c r="M50" s="8"/>
      <c r="N50" s="8"/>
    </row>
    <row r="51" spans="1:14">
      <c r="A51" s="303"/>
      <c r="B51" s="303"/>
      <c r="C51" s="303"/>
      <c r="D51" s="303"/>
      <c r="E51" s="303"/>
      <c r="F51" s="303"/>
      <c r="G51" s="303"/>
      <c r="H51" s="303"/>
      <c r="I51" s="303"/>
      <c r="J51" s="303"/>
      <c r="K51" s="303"/>
      <c r="L51" s="4"/>
      <c r="M51" s="8"/>
      <c r="N51" s="8"/>
    </row>
    <row r="52" spans="1:14">
      <c r="A52" s="3"/>
      <c r="B52" s="3"/>
      <c r="C52" s="3"/>
      <c r="D52" s="3"/>
      <c r="E52" s="3"/>
      <c r="F52" s="3"/>
      <c r="G52" s="4"/>
      <c r="H52" s="4"/>
      <c r="I52" s="4"/>
      <c r="J52" s="4"/>
      <c r="K52" s="4"/>
      <c r="L52" s="4"/>
      <c r="M52" s="8"/>
      <c r="N52" s="8"/>
    </row>
    <row r="53" spans="1:14">
      <c r="A53" s="3"/>
      <c r="B53" s="310" t="s">
        <v>79</v>
      </c>
      <c r="C53" s="313" t="s">
        <v>87</v>
      </c>
      <c r="D53" s="313"/>
      <c r="E53" s="313"/>
      <c r="F53" s="313"/>
      <c r="G53" s="313"/>
      <c r="H53" s="313"/>
      <c r="I53" s="313"/>
      <c r="J53" s="4"/>
      <c r="K53" s="4"/>
      <c r="L53" s="4"/>
      <c r="M53" s="8"/>
      <c r="N53" s="8"/>
    </row>
    <row r="54" spans="1:14">
      <c r="A54" s="3"/>
      <c r="B54" s="310"/>
      <c r="C54" s="38">
        <v>12</v>
      </c>
      <c r="D54" s="38">
        <v>24</v>
      </c>
      <c r="E54" s="38">
        <v>36</v>
      </c>
      <c r="F54" s="38">
        <v>48</v>
      </c>
      <c r="G54" s="38">
        <v>60</v>
      </c>
      <c r="H54" s="38">
        <v>72</v>
      </c>
      <c r="I54" s="38">
        <v>84</v>
      </c>
      <c r="J54" s="4"/>
      <c r="K54" s="4"/>
      <c r="L54" s="4"/>
      <c r="M54" s="8"/>
      <c r="N54" s="8"/>
    </row>
    <row r="55" spans="1:14">
      <c r="A55" s="3"/>
      <c r="B55" s="34">
        <v>2015</v>
      </c>
      <c r="C55" s="35">
        <v>1906608</v>
      </c>
      <c r="D55" s="35">
        <v>2666402</v>
      </c>
      <c r="E55" s="35">
        <v>3459325</v>
      </c>
      <c r="F55" s="35">
        <v>4177978</v>
      </c>
      <c r="G55" s="35">
        <v>4782824</v>
      </c>
      <c r="H55" s="35">
        <v>5202046</v>
      </c>
      <c r="I55" s="35">
        <v>5274875</v>
      </c>
      <c r="J55" s="4"/>
      <c r="K55" s="4"/>
      <c r="L55" s="4"/>
      <c r="M55" s="8"/>
      <c r="N55" s="8"/>
    </row>
    <row r="56" spans="1:14">
      <c r="A56" s="3"/>
      <c r="B56" s="34">
        <v>2016</v>
      </c>
      <c r="C56" s="35">
        <v>2023029</v>
      </c>
      <c r="D56" s="35">
        <v>2921757</v>
      </c>
      <c r="E56" s="35">
        <v>3795342</v>
      </c>
      <c r="F56" s="35">
        <v>4577229</v>
      </c>
      <c r="G56" s="35">
        <v>5158981</v>
      </c>
      <c r="H56" s="35">
        <v>5763708</v>
      </c>
      <c r="I56" s="34"/>
      <c r="J56" s="4"/>
      <c r="K56" s="4"/>
      <c r="L56" s="4"/>
      <c r="M56" s="8"/>
      <c r="N56" s="8"/>
    </row>
    <row r="57" spans="1:14">
      <c r="A57" s="3"/>
      <c r="B57" s="34">
        <v>2017</v>
      </c>
      <c r="C57" s="35">
        <v>2207357</v>
      </c>
      <c r="D57" s="35">
        <v>3082180</v>
      </c>
      <c r="E57" s="35">
        <v>4057723</v>
      </c>
      <c r="F57" s="35">
        <v>4924637</v>
      </c>
      <c r="G57" s="35">
        <v>5759272</v>
      </c>
      <c r="H57" s="34"/>
      <c r="I57" s="34"/>
      <c r="J57" s="4"/>
      <c r="K57" s="4"/>
      <c r="L57" s="4"/>
      <c r="M57" s="8"/>
      <c r="N57" s="8"/>
    </row>
    <row r="58" spans="1:14">
      <c r="A58" s="3"/>
      <c r="B58" s="34">
        <v>2018</v>
      </c>
      <c r="C58" s="35">
        <v>2389192</v>
      </c>
      <c r="D58" s="35">
        <v>3427092</v>
      </c>
      <c r="E58" s="35">
        <v>4397500</v>
      </c>
      <c r="F58" s="35">
        <v>5558325</v>
      </c>
      <c r="G58" s="34"/>
      <c r="H58" s="34"/>
      <c r="I58" s="34"/>
      <c r="J58" s="4"/>
      <c r="K58" s="4"/>
      <c r="L58" s="4"/>
      <c r="M58" s="8"/>
      <c r="N58" s="8"/>
    </row>
    <row r="59" spans="1:14">
      <c r="A59" s="3"/>
      <c r="B59" s="34">
        <v>2019</v>
      </c>
      <c r="C59" s="35">
        <v>2550446</v>
      </c>
      <c r="D59" s="35">
        <v>3683042</v>
      </c>
      <c r="E59" s="35">
        <v>5107412</v>
      </c>
      <c r="F59" s="34"/>
      <c r="G59" s="34"/>
      <c r="H59" s="34"/>
      <c r="I59" s="34"/>
      <c r="J59" s="4"/>
      <c r="K59" s="4"/>
      <c r="L59" s="4"/>
      <c r="M59" s="8"/>
      <c r="N59" s="8"/>
    </row>
    <row r="60" spans="1:14">
      <c r="A60" s="3"/>
      <c r="B60" s="34">
        <v>2020</v>
      </c>
      <c r="C60" s="35">
        <v>2695059</v>
      </c>
      <c r="D60" s="35">
        <v>4364690</v>
      </c>
      <c r="E60" s="34"/>
      <c r="F60" s="34"/>
      <c r="G60" s="34"/>
      <c r="H60" s="34"/>
      <c r="I60" s="34"/>
      <c r="J60" s="4"/>
      <c r="K60" s="4"/>
      <c r="L60" s="4"/>
      <c r="M60" s="8"/>
      <c r="N60" s="8"/>
    </row>
    <row r="61" spans="1:14">
      <c r="A61" s="3"/>
      <c r="B61" s="34">
        <v>2021</v>
      </c>
      <c r="C61" s="35">
        <v>3175077</v>
      </c>
      <c r="D61" s="34"/>
      <c r="E61" s="34"/>
      <c r="F61" s="34"/>
      <c r="G61" s="34"/>
      <c r="H61" s="34"/>
      <c r="I61" s="34"/>
      <c r="J61" s="4"/>
      <c r="K61" s="4"/>
      <c r="L61" s="4"/>
      <c r="M61" s="8"/>
      <c r="N61" s="8"/>
    </row>
    <row r="62" spans="1:14">
      <c r="A62" s="3"/>
      <c r="B62" s="9"/>
      <c r="C62" s="9"/>
      <c r="D62" s="9"/>
      <c r="E62" s="9"/>
      <c r="F62" s="9"/>
      <c r="G62" s="9"/>
      <c r="H62" s="9"/>
      <c r="I62" s="9"/>
      <c r="J62" s="4"/>
      <c r="K62" s="4"/>
      <c r="L62" s="4"/>
      <c r="M62" s="8"/>
      <c r="N62" s="8"/>
    </row>
    <row r="63" spans="1:14">
      <c r="A63" s="3"/>
      <c r="B63" s="310" t="s">
        <v>79</v>
      </c>
      <c r="C63" s="313" t="s">
        <v>88</v>
      </c>
      <c r="D63" s="313"/>
      <c r="E63" s="313"/>
      <c r="F63" s="313"/>
      <c r="G63" s="313"/>
      <c r="H63" s="313"/>
      <c r="I63" s="313"/>
      <c r="J63" s="4"/>
      <c r="K63" s="4"/>
      <c r="L63" s="4"/>
      <c r="M63" s="8"/>
      <c r="N63" s="8"/>
    </row>
    <row r="64" spans="1:14">
      <c r="A64" s="3"/>
      <c r="B64" s="310"/>
      <c r="C64" s="38">
        <v>12</v>
      </c>
      <c r="D64" s="38">
        <v>24</v>
      </c>
      <c r="E64" s="38">
        <v>36</v>
      </c>
      <c r="F64" s="38">
        <v>48</v>
      </c>
      <c r="G64" s="38">
        <v>60</v>
      </c>
      <c r="H64" s="38">
        <v>72</v>
      </c>
      <c r="I64" s="38">
        <v>84</v>
      </c>
      <c r="J64" s="4"/>
      <c r="K64" s="4"/>
      <c r="L64" s="4"/>
      <c r="M64" s="8"/>
      <c r="N64" s="8"/>
    </row>
    <row r="65" spans="1:15">
      <c r="A65" s="3"/>
      <c r="B65" s="34">
        <v>2015</v>
      </c>
      <c r="C65" s="35">
        <v>734782</v>
      </c>
      <c r="D65" s="35">
        <v>1253583</v>
      </c>
      <c r="E65" s="35">
        <v>1905611</v>
      </c>
      <c r="F65" s="35">
        <v>2640076</v>
      </c>
      <c r="G65" s="35">
        <v>3434180</v>
      </c>
      <c r="H65" s="35">
        <v>4178154</v>
      </c>
      <c r="I65" s="35">
        <v>4637751</v>
      </c>
      <c r="J65" s="4"/>
      <c r="K65" s="4"/>
      <c r="L65" s="4"/>
      <c r="M65" s="8"/>
      <c r="N65" s="8"/>
    </row>
    <row r="66" spans="1:15">
      <c r="A66" s="3"/>
      <c r="B66" s="34">
        <v>2016</v>
      </c>
      <c r="C66" s="35">
        <v>767982</v>
      </c>
      <c r="D66" s="35">
        <v>1372261</v>
      </c>
      <c r="E66" s="35">
        <v>2087061</v>
      </c>
      <c r="F66" s="35">
        <v>2927979</v>
      </c>
      <c r="G66" s="35">
        <v>3704517</v>
      </c>
      <c r="H66" s="35">
        <v>4546408</v>
      </c>
      <c r="I66" s="34"/>
      <c r="J66" s="4"/>
      <c r="K66" s="4"/>
      <c r="L66" s="4"/>
      <c r="M66" s="8"/>
      <c r="N66" s="8"/>
    </row>
    <row r="67" spans="1:15">
      <c r="A67" s="3"/>
      <c r="B67" s="34">
        <v>2017</v>
      </c>
      <c r="C67" s="35">
        <v>799315</v>
      </c>
      <c r="D67" s="35">
        <v>1350784</v>
      </c>
      <c r="E67" s="35">
        <v>2259191</v>
      </c>
      <c r="F67" s="35">
        <v>3126494</v>
      </c>
      <c r="G67" s="35">
        <v>4007167</v>
      </c>
      <c r="H67" s="34"/>
      <c r="I67" s="34"/>
      <c r="J67" s="4"/>
      <c r="K67" s="4"/>
      <c r="L67" s="4"/>
      <c r="M67" s="8"/>
      <c r="N67" s="8"/>
    </row>
    <row r="68" spans="1:15">
      <c r="A68" s="3"/>
      <c r="B68" s="34">
        <v>2018</v>
      </c>
      <c r="C68" s="35">
        <v>899087</v>
      </c>
      <c r="D68" s="35">
        <v>1635498</v>
      </c>
      <c r="E68" s="35">
        <v>2443217</v>
      </c>
      <c r="F68" s="35">
        <v>3379326</v>
      </c>
      <c r="G68" s="34"/>
      <c r="H68" s="34"/>
      <c r="I68" s="34"/>
      <c r="J68" s="4"/>
      <c r="K68" s="4"/>
      <c r="L68" s="4"/>
      <c r="M68" s="8"/>
      <c r="N68" s="8"/>
    </row>
    <row r="69" spans="1:15">
      <c r="A69" s="3"/>
      <c r="B69" s="34">
        <v>2019</v>
      </c>
      <c r="C69" s="35">
        <v>968418</v>
      </c>
      <c r="D69" s="35">
        <v>1736844</v>
      </c>
      <c r="E69" s="35">
        <v>2639562</v>
      </c>
      <c r="F69" s="34"/>
      <c r="G69" s="34"/>
      <c r="H69" s="34"/>
      <c r="I69" s="34"/>
      <c r="J69" s="4"/>
      <c r="K69" s="4"/>
      <c r="L69" s="4"/>
      <c r="M69" s="8"/>
      <c r="N69" s="8"/>
    </row>
    <row r="70" spans="1:15">
      <c r="A70" s="3"/>
      <c r="B70" s="34">
        <v>2020</v>
      </c>
      <c r="C70" s="35">
        <v>1026656</v>
      </c>
      <c r="D70" s="35">
        <v>1937498</v>
      </c>
      <c r="E70" s="34"/>
      <c r="F70" s="34"/>
      <c r="G70" s="34"/>
      <c r="H70" s="34"/>
      <c r="I70" s="34"/>
      <c r="J70" s="4"/>
      <c r="K70" s="4"/>
      <c r="L70" s="4"/>
      <c r="M70" s="8"/>
      <c r="N70" s="8"/>
    </row>
    <row r="71" spans="1:15">
      <c r="A71" s="3"/>
      <c r="B71" s="34">
        <v>2021</v>
      </c>
      <c r="C71" s="35">
        <v>1082487</v>
      </c>
      <c r="D71" s="34"/>
      <c r="E71" s="34"/>
      <c r="F71" s="34"/>
      <c r="G71" s="34"/>
      <c r="H71" s="34"/>
      <c r="I71" s="34"/>
      <c r="J71" s="4"/>
      <c r="K71" s="4"/>
      <c r="L71" s="4"/>
      <c r="M71" s="8"/>
      <c r="N71" s="8"/>
    </row>
    <row r="72" spans="1:15">
      <c r="A72" s="3"/>
      <c r="B72" s="14"/>
      <c r="C72" s="40"/>
      <c r="D72" s="40"/>
      <c r="E72" s="40"/>
      <c r="F72" s="40"/>
      <c r="G72" s="40"/>
      <c r="H72" s="40"/>
      <c r="I72" s="40"/>
      <c r="J72" s="4"/>
      <c r="K72" s="4"/>
      <c r="L72" s="4"/>
      <c r="M72" s="8"/>
      <c r="N72" s="8"/>
      <c r="O72" s="242"/>
    </row>
    <row r="73" spans="1:15">
      <c r="A73" s="3"/>
      <c r="B73" s="310" t="s">
        <v>79</v>
      </c>
      <c r="C73" s="313" t="s">
        <v>89</v>
      </c>
      <c r="D73" s="313"/>
      <c r="E73" s="313"/>
      <c r="F73" s="313"/>
      <c r="G73" s="313"/>
      <c r="H73" s="313"/>
      <c r="I73" s="313"/>
      <c r="J73" s="4"/>
      <c r="K73" s="4"/>
      <c r="L73" s="4"/>
      <c r="M73" s="8"/>
      <c r="N73" s="8"/>
    </row>
    <row r="74" spans="1:15">
      <c r="A74" s="3"/>
      <c r="B74" s="310"/>
      <c r="C74" s="38">
        <v>12</v>
      </c>
      <c r="D74" s="38">
        <v>24</v>
      </c>
      <c r="E74" s="38">
        <v>36</v>
      </c>
      <c r="F74" s="38">
        <v>48</v>
      </c>
      <c r="G74" s="38">
        <v>60</v>
      </c>
      <c r="H74" s="38">
        <v>72</v>
      </c>
      <c r="I74" s="38">
        <v>84</v>
      </c>
      <c r="J74" s="4"/>
      <c r="K74" s="4"/>
      <c r="L74" s="4"/>
      <c r="M74" s="8"/>
      <c r="N74" s="8"/>
    </row>
    <row r="75" spans="1:15">
      <c r="A75" s="3"/>
      <c r="B75" s="34">
        <v>2015</v>
      </c>
      <c r="C75" s="34">
        <v>732</v>
      </c>
      <c r="D75" s="34">
        <v>865</v>
      </c>
      <c r="E75" s="34">
        <v>996</v>
      </c>
      <c r="F75" s="35">
        <v>1095</v>
      </c>
      <c r="G75" s="35">
        <v>1166</v>
      </c>
      <c r="H75" s="35">
        <v>1214</v>
      </c>
      <c r="I75" s="35">
        <v>1222</v>
      </c>
      <c r="J75" s="4"/>
      <c r="K75" s="4"/>
      <c r="L75" s="4"/>
      <c r="M75" s="8"/>
      <c r="N75" s="8"/>
    </row>
    <row r="76" spans="1:15">
      <c r="A76" s="3"/>
      <c r="B76" s="34">
        <v>2016</v>
      </c>
      <c r="C76" s="34">
        <v>752</v>
      </c>
      <c r="D76" s="34">
        <v>902</v>
      </c>
      <c r="E76" s="35">
        <v>1023</v>
      </c>
      <c r="F76" s="35">
        <v>1125</v>
      </c>
      <c r="G76" s="35">
        <v>1200</v>
      </c>
      <c r="H76" s="35">
        <v>1253</v>
      </c>
      <c r="I76" s="34"/>
      <c r="J76" s="4"/>
      <c r="K76" s="4"/>
      <c r="L76" s="4"/>
      <c r="M76" s="8"/>
      <c r="N76" s="8"/>
    </row>
    <row r="77" spans="1:15">
      <c r="A77" s="3"/>
      <c r="B77" s="34">
        <v>2017</v>
      </c>
      <c r="C77" s="34">
        <v>780</v>
      </c>
      <c r="D77" s="34">
        <v>921</v>
      </c>
      <c r="E77" s="35">
        <v>1041</v>
      </c>
      <c r="F77" s="35">
        <v>1167</v>
      </c>
      <c r="G77" s="35">
        <v>1235</v>
      </c>
      <c r="H77" s="34"/>
      <c r="I77" s="34"/>
      <c r="J77" s="4"/>
      <c r="K77" s="4"/>
      <c r="L77" s="4"/>
      <c r="M77" s="8"/>
      <c r="N77" s="8"/>
    </row>
    <row r="78" spans="1:15">
      <c r="A78" s="3"/>
      <c r="B78" s="34">
        <v>2018</v>
      </c>
      <c r="C78" s="34">
        <v>804</v>
      </c>
      <c r="D78" s="34">
        <v>961</v>
      </c>
      <c r="E78" s="35">
        <v>1083</v>
      </c>
      <c r="F78" s="35">
        <v>1201</v>
      </c>
      <c r="G78" s="34"/>
      <c r="H78" s="34"/>
      <c r="I78" s="34"/>
      <c r="J78" s="4"/>
      <c r="K78" s="4"/>
      <c r="L78" s="4"/>
      <c r="M78" s="8"/>
      <c r="N78" s="8"/>
    </row>
    <row r="79" spans="1:15">
      <c r="A79" s="3"/>
      <c r="B79" s="34">
        <v>2019</v>
      </c>
      <c r="C79" s="34">
        <v>813</v>
      </c>
      <c r="D79" s="34">
        <v>975</v>
      </c>
      <c r="E79" s="35">
        <v>1110</v>
      </c>
      <c r="F79" s="34"/>
      <c r="G79" s="34"/>
      <c r="H79" s="34"/>
      <c r="I79" s="34"/>
      <c r="J79" s="4"/>
      <c r="K79" s="4"/>
      <c r="L79" s="4"/>
      <c r="M79" s="8"/>
      <c r="N79" s="8"/>
    </row>
    <row r="80" spans="1:15">
      <c r="A80" s="3"/>
      <c r="B80" s="34">
        <v>2020</v>
      </c>
      <c r="C80" s="34">
        <v>835</v>
      </c>
      <c r="D80" s="35">
        <v>1024</v>
      </c>
      <c r="E80" s="34"/>
      <c r="F80" s="34"/>
      <c r="G80" s="34"/>
      <c r="H80" s="34"/>
      <c r="I80" s="34"/>
      <c r="J80" s="4"/>
      <c r="K80" s="4"/>
      <c r="L80" s="4"/>
      <c r="M80" s="8"/>
      <c r="N80" s="8"/>
    </row>
    <row r="81" spans="1:14">
      <c r="A81" s="3"/>
      <c r="B81" s="34">
        <v>2021</v>
      </c>
      <c r="C81" s="34">
        <v>875</v>
      </c>
      <c r="D81" s="34"/>
      <c r="E81" s="34"/>
      <c r="F81" s="34"/>
      <c r="G81" s="34"/>
      <c r="H81" s="34"/>
      <c r="I81" s="34"/>
      <c r="J81" s="4"/>
      <c r="K81" s="4"/>
      <c r="L81" s="4"/>
      <c r="M81" s="8"/>
      <c r="N81" s="8"/>
    </row>
    <row r="82" spans="1:14">
      <c r="A82" s="3"/>
      <c r="B82" s="14"/>
      <c r="C82" s="40"/>
      <c r="D82" s="40"/>
      <c r="E82" s="40"/>
      <c r="F82" s="40"/>
      <c r="G82" s="40"/>
      <c r="H82" s="40"/>
      <c r="I82" s="40"/>
      <c r="J82" s="4"/>
      <c r="K82" s="4"/>
      <c r="L82" s="4"/>
      <c r="M82" s="8"/>
      <c r="N82" s="8"/>
    </row>
    <row r="83" spans="1:14">
      <c r="A83" s="3"/>
      <c r="B83" s="310" t="s">
        <v>79</v>
      </c>
      <c r="C83" s="313" t="s">
        <v>90</v>
      </c>
      <c r="D83" s="313"/>
      <c r="E83" s="313"/>
      <c r="F83" s="313"/>
      <c r="G83" s="313"/>
      <c r="H83" s="313"/>
      <c r="I83" s="313"/>
      <c r="J83" s="4"/>
      <c r="K83" s="4"/>
      <c r="L83" s="4"/>
      <c r="M83" s="8"/>
      <c r="N83" s="8"/>
    </row>
    <row r="84" spans="1:14">
      <c r="A84" s="3"/>
      <c r="B84" s="310"/>
      <c r="C84" s="38">
        <v>12</v>
      </c>
      <c r="D84" s="38">
        <v>24</v>
      </c>
      <c r="E84" s="38">
        <v>36</v>
      </c>
      <c r="F84" s="38">
        <v>48</v>
      </c>
      <c r="G84" s="38">
        <v>60</v>
      </c>
      <c r="H84" s="38">
        <v>72</v>
      </c>
      <c r="I84" s="38">
        <v>84</v>
      </c>
      <c r="J84" s="4"/>
      <c r="K84" s="4"/>
      <c r="L84" s="4"/>
      <c r="M84" s="8"/>
      <c r="N84" s="8"/>
    </row>
    <row r="85" spans="1:14">
      <c r="A85" s="3"/>
      <c r="B85" s="34">
        <v>2015</v>
      </c>
      <c r="C85" s="34">
        <v>336</v>
      </c>
      <c r="D85" s="34">
        <v>545</v>
      </c>
      <c r="E85" s="34">
        <v>730</v>
      </c>
      <c r="F85" s="34">
        <v>879</v>
      </c>
      <c r="G85" s="34">
        <v>998</v>
      </c>
      <c r="H85" s="35">
        <v>1094</v>
      </c>
      <c r="I85" s="35">
        <v>1138</v>
      </c>
      <c r="J85" s="4"/>
      <c r="K85" s="4"/>
      <c r="L85" s="4"/>
      <c r="M85" s="8"/>
      <c r="N85" s="8"/>
    </row>
    <row r="86" spans="1:14">
      <c r="A86" s="3"/>
      <c r="B86" s="34">
        <v>2016</v>
      </c>
      <c r="C86" s="34">
        <v>346</v>
      </c>
      <c r="D86" s="34">
        <v>575</v>
      </c>
      <c r="E86" s="34">
        <v>747</v>
      </c>
      <c r="F86" s="34">
        <v>902</v>
      </c>
      <c r="G86" s="35">
        <v>1027</v>
      </c>
      <c r="H86" s="35">
        <v>1129</v>
      </c>
      <c r="I86" s="34"/>
      <c r="J86" s="4"/>
      <c r="K86" s="4"/>
      <c r="L86" s="4"/>
      <c r="M86" s="8"/>
      <c r="N86" s="8"/>
    </row>
    <row r="87" spans="1:14">
      <c r="A87" s="3"/>
      <c r="B87" s="34">
        <v>2017</v>
      </c>
      <c r="C87" s="34">
        <v>356</v>
      </c>
      <c r="D87" s="34">
        <v>575</v>
      </c>
      <c r="E87" s="34">
        <v>760</v>
      </c>
      <c r="F87" s="34">
        <v>936</v>
      </c>
      <c r="G87" s="35">
        <v>1056</v>
      </c>
      <c r="H87" s="34"/>
      <c r="I87" s="34"/>
      <c r="J87" s="4"/>
      <c r="K87" s="4"/>
      <c r="L87" s="4"/>
      <c r="M87" s="8"/>
      <c r="N87" s="8"/>
    </row>
    <row r="88" spans="1:14">
      <c r="A88" s="3"/>
      <c r="B88" s="34">
        <v>2018</v>
      </c>
      <c r="C88" s="34">
        <v>368</v>
      </c>
      <c r="D88" s="34">
        <v>611</v>
      </c>
      <c r="E88" s="34">
        <v>794</v>
      </c>
      <c r="F88" s="34">
        <v>964</v>
      </c>
      <c r="G88" s="34"/>
      <c r="H88" s="34"/>
      <c r="I88" s="34"/>
      <c r="J88" s="4"/>
      <c r="K88" s="4"/>
      <c r="L88" s="4"/>
      <c r="M88" s="8"/>
      <c r="N88" s="8"/>
    </row>
    <row r="89" spans="1:14">
      <c r="A89" s="3"/>
      <c r="B89" s="34">
        <v>2019</v>
      </c>
      <c r="C89" s="34">
        <v>369</v>
      </c>
      <c r="D89" s="34">
        <v>618</v>
      </c>
      <c r="E89" s="34">
        <v>807</v>
      </c>
      <c r="F89" s="34"/>
      <c r="G89" s="34"/>
      <c r="H89" s="34"/>
      <c r="I89" s="34"/>
      <c r="J89" s="4"/>
      <c r="K89" s="4"/>
      <c r="L89" s="4"/>
      <c r="M89" s="8"/>
      <c r="N89" s="8"/>
    </row>
    <row r="90" spans="1:14">
      <c r="A90" s="3"/>
      <c r="B90" s="34">
        <v>2020</v>
      </c>
      <c r="C90" s="34">
        <v>380</v>
      </c>
      <c r="D90" s="34">
        <v>648</v>
      </c>
      <c r="E90" s="34"/>
      <c r="F90" s="34"/>
      <c r="G90" s="34"/>
      <c r="H90" s="34"/>
      <c r="I90" s="34"/>
      <c r="J90" s="4"/>
      <c r="K90" s="4"/>
      <c r="L90" s="4"/>
      <c r="M90" s="8"/>
      <c r="N90" s="8"/>
    </row>
    <row r="91" spans="1:14">
      <c r="A91" s="3"/>
      <c r="B91" s="34">
        <v>2021</v>
      </c>
      <c r="C91" s="34">
        <v>400</v>
      </c>
      <c r="D91" s="34"/>
      <c r="E91" s="34"/>
      <c r="F91" s="34"/>
      <c r="G91" s="34"/>
      <c r="H91" s="34"/>
      <c r="I91" s="34"/>
      <c r="J91" s="4"/>
      <c r="K91" s="4"/>
      <c r="L91" s="4"/>
      <c r="M91" s="8"/>
      <c r="N91" s="8"/>
    </row>
    <row r="92" spans="1:14">
      <c r="A92" s="3"/>
      <c r="B92" s="3"/>
      <c r="C92" s="3"/>
      <c r="D92" s="3"/>
      <c r="E92" s="3"/>
      <c r="F92" s="3"/>
      <c r="G92" s="4"/>
      <c r="H92" s="4"/>
      <c r="I92" s="4"/>
      <c r="J92" s="4"/>
      <c r="K92" s="4"/>
      <c r="L92" s="4"/>
      <c r="M92" s="8"/>
      <c r="N92" s="8"/>
    </row>
    <row r="94" spans="1:14">
      <c r="A94" s="6" t="s">
        <v>5</v>
      </c>
      <c r="B94" s="9" t="s">
        <v>357</v>
      </c>
      <c r="C94" s="4"/>
      <c r="D94" s="4"/>
      <c r="E94" s="4"/>
      <c r="F94" s="4"/>
      <c r="G94" s="4"/>
      <c r="H94" s="4"/>
      <c r="I94" s="4"/>
      <c r="J94" s="4"/>
      <c r="K94" s="4"/>
      <c r="L94" s="4"/>
    </row>
    <row r="95" spans="1:14">
      <c r="A95" s="3"/>
      <c r="B95" s="3"/>
      <c r="C95" s="3"/>
      <c r="D95" s="3"/>
      <c r="E95" s="3"/>
      <c r="F95" s="3"/>
      <c r="G95" s="4"/>
      <c r="H95" s="4"/>
      <c r="I95" s="4"/>
      <c r="J95" s="4"/>
      <c r="K95" s="4"/>
      <c r="L95" s="4"/>
    </row>
    <row r="96" spans="1:14">
      <c r="A96" s="7"/>
      <c r="B96" s="7"/>
      <c r="C96" s="7"/>
      <c r="D96" s="7"/>
      <c r="E96" s="7"/>
      <c r="F96" s="7"/>
      <c r="G96" s="7"/>
      <c r="H96" s="7"/>
      <c r="I96" s="7"/>
      <c r="J96" s="7"/>
      <c r="K96" s="7"/>
      <c r="L96" s="7"/>
    </row>
    <row r="97" spans="1:12">
      <c r="A97" s="7" t="s">
        <v>1</v>
      </c>
      <c r="B97" s="7"/>
      <c r="C97" s="7"/>
      <c r="D97" s="7"/>
      <c r="E97" s="7"/>
      <c r="F97" s="7"/>
      <c r="G97" s="7"/>
      <c r="H97" s="7"/>
      <c r="I97" s="7"/>
      <c r="J97" s="7"/>
      <c r="K97" s="7"/>
      <c r="L97" s="7"/>
    </row>
    <row r="98" spans="1:12">
      <c r="A98" s="7"/>
      <c r="B98" s="314" t="s">
        <v>79</v>
      </c>
      <c r="C98" s="315" t="s">
        <v>639</v>
      </c>
      <c r="D98" s="316"/>
      <c r="E98" s="316"/>
      <c r="F98" s="316"/>
      <c r="G98" s="316"/>
      <c r="H98" s="316"/>
      <c r="I98" s="317"/>
      <c r="J98" s="7"/>
      <c r="K98" s="7"/>
      <c r="L98" s="7"/>
    </row>
    <row r="99" spans="1:12">
      <c r="A99" s="7"/>
      <c r="B99" s="314"/>
      <c r="C99" s="128">
        <v>12</v>
      </c>
      <c r="D99" s="128">
        <v>24</v>
      </c>
      <c r="E99" s="128">
        <v>36</v>
      </c>
      <c r="F99" s="128">
        <v>48</v>
      </c>
      <c r="G99" s="128">
        <v>60</v>
      </c>
      <c r="H99" s="128">
        <v>72</v>
      </c>
      <c r="I99" s="128">
        <v>84</v>
      </c>
      <c r="J99" s="7"/>
      <c r="K99" s="7"/>
      <c r="L99" s="7"/>
    </row>
    <row r="100" spans="1:12">
      <c r="A100" s="7"/>
      <c r="B100" s="128">
        <v>2015</v>
      </c>
      <c r="C100" s="279">
        <f t="shared" ref="C100:C104" si="11">C101/(1+$E$17)</f>
        <v>3019.2069971739752</v>
      </c>
      <c r="D100" s="279">
        <f t="shared" ref="D100:D104" si="12">D101/(1+$E$17)</f>
        <v>4711.5982110557698</v>
      </c>
      <c r="E100" s="279">
        <f t="shared" ref="E100:E103" si="13">E101/(1+$E$17)</f>
        <v>6331.0785144051943</v>
      </c>
      <c r="F100" s="279">
        <f t="shared" ref="F100:F102" si="14">F101/(1+$E$17)</f>
        <v>7611.3179037535911</v>
      </c>
      <c r="G100" s="279">
        <f t="shared" ref="G100:G101" si="15">G101/(1+$E$17)</f>
        <v>8629.9421097096929</v>
      </c>
      <c r="H100" s="279">
        <f>H101/(1+$E$17)</f>
        <v>9217.7797970619413</v>
      </c>
      <c r="I100" s="280">
        <f>(I55-I65)/(I75-I85)</f>
        <v>7584.8095238095239</v>
      </c>
      <c r="J100" s="7"/>
      <c r="K100" s="7"/>
      <c r="L100" s="7"/>
    </row>
    <row r="101" spans="1:12">
      <c r="A101" s="7"/>
      <c r="B101" s="128">
        <v>2016</v>
      </c>
      <c r="C101" s="279">
        <f t="shared" si="11"/>
        <v>3215.4554519902836</v>
      </c>
      <c r="D101" s="279">
        <f t="shared" si="12"/>
        <v>5017.8520947743946</v>
      </c>
      <c r="E101" s="279">
        <f t="shared" si="13"/>
        <v>6742.5986178415314</v>
      </c>
      <c r="F101" s="279">
        <f t="shared" si="14"/>
        <v>8106.0535674975745</v>
      </c>
      <c r="G101" s="279">
        <f t="shared" si="15"/>
        <v>9190.8883468408221</v>
      </c>
      <c r="H101" s="280">
        <f>(H56-H66)/(H76-H86)</f>
        <v>9816.9354838709678</v>
      </c>
      <c r="I101" s="279"/>
      <c r="J101" s="7"/>
      <c r="K101" s="7"/>
      <c r="L101" s="7"/>
    </row>
    <row r="102" spans="1:12">
      <c r="A102" s="7"/>
      <c r="B102" s="128">
        <v>2017</v>
      </c>
      <c r="C102" s="279">
        <f t="shared" si="11"/>
        <v>3424.4600563696517</v>
      </c>
      <c r="D102" s="279">
        <f t="shared" si="12"/>
        <v>5344.0124809347299</v>
      </c>
      <c r="E102" s="279">
        <f t="shared" si="13"/>
        <v>7180.8675280012303</v>
      </c>
      <c r="F102" s="279">
        <f t="shared" si="14"/>
        <v>8632.9470493849167</v>
      </c>
      <c r="G102" s="280">
        <f>(G57-G67)/(G77-G87)</f>
        <v>9788.2960893854743</v>
      </c>
      <c r="H102" s="279"/>
      <c r="I102" s="279"/>
      <c r="J102" s="7"/>
      <c r="K102" s="7"/>
      <c r="L102" s="7"/>
    </row>
    <row r="103" spans="1:12">
      <c r="A103" s="7"/>
      <c r="B103" s="128">
        <v>2018</v>
      </c>
      <c r="C103" s="279">
        <f t="shared" si="11"/>
        <v>3647.0499600336789</v>
      </c>
      <c r="D103" s="279">
        <f t="shared" si="12"/>
        <v>5691.373292195487</v>
      </c>
      <c r="E103" s="279">
        <f t="shared" si="13"/>
        <v>7647.6239173213098</v>
      </c>
      <c r="F103" s="280">
        <f>(F58-F68)/(F78-F88)</f>
        <v>9194.0886075949365</v>
      </c>
      <c r="G103" s="279"/>
      <c r="H103" s="279"/>
      <c r="I103" s="279"/>
      <c r="J103" s="7"/>
      <c r="K103" s="7"/>
      <c r="L103" s="7"/>
    </row>
    <row r="104" spans="1:12">
      <c r="A104" s="7"/>
      <c r="B104" s="128">
        <v>2019</v>
      </c>
      <c r="C104" s="279">
        <f t="shared" si="11"/>
        <v>3884.1082074358678</v>
      </c>
      <c r="D104" s="279">
        <f t="shared" si="12"/>
        <v>6061.3125561881934</v>
      </c>
      <c r="E104" s="280">
        <f>(E59-E69)/(E79-E89)</f>
        <v>8144.7194719471945</v>
      </c>
      <c r="F104" s="279"/>
      <c r="G104" s="279"/>
      <c r="H104" s="279"/>
      <c r="I104" s="279"/>
      <c r="J104" s="7"/>
      <c r="K104" s="7"/>
      <c r="L104" s="7"/>
    </row>
    <row r="105" spans="1:12">
      <c r="A105" s="7"/>
      <c r="B105" s="128">
        <v>2020</v>
      </c>
      <c r="C105" s="279">
        <f>C106/(1+$E$17)</f>
        <v>4136.5752409191991</v>
      </c>
      <c r="D105" s="280">
        <f>(D60-D70)/(D80-D90)</f>
        <v>6455.2978723404258</v>
      </c>
      <c r="E105" s="279"/>
      <c r="F105" s="279"/>
      <c r="G105" s="279"/>
      <c r="H105" s="279"/>
      <c r="I105" s="279"/>
      <c r="J105" s="7"/>
      <c r="K105" s="7"/>
      <c r="L105" s="7"/>
    </row>
    <row r="106" spans="1:12">
      <c r="A106" s="7"/>
      <c r="B106" s="128">
        <v>2021</v>
      </c>
      <c r="C106" s="280">
        <f>(C61-C71)/(C81-C91)</f>
        <v>4405.4526315789471</v>
      </c>
      <c r="D106" s="279"/>
      <c r="E106" s="279"/>
      <c r="F106" s="279"/>
      <c r="G106" s="279"/>
      <c r="H106" s="279"/>
      <c r="I106" s="279"/>
      <c r="J106" s="7"/>
      <c r="K106" s="7"/>
      <c r="L106" s="7"/>
    </row>
    <row r="107" spans="1:12">
      <c r="A107" s="7"/>
      <c r="B107"/>
      <c r="C107"/>
      <c r="D107"/>
      <c r="E107"/>
      <c r="F107"/>
      <c r="G107"/>
      <c r="H107"/>
      <c r="I107"/>
      <c r="J107" s="7"/>
      <c r="K107" s="7"/>
      <c r="L107" s="7"/>
    </row>
    <row r="108" spans="1:12">
      <c r="A108" s="7"/>
      <c r="B108" s="314" t="s">
        <v>79</v>
      </c>
      <c r="C108" s="315" t="s">
        <v>640</v>
      </c>
      <c r="D108" s="316"/>
      <c r="E108" s="316"/>
      <c r="F108" s="316"/>
      <c r="G108" s="316"/>
      <c r="H108" s="316"/>
      <c r="I108" s="317"/>
      <c r="J108" s="7"/>
      <c r="K108" s="7"/>
      <c r="L108" s="7"/>
    </row>
    <row r="109" spans="1:12">
      <c r="A109" s="7"/>
      <c r="B109" s="314"/>
      <c r="C109" s="128">
        <v>12</v>
      </c>
      <c r="D109" s="128">
        <v>24</v>
      </c>
      <c r="E109" s="128">
        <v>36</v>
      </c>
      <c r="F109" s="128">
        <v>48</v>
      </c>
      <c r="G109" s="128">
        <v>60</v>
      </c>
      <c r="H109" s="128">
        <v>72</v>
      </c>
      <c r="I109" s="128">
        <v>84</v>
      </c>
      <c r="J109" s="7"/>
      <c r="K109" s="7"/>
      <c r="L109" s="7"/>
    </row>
    <row r="110" spans="1:12">
      <c r="A110" s="7"/>
      <c r="B110" s="128">
        <v>2015</v>
      </c>
      <c r="C110" s="281">
        <f t="shared" ref="C110:G110" si="16">C100*(C75-C85)+C65</f>
        <v>1930387.9708808942</v>
      </c>
      <c r="D110" s="281">
        <f t="shared" si="16"/>
        <v>2761294.4275378464</v>
      </c>
      <c r="E110" s="281">
        <f t="shared" si="16"/>
        <v>3589677.8848317815</v>
      </c>
      <c r="F110" s="281">
        <f t="shared" si="16"/>
        <v>4284120.6672107754</v>
      </c>
      <c r="G110" s="281">
        <f t="shared" si="16"/>
        <v>4884010.2744312286</v>
      </c>
      <c r="H110" s="281">
        <f>H100*(H75-H85)+H65</f>
        <v>5284287.5756474333</v>
      </c>
      <c r="I110" s="282">
        <f>I55</f>
        <v>5274875</v>
      </c>
      <c r="J110" s="7"/>
      <c r="K110" s="7"/>
      <c r="L110" s="7"/>
    </row>
    <row r="111" spans="1:12">
      <c r="A111" s="7"/>
      <c r="B111" s="128">
        <v>2016</v>
      </c>
      <c r="C111" s="281">
        <f t="shared" ref="C111:G111" si="17">C101*(C76-C86)+C66</f>
        <v>2073456.913508055</v>
      </c>
      <c r="D111" s="281">
        <f t="shared" si="17"/>
        <v>3013098.6349912267</v>
      </c>
      <c r="E111" s="281">
        <f t="shared" si="17"/>
        <v>3948018.2185242628</v>
      </c>
      <c r="F111" s="281">
        <f t="shared" si="17"/>
        <v>4735628.9455519589</v>
      </c>
      <c r="G111" s="281">
        <f t="shared" si="17"/>
        <v>5294540.6840034621</v>
      </c>
      <c r="H111" s="282">
        <f>H56</f>
        <v>5763708</v>
      </c>
      <c r="I111" s="281"/>
      <c r="J111" s="7"/>
      <c r="K111" s="7"/>
      <c r="L111" s="7"/>
    </row>
    <row r="112" spans="1:12">
      <c r="A112" s="7"/>
      <c r="B112" s="128">
        <v>2017</v>
      </c>
      <c r="C112" s="281">
        <f t="shared" ref="C112:F112" si="18">C102*(C77-C87)+C67</f>
        <v>2251286.0639007324</v>
      </c>
      <c r="D112" s="281">
        <f t="shared" si="18"/>
        <v>3199812.3184034163</v>
      </c>
      <c r="E112" s="281">
        <f t="shared" si="18"/>
        <v>4277014.7753683459</v>
      </c>
      <c r="F112" s="281">
        <f t="shared" si="18"/>
        <v>5120704.7684079157</v>
      </c>
      <c r="G112" s="282">
        <f>G57</f>
        <v>5759272</v>
      </c>
      <c r="H112" s="281"/>
      <c r="I112" s="281"/>
      <c r="J112" s="7"/>
      <c r="K112" s="7"/>
      <c r="L112" s="7"/>
    </row>
    <row r="113" spans="1:13">
      <c r="A113" s="7"/>
      <c r="B113" s="128">
        <v>2018</v>
      </c>
      <c r="C113" s="281">
        <f t="shared" ref="C113:E113" si="19">C103*(C78-C88)+C68</f>
        <v>2489200.7825746839</v>
      </c>
      <c r="D113" s="281">
        <f t="shared" si="19"/>
        <v>3627478.6522684204</v>
      </c>
      <c r="E113" s="281">
        <f t="shared" si="19"/>
        <v>4653380.3121058587</v>
      </c>
      <c r="F113" s="282">
        <f>F58</f>
        <v>5558325</v>
      </c>
      <c r="G113" s="281"/>
      <c r="H113" s="281"/>
      <c r="I113" s="281"/>
      <c r="J113" s="7"/>
      <c r="K113" s="7"/>
      <c r="L113" s="7"/>
    </row>
    <row r="114" spans="1:13">
      <c r="B114" s="128">
        <v>2019</v>
      </c>
      <c r="C114" s="281">
        <f t="shared" ref="C114:D114" si="20">C104*(C79-C89)+C69</f>
        <v>2692962.0441015251</v>
      </c>
      <c r="D114" s="281">
        <f t="shared" si="20"/>
        <v>3900732.5825591851</v>
      </c>
      <c r="E114" s="282">
        <f>E59</f>
        <v>5107412</v>
      </c>
      <c r="F114" s="281"/>
      <c r="G114" s="281"/>
      <c r="H114" s="281"/>
      <c r="I114" s="281"/>
      <c r="M114" s="7"/>
    </row>
    <row r="115" spans="1:13">
      <c r="B115" s="128">
        <v>2020</v>
      </c>
      <c r="C115" s="281">
        <f>C105*(C80-C90)+C70</f>
        <v>2908797.7346182354</v>
      </c>
      <c r="D115" s="282">
        <f>D60</f>
        <v>4364690</v>
      </c>
      <c r="E115" s="281"/>
      <c r="F115" s="281"/>
      <c r="G115" s="281"/>
      <c r="H115" s="281"/>
      <c r="I115" s="281"/>
      <c r="M115" s="7"/>
    </row>
    <row r="116" spans="1:13">
      <c r="B116" s="128">
        <v>2021</v>
      </c>
      <c r="C116" s="282">
        <f>C61</f>
        <v>3175077</v>
      </c>
      <c r="D116" s="281"/>
      <c r="E116" s="281"/>
      <c r="F116" s="281"/>
      <c r="G116" s="281"/>
      <c r="H116" s="281"/>
      <c r="I116" s="281"/>
      <c r="M116" s="7"/>
    </row>
    <row r="118" spans="1:13">
      <c r="A118" s="3"/>
      <c r="B118" s="3"/>
      <c r="C118" s="3"/>
      <c r="D118" s="3"/>
      <c r="E118" s="3"/>
      <c r="F118" s="3"/>
      <c r="G118" s="4"/>
      <c r="H118" s="4"/>
      <c r="I118" s="4"/>
      <c r="J118" s="4"/>
      <c r="K118" s="4"/>
      <c r="L118" s="4"/>
    </row>
    <row r="119" spans="1:13">
      <c r="A119" s="14" t="s">
        <v>91</v>
      </c>
      <c r="B119" s="16"/>
      <c r="C119" s="9"/>
      <c r="D119" s="9"/>
      <c r="E119" s="9"/>
      <c r="F119" s="3"/>
      <c r="G119" s="4"/>
      <c r="H119" s="4"/>
      <c r="I119" s="4"/>
      <c r="J119" s="4"/>
      <c r="K119" s="4"/>
      <c r="L119" s="4"/>
    </row>
    <row r="120" spans="1:13">
      <c r="A120" s="14"/>
      <c r="B120" s="16"/>
      <c r="C120" s="9"/>
      <c r="D120" s="9"/>
      <c r="E120" s="9"/>
      <c r="F120" s="3"/>
      <c r="G120" s="4"/>
      <c r="H120" s="4"/>
      <c r="I120" s="4"/>
      <c r="J120" s="4"/>
      <c r="K120" s="4"/>
      <c r="L120" s="4"/>
    </row>
    <row r="121" spans="1:13" ht="47.25">
      <c r="A121" s="9"/>
      <c r="B121" s="30" t="s">
        <v>79</v>
      </c>
      <c r="C121" s="19" t="s">
        <v>92</v>
      </c>
      <c r="D121" s="9"/>
      <c r="E121" s="9"/>
      <c r="F121" s="3"/>
      <c r="G121" s="4"/>
      <c r="H121" s="4"/>
      <c r="I121" s="4"/>
      <c r="J121" s="4"/>
      <c r="K121" s="4"/>
      <c r="L121" s="4"/>
    </row>
    <row r="122" spans="1:13">
      <c r="A122" s="9"/>
      <c r="B122" s="34">
        <v>2015</v>
      </c>
      <c r="C122" s="41">
        <v>4316.59</v>
      </c>
      <c r="D122" s="9"/>
      <c r="E122" s="9"/>
      <c r="F122" s="3"/>
      <c r="G122" s="4"/>
      <c r="H122" s="4"/>
      <c r="I122" s="4"/>
      <c r="J122" s="4"/>
      <c r="K122" s="4"/>
      <c r="L122" s="4"/>
    </row>
    <row r="123" spans="1:13">
      <c r="A123" s="9"/>
      <c r="B123" s="34">
        <v>2016</v>
      </c>
      <c r="C123" s="41">
        <v>4561.67</v>
      </c>
      <c r="D123" s="9"/>
      <c r="E123" s="9"/>
      <c r="F123" s="3"/>
      <c r="G123" s="4"/>
      <c r="H123" s="4"/>
      <c r="I123" s="4"/>
      <c r="J123" s="4"/>
      <c r="K123" s="4"/>
      <c r="L123" s="4"/>
    </row>
    <row r="124" spans="1:13">
      <c r="A124" s="9"/>
      <c r="B124" s="34">
        <v>2017</v>
      </c>
      <c r="C124" s="41">
        <v>4813.6099999999997</v>
      </c>
      <c r="D124" s="9"/>
      <c r="E124" s="9"/>
      <c r="F124" s="3"/>
      <c r="G124" s="4"/>
      <c r="H124" s="4"/>
      <c r="I124" s="4"/>
      <c r="J124" s="4"/>
      <c r="K124" s="4"/>
      <c r="L124" s="4"/>
    </row>
    <row r="125" spans="1:13">
      <c r="A125" s="9"/>
      <c r="B125" s="34">
        <v>2018</v>
      </c>
      <c r="C125" s="41">
        <v>5066.25</v>
      </c>
      <c r="D125" s="9"/>
      <c r="E125" s="9"/>
      <c r="F125" s="3"/>
      <c r="G125" s="4"/>
      <c r="H125" s="4"/>
      <c r="I125" s="4"/>
      <c r="J125" s="4"/>
      <c r="K125" s="4"/>
      <c r="L125" s="4"/>
    </row>
    <row r="126" spans="1:13">
      <c r="A126" s="9"/>
      <c r="B126" s="34">
        <v>2019</v>
      </c>
      <c r="C126" s="41">
        <v>5441.62</v>
      </c>
      <c r="D126" s="9"/>
      <c r="E126" s="9"/>
      <c r="F126" s="3"/>
      <c r="G126" s="4"/>
      <c r="H126" s="4"/>
      <c r="I126" s="4"/>
      <c r="J126" s="4"/>
      <c r="K126" s="4"/>
      <c r="L126" s="4"/>
    </row>
    <row r="127" spans="1:13">
      <c r="A127" s="9"/>
      <c r="B127" s="34">
        <v>2020</v>
      </c>
      <c r="C127" s="41">
        <v>5802.31</v>
      </c>
      <c r="D127" s="9"/>
      <c r="E127" s="9"/>
      <c r="F127" s="3"/>
      <c r="G127" s="4"/>
      <c r="H127" s="4"/>
      <c r="I127" s="4"/>
      <c r="J127" s="4"/>
      <c r="K127" s="4"/>
      <c r="L127" s="4"/>
    </row>
    <row r="128" spans="1:13">
      <c r="A128" s="9"/>
      <c r="B128" s="34">
        <v>2021</v>
      </c>
      <c r="C128" s="41">
        <v>5990.39</v>
      </c>
      <c r="D128" s="9"/>
      <c r="E128" s="9"/>
      <c r="F128" s="3"/>
      <c r="G128" s="4"/>
      <c r="H128" s="4"/>
      <c r="I128" s="4"/>
      <c r="J128" s="4"/>
      <c r="K128" s="4"/>
      <c r="L128" s="4"/>
    </row>
    <row r="129" spans="1:14">
      <c r="A129" s="3"/>
      <c r="B129" s="3"/>
      <c r="C129" s="3"/>
      <c r="D129" s="3"/>
      <c r="E129" s="3"/>
      <c r="F129" s="3"/>
      <c r="G129" s="4"/>
      <c r="H129" s="4"/>
      <c r="I129" s="4"/>
      <c r="J129" s="4"/>
      <c r="K129" s="4"/>
      <c r="L129" s="4"/>
    </row>
    <row r="131" spans="1:14">
      <c r="A131" s="6" t="s">
        <v>0</v>
      </c>
      <c r="B131" s="9" t="s">
        <v>93</v>
      </c>
      <c r="C131" s="4"/>
      <c r="D131" s="4"/>
      <c r="E131" s="4"/>
      <c r="F131" s="4"/>
      <c r="G131" s="4"/>
      <c r="H131" s="4"/>
      <c r="I131" s="4"/>
      <c r="J131" s="4"/>
      <c r="K131" s="4"/>
      <c r="L131" s="4"/>
    </row>
    <row r="132" spans="1:14">
      <c r="A132" s="3"/>
      <c r="B132" s="3"/>
      <c r="C132" s="3"/>
      <c r="D132" s="3"/>
      <c r="E132" s="3"/>
      <c r="F132" s="3"/>
      <c r="G132" s="4"/>
      <c r="H132" s="4"/>
      <c r="I132" s="4"/>
      <c r="J132" s="4"/>
      <c r="K132" s="4"/>
      <c r="L132" s="4"/>
    </row>
    <row r="133" spans="1:14">
      <c r="A133" s="7"/>
      <c r="B133" s="7"/>
      <c r="C133" s="7"/>
      <c r="D133" s="7"/>
      <c r="E133" s="7"/>
      <c r="F133" s="7"/>
      <c r="G133" s="7"/>
      <c r="H133" s="7"/>
      <c r="I133" s="7"/>
      <c r="J133" s="7"/>
      <c r="K133" s="7"/>
      <c r="L133" s="7"/>
    </row>
    <row r="134" spans="1:14">
      <c r="A134" s="7" t="s">
        <v>1</v>
      </c>
      <c r="B134" s="7"/>
      <c r="C134" s="7"/>
      <c r="D134" s="7"/>
      <c r="E134" s="7"/>
      <c r="F134" s="7"/>
      <c r="G134" s="7"/>
      <c r="H134" s="7"/>
      <c r="I134" s="7"/>
      <c r="J134" s="7"/>
      <c r="K134" s="7"/>
      <c r="L134" s="7"/>
    </row>
    <row r="135" spans="1:14" ht="47.25">
      <c r="A135" s="7"/>
      <c r="B135" s="115" t="s">
        <v>79</v>
      </c>
      <c r="C135" s="115" t="s">
        <v>92</v>
      </c>
      <c r="D135" s="115" t="s">
        <v>641</v>
      </c>
      <c r="E135" s="7"/>
      <c r="F135" s="7"/>
      <c r="G135" s="7"/>
      <c r="H135" s="7"/>
      <c r="I135" s="7"/>
      <c r="J135" s="7"/>
      <c r="K135" s="7"/>
      <c r="L135" s="7"/>
    </row>
    <row r="136" spans="1:14">
      <c r="A136" s="7"/>
      <c r="B136" s="110">
        <v>2015</v>
      </c>
      <c r="C136" s="145">
        <f>C122</f>
        <v>4316.59</v>
      </c>
      <c r="D136" s="7"/>
      <c r="E136" s="7"/>
      <c r="F136" s="7"/>
      <c r="G136" s="7"/>
      <c r="H136" s="7"/>
      <c r="I136" s="7"/>
      <c r="J136" s="7"/>
      <c r="K136" s="7"/>
      <c r="L136" s="7"/>
    </row>
    <row r="137" spans="1:14">
      <c r="B137" s="110">
        <v>2016</v>
      </c>
      <c r="C137" s="145">
        <f t="shared" ref="C137:C142" si="21">C123</f>
        <v>4561.67</v>
      </c>
      <c r="D137" s="284">
        <f>C137/C136-1</f>
        <v>5.6776297957415345E-2</v>
      </c>
    </row>
    <row r="138" spans="1:14">
      <c r="B138" s="110">
        <v>2017</v>
      </c>
      <c r="C138" s="145">
        <f t="shared" si="21"/>
        <v>4813.6099999999997</v>
      </c>
      <c r="D138" s="284">
        <f t="shared" ref="D138:D142" si="22">C138/C137-1</f>
        <v>5.5229773306705532E-2</v>
      </c>
    </row>
    <row r="139" spans="1:14">
      <c r="B139" s="110">
        <v>2018</v>
      </c>
      <c r="C139" s="145">
        <f t="shared" si="21"/>
        <v>5066.25</v>
      </c>
      <c r="D139" s="284">
        <f t="shared" si="22"/>
        <v>5.248451785666064E-2</v>
      </c>
    </row>
    <row r="140" spans="1:14">
      <c r="B140" s="110">
        <v>2019</v>
      </c>
      <c r="C140" s="145">
        <f t="shared" si="21"/>
        <v>5441.62</v>
      </c>
      <c r="D140" s="284">
        <f t="shared" si="22"/>
        <v>7.4092277325437994E-2</v>
      </c>
    </row>
    <row r="141" spans="1:14">
      <c r="B141" s="110">
        <v>2020</v>
      </c>
      <c r="C141" s="145">
        <f t="shared" si="21"/>
        <v>5802.31</v>
      </c>
      <c r="D141" s="284">
        <f t="shared" si="22"/>
        <v>6.6283569966296918E-2</v>
      </c>
    </row>
    <row r="142" spans="1:14">
      <c r="B142" s="116">
        <v>2021</v>
      </c>
      <c r="C142" s="153">
        <f t="shared" si="21"/>
        <v>5990.39</v>
      </c>
      <c r="D142" s="269">
        <f t="shared" si="22"/>
        <v>3.2414676223779804E-2</v>
      </c>
    </row>
    <row r="143" spans="1:14">
      <c r="B143" s="7" t="s">
        <v>609</v>
      </c>
      <c r="C143" s="7"/>
      <c r="D143" s="270">
        <f>AVERAGE(D137:D142)</f>
        <v>5.6213518772716041E-2</v>
      </c>
    </row>
    <row r="144" spans="1:14">
      <c r="B144" s="7" t="s">
        <v>645</v>
      </c>
      <c r="C144" s="7"/>
      <c r="D144" s="270">
        <f>AVERAGE(D137:D139,D141)</f>
        <v>5.7693539771769609E-2</v>
      </c>
      <c r="M144" s="7"/>
      <c r="N144" s="7"/>
    </row>
    <row r="145" spans="1:14">
      <c r="B145" s="7" t="s">
        <v>642</v>
      </c>
      <c r="C145" s="7"/>
      <c r="D145" s="270">
        <f>AVERAGE(D137:D141)</f>
        <v>6.0973287282503286E-2</v>
      </c>
      <c r="M145" s="7"/>
      <c r="N145" s="7"/>
    </row>
    <row r="146" spans="1:14">
      <c r="B146" s="7" t="s">
        <v>643</v>
      </c>
      <c r="C146" s="7"/>
      <c r="D146" s="270">
        <f>D144</f>
        <v>5.7693539771769609E-2</v>
      </c>
      <c r="M146" s="7"/>
      <c r="N146" s="7"/>
    </row>
    <row r="147" spans="1:14">
      <c r="B147" s="7" t="s">
        <v>644</v>
      </c>
      <c r="C147" s="7"/>
      <c r="D147" s="7"/>
    </row>
    <row r="150" spans="1:14">
      <c r="A150" s="6" t="s">
        <v>2</v>
      </c>
      <c r="B150" s="9" t="s">
        <v>94</v>
      </c>
      <c r="C150" s="4"/>
      <c r="D150" s="4"/>
      <c r="E150" s="4"/>
      <c r="F150" s="4"/>
      <c r="G150" s="4"/>
      <c r="H150" s="4"/>
      <c r="I150" s="4"/>
      <c r="J150" s="4"/>
      <c r="K150" s="4"/>
      <c r="L150" s="4"/>
    </row>
    <row r="151" spans="1:14">
      <c r="A151" s="3"/>
      <c r="B151" s="3"/>
      <c r="C151" s="3"/>
      <c r="D151" s="3"/>
      <c r="E151" s="3"/>
      <c r="F151" s="3"/>
      <c r="G151" s="4"/>
      <c r="H151" s="4"/>
      <c r="I151" s="4"/>
      <c r="J151" s="4"/>
      <c r="K151" s="4"/>
      <c r="L151" s="4"/>
    </row>
    <row r="152" spans="1:14">
      <c r="A152" s="7"/>
      <c r="B152" s="7"/>
      <c r="C152" s="7"/>
      <c r="D152" s="7"/>
      <c r="E152" s="7"/>
      <c r="F152" s="7"/>
      <c r="G152" s="7"/>
      <c r="H152" s="7"/>
      <c r="I152" s="7"/>
      <c r="J152" s="7"/>
      <c r="K152" s="7"/>
      <c r="L152" s="7"/>
    </row>
    <row r="153" spans="1:14">
      <c r="A153" s="7" t="s">
        <v>1</v>
      </c>
      <c r="B153" s="7"/>
      <c r="C153" s="7"/>
      <c r="D153" s="7"/>
      <c r="E153" s="7"/>
      <c r="F153" s="7"/>
      <c r="G153" s="7"/>
      <c r="H153" s="7"/>
      <c r="I153" s="7"/>
      <c r="J153" s="7"/>
      <c r="K153" s="7"/>
      <c r="L153" s="7"/>
    </row>
    <row r="154" spans="1:14">
      <c r="A154" s="7"/>
      <c r="B154" s="7" t="s">
        <v>646</v>
      </c>
      <c r="C154" s="7"/>
      <c r="D154" s="7"/>
      <c r="E154" s="7"/>
      <c r="F154" s="7"/>
      <c r="G154" s="7"/>
      <c r="H154" s="7"/>
      <c r="I154" s="7"/>
      <c r="J154" s="7"/>
      <c r="K154" s="7"/>
      <c r="L154" s="7"/>
    </row>
    <row r="155" spans="1:14">
      <c r="A155" s="7"/>
      <c r="B155" s="7" t="s">
        <v>647</v>
      </c>
      <c r="C155" s="7"/>
      <c r="D155" s="7"/>
      <c r="E155" s="7"/>
      <c r="F155" s="7"/>
      <c r="G155" s="7"/>
      <c r="H155" s="7"/>
      <c r="I155" s="7"/>
      <c r="J155" s="7"/>
      <c r="K155" s="7"/>
      <c r="L155" s="7"/>
    </row>
    <row r="157" spans="1:14">
      <c r="A157" s="6" t="s">
        <v>3</v>
      </c>
      <c r="B157" s="9" t="s">
        <v>339</v>
      </c>
      <c r="C157" s="4"/>
      <c r="D157" s="4"/>
      <c r="E157" s="4"/>
      <c r="F157" s="4"/>
      <c r="G157" s="4"/>
      <c r="H157" s="4"/>
      <c r="I157" s="4"/>
      <c r="J157" s="4"/>
      <c r="K157" s="4"/>
      <c r="L157" s="4"/>
    </row>
    <row r="158" spans="1:14">
      <c r="A158" s="3"/>
      <c r="B158" s="3"/>
      <c r="C158" s="3"/>
      <c r="D158" s="3"/>
      <c r="E158" s="3"/>
      <c r="F158" s="3"/>
      <c r="G158" s="4"/>
      <c r="H158" s="4"/>
      <c r="I158" s="4"/>
      <c r="J158" s="4"/>
      <c r="K158" s="4"/>
      <c r="L158" s="4"/>
    </row>
    <row r="159" spans="1:14">
      <c r="A159" s="7"/>
      <c r="B159" s="7"/>
      <c r="C159" s="7"/>
      <c r="D159" s="7"/>
      <c r="E159" s="7"/>
      <c r="F159" s="7"/>
      <c r="G159" s="7"/>
      <c r="H159" s="7"/>
      <c r="I159" s="7"/>
      <c r="J159" s="7"/>
      <c r="K159" s="7"/>
      <c r="L159" s="7"/>
    </row>
    <row r="160" spans="1:14">
      <c r="A160" s="7" t="s">
        <v>1</v>
      </c>
      <c r="B160" s="7"/>
      <c r="C160" s="7"/>
      <c r="D160" s="7"/>
      <c r="E160" s="7"/>
      <c r="F160" s="7"/>
      <c r="G160" s="7"/>
      <c r="H160" s="7"/>
      <c r="I160" s="7"/>
      <c r="J160" s="7"/>
      <c r="K160" s="7"/>
      <c r="L160" s="7"/>
    </row>
    <row r="161" spans="1:12" ht="47.25">
      <c r="A161" s="7"/>
      <c r="B161" s="115" t="s">
        <v>79</v>
      </c>
      <c r="C161" s="115" t="s">
        <v>623</v>
      </c>
      <c r="D161" s="115" t="s">
        <v>92</v>
      </c>
      <c r="E161" s="115" t="s">
        <v>544</v>
      </c>
      <c r="G161" s="7"/>
      <c r="H161" s="7"/>
      <c r="I161" s="7"/>
      <c r="J161" s="7"/>
      <c r="K161" s="7"/>
      <c r="L161" s="7"/>
    </row>
    <row r="162" spans="1:12">
      <c r="A162" s="7"/>
      <c r="B162" s="110">
        <f>B7</f>
        <v>2015</v>
      </c>
      <c r="C162" s="150">
        <f t="shared" ref="C162:C168" si="23">D7</f>
        <v>1230</v>
      </c>
      <c r="D162" s="145">
        <f t="shared" ref="D162:D168" si="24">C122</f>
        <v>4316.59</v>
      </c>
      <c r="E162" s="150">
        <f>C162*D162</f>
        <v>5309405.7</v>
      </c>
      <c r="G162" s="7"/>
      <c r="H162" s="7"/>
      <c r="I162" s="7"/>
      <c r="J162" s="7"/>
      <c r="K162" s="7"/>
      <c r="L162" s="7"/>
    </row>
    <row r="163" spans="1:12">
      <c r="A163" s="7"/>
      <c r="B163" s="110">
        <f t="shared" ref="B163:B168" si="25">B8</f>
        <v>2016</v>
      </c>
      <c r="C163" s="150">
        <f t="shared" si="23"/>
        <v>1270</v>
      </c>
      <c r="D163" s="145">
        <f t="shared" si="24"/>
        <v>4561.67</v>
      </c>
      <c r="E163" s="150">
        <f t="shared" ref="E163:E168" si="26">C163*D163</f>
        <v>5793320.9000000004</v>
      </c>
      <c r="G163" s="7"/>
      <c r="H163" s="7"/>
      <c r="I163" s="7"/>
      <c r="J163" s="7"/>
      <c r="K163" s="7"/>
      <c r="L163" s="7"/>
    </row>
    <row r="164" spans="1:12">
      <c r="A164" s="7"/>
      <c r="B164" s="110">
        <f t="shared" si="25"/>
        <v>2017</v>
      </c>
      <c r="C164" s="150">
        <f t="shared" si="23"/>
        <v>1305</v>
      </c>
      <c r="D164" s="145">
        <f t="shared" si="24"/>
        <v>4813.6099999999997</v>
      </c>
      <c r="E164" s="150">
        <f t="shared" si="26"/>
        <v>6281761.0499999998</v>
      </c>
      <c r="G164" s="7"/>
      <c r="H164" s="7"/>
      <c r="I164" s="7"/>
      <c r="J164" s="7"/>
      <c r="K164" s="7"/>
      <c r="L164" s="7"/>
    </row>
    <row r="165" spans="1:12">
      <c r="A165" s="7"/>
      <c r="B165" s="110">
        <f t="shared" si="25"/>
        <v>2018</v>
      </c>
      <c r="C165" s="150">
        <f t="shared" si="23"/>
        <v>1349</v>
      </c>
      <c r="D165" s="145">
        <f t="shared" si="24"/>
        <v>5066.25</v>
      </c>
      <c r="E165" s="150">
        <f t="shared" si="26"/>
        <v>6834371.25</v>
      </c>
      <c r="G165" s="7"/>
      <c r="H165" s="7"/>
      <c r="I165" s="7"/>
      <c r="J165" s="7"/>
      <c r="K165" s="7"/>
      <c r="L165" s="7"/>
    </row>
    <row r="166" spans="1:12">
      <c r="A166" s="7"/>
      <c r="B166" s="110">
        <f t="shared" si="25"/>
        <v>2019</v>
      </c>
      <c r="C166" s="150">
        <f t="shared" si="23"/>
        <v>1381</v>
      </c>
      <c r="D166" s="145">
        <f t="shared" si="24"/>
        <v>5441.62</v>
      </c>
      <c r="E166" s="150">
        <f t="shared" si="26"/>
        <v>7514877.2199999997</v>
      </c>
      <c r="G166" s="7"/>
      <c r="H166" s="7"/>
      <c r="I166" s="7"/>
      <c r="J166" s="7"/>
      <c r="K166" s="7"/>
      <c r="L166" s="7"/>
    </row>
    <row r="167" spans="1:12">
      <c r="A167" s="7"/>
      <c r="B167" s="110">
        <f t="shared" si="25"/>
        <v>2020</v>
      </c>
      <c r="C167" s="150">
        <f t="shared" si="23"/>
        <v>1447</v>
      </c>
      <c r="D167" s="145">
        <f t="shared" si="24"/>
        <v>5802.31</v>
      </c>
      <c r="E167" s="150">
        <f t="shared" si="26"/>
        <v>8395942.5700000003</v>
      </c>
      <c r="G167" s="7"/>
      <c r="H167" s="7"/>
      <c r="I167" s="7"/>
      <c r="J167" s="7"/>
      <c r="K167" s="7"/>
      <c r="L167" s="7"/>
    </row>
    <row r="168" spans="1:12">
      <c r="A168" s="7"/>
      <c r="B168" s="110">
        <f t="shared" si="25"/>
        <v>2021</v>
      </c>
      <c r="C168" s="150">
        <f t="shared" si="23"/>
        <v>1480</v>
      </c>
      <c r="D168" s="145">
        <f t="shared" si="24"/>
        <v>5990.39</v>
      </c>
      <c r="E168" s="150">
        <f t="shared" si="26"/>
        <v>8865777.2000000011</v>
      </c>
      <c r="G168" s="7"/>
      <c r="H168" s="7"/>
      <c r="I168" s="7"/>
      <c r="J168" s="7"/>
      <c r="K168" s="7"/>
      <c r="L168" s="7"/>
    </row>
    <row r="170" spans="1:12">
      <c r="A170" s="6" t="s">
        <v>7</v>
      </c>
      <c r="B170" s="299" t="s">
        <v>95</v>
      </c>
      <c r="C170" s="299"/>
      <c r="D170" s="299"/>
      <c r="E170" s="299"/>
      <c r="F170" s="299"/>
      <c r="G170" s="299"/>
      <c r="H170" s="299"/>
      <c r="I170" s="299"/>
      <c r="J170" s="299"/>
      <c r="K170" s="299"/>
      <c r="L170" s="4"/>
    </row>
    <row r="171" spans="1:12">
      <c r="A171" s="6"/>
      <c r="B171" s="299"/>
      <c r="C171" s="299"/>
      <c r="D171" s="299"/>
      <c r="E171" s="299"/>
      <c r="F171" s="299"/>
      <c r="G171" s="299"/>
      <c r="H171" s="299"/>
      <c r="I171" s="299"/>
      <c r="J171" s="299"/>
      <c r="K171" s="299"/>
      <c r="L171" s="4"/>
    </row>
    <row r="172" spans="1:12">
      <c r="A172" s="3"/>
      <c r="B172" s="3"/>
      <c r="C172" s="3"/>
      <c r="D172" s="3"/>
      <c r="E172" s="3"/>
      <c r="F172" s="3"/>
      <c r="G172" s="4"/>
      <c r="H172" s="4"/>
      <c r="I172" s="4"/>
      <c r="J172" s="4"/>
      <c r="K172" s="4"/>
      <c r="L172" s="4"/>
    </row>
    <row r="173" spans="1:12">
      <c r="A173" s="7"/>
      <c r="B173" s="7"/>
      <c r="C173" s="7"/>
      <c r="D173" s="7"/>
      <c r="E173" s="7"/>
      <c r="F173" s="7"/>
      <c r="G173" s="7"/>
      <c r="H173" s="7"/>
      <c r="I173" s="7"/>
      <c r="J173" s="7"/>
      <c r="K173" s="7"/>
      <c r="L173" s="7"/>
    </row>
    <row r="174" spans="1:12">
      <c r="A174" s="7" t="s">
        <v>1</v>
      </c>
      <c r="B174" s="7"/>
      <c r="C174" s="7"/>
      <c r="D174" s="7"/>
      <c r="E174" s="7"/>
      <c r="F174" s="7"/>
      <c r="G174" s="7"/>
      <c r="H174" s="7"/>
      <c r="I174" s="7"/>
      <c r="J174" s="7"/>
      <c r="K174" s="7"/>
      <c r="L174" s="7"/>
    </row>
    <row r="175" spans="1:12">
      <c r="A175" s="7"/>
      <c r="B175" s="7" t="s">
        <v>651</v>
      </c>
      <c r="C175" s="7"/>
      <c r="D175" s="7"/>
      <c r="E175" s="7"/>
      <c r="F175" s="264">
        <f>(1+D146)*(1+E16)-1</f>
        <v>6.8270475169487144E-2</v>
      </c>
      <c r="G175" s="7"/>
      <c r="H175" s="7"/>
      <c r="I175" s="7"/>
      <c r="J175" s="7"/>
      <c r="K175" s="7"/>
      <c r="L175" s="7"/>
    </row>
    <row r="176" spans="1:12">
      <c r="A176" s="7"/>
      <c r="B176" s="7"/>
      <c r="C176" s="7"/>
      <c r="D176" s="7"/>
      <c r="E176" s="7"/>
      <c r="F176" s="7"/>
      <c r="G176" s="7"/>
      <c r="H176" s="7"/>
      <c r="I176" s="7"/>
      <c r="J176" s="7"/>
      <c r="K176" s="7"/>
      <c r="L176" s="7"/>
    </row>
    <row r="177" spans="1:12" ht="47.25">
      <c r="A177" s="7"/>
      <c r="C177" s="115" t="s">
        <v>79</v>
      </c>
      <c r="D177" s="115" t="s">
        <v>652</v>
      </c>
      <c r="E177" s="115" t="s">
        <v>648</v>
      </c>
      <c r="F177" s="115" t="s">
        <v>551</v>
      </c>
      <c r="G177" s="7"/>
      <c r="H177" s="7"/>
      <c r="I177" s="7"/>
      <c r="J177" s="7"/>
      <c r="K177" s="7"/>
      <c r="L177" s="7"/>
    </row>
    <row r="178" spans="1:12">
      <c r="A178" s="7"/>
      <c r="C178" s="110">
        <f t="shared" ref="C178:C184" si="27">B162</f>
        <v>2015</v>
      </c>
      <c r="D178" s="278">
        <f t="shared" ref="D178:D182" si="28">D179*(1+$F$175)</f>
        <v>1.4862345508817836</v>
      </c>
      <c r="E178" s="165">
        <f t="shared" ref="E178:E184" si="29">D178*E162/C7</f>
        <v>711.54393110808678</v>
      </c>
      <c r="F178" s="150">
        <f t="shared" ref="F178:F184" si="30">$E$187*C7/D178</f>
        <v>5311155.3470654665</v>
      </c>
      <c r="G178" s="7"/>
      <c r="H178" s="7"/>
      <c r="I178" s="7"/>
      <c r="J178" s="7"/>
      <c r="K178" s="7"/>
      <c r="L178" s="7"/>
    </row>
    <row r="179" spans="1:12">
      <c r="A179" s="7"/>
      <c r="C179" s="110">
        <f t="shared" si="27"/>
        <v>2016</v>
      </c>
      <c r="D179" s="278">
        <f t="shared" si="28"/>
        <v>1.3912530444557911</v>
      </c>
      <c r="E179" s="165">
        <f t="shared" si="29"/>
        <v>716.44225241194351</v>
      </c>
      <c r="F179" s="150">
        <f t="shared" si="30"/>
        <v>5755607.982053346</v>
      </c>
      <c r="G179" s="7"/>
      <c r="H179" s="7"/>
      <c r="I179" s="7"/>
      <c r="J179" s="7"/>
      <c r="K179" s="7"/>
      <c r="L179" s="7"/>
    </row>
    <row r="180" spans="1:12">
      <c r="A180" s="7"/>
      <c r="C180" s="110">
        <f t="shared" si="27"/>
        <v>2017</v>
      </c>
      <c r="D180" s="278">
        <f t="shared" si="28"/>
        <v>1.3023415668537137</v>
      </c>
      <c r="E180" s="165">
        <f t="shared" si="29"/>
        <v>713.87421714289962</v>
      </c>
      <c r="F180" s="150">
        <f t="shared" si="30"/>
        <v>6263318.9339231327</v>
      </c>
      <c r="G180" s="7"/>
      <c r="H180" s="7"/>
      <c r="I180" s="7"/>
      <c r="J180" s="7"/>
      <c r="K180" s="7"/>
      <c r="L180" s="7"/>
    </row>
    <row r="181" spans="1:12">
      <c r="A181" s="7"/>
      <c r="C181" s="110">
        <f t="shared" si="27"/>
        <v>2018</v>
      </c>
      <c r="D181" s="278">
        <f t="shared" si="28"/>
        <v>1.219112197823393</v>
      </c>
      <c r="E181" s="165">
        <f t="shared" si="29"/>
        <v>707.89000470080794</v>
      </c>
      <c r="F181" s="150">
        <f t="shared" si="30"/>
        <v>6871912.1312927483</v>
      </c>
      <c r="G181" s="7"/>
      <c r="H181" s="7"/>
      <c r="I181" s="7"/>
      <c r="J181" s="7"/>
      <c r="K181" s="7"/>
      <c r="L181" s="7"/>
    </row>
    <row r="182" spans="1:12">
      <c r="A182" s="7"/>
      <c r="C182" s="110">
        <f t="shared" si="27"/>
        <v>2019</v>
      </c>
      <c r="D182" s="278">
        <f t="shared" si="28"/>
        <v>1.1412018081188418</v>
      </c>
      <c r="E182" s="165">
        <f t="shared" si="29"/>
        <v>710.52124865410883</v>
      </c>
      <c r="F182" s="150">
        <f t="shared" si="30"/>
        <v>7528173.6884006923</v>
      </c>
      <c r="G182" s="7"/>
      <c r="H182" s="7"/>
      <c r="I182" s="7"/>
      <c r="J182" s="7"/>
      <c r="K182" s="7"/>
      <c r="L182" s="7"/>
    </row>
    <row r="183" spans="1:12">
      <c r="C183" s="110">
        <f t="shared" si="27"/>
        <v>2020</v>
      </c>
      <c r="D183" s="278">
        <f>D184*(1+$F$175)</f>
        <v>1.0682704751694871</v>
      </c>
      <c r="E183" s="165">
        <f t="shared" si="29"/>
        <v>725.65837853961375</v>
      </c>
      <c r="F183" s="150">
        <f t="shared" si="30"/>
        <v>8235349.9126073485</v>
      </c>
    </row>
    <row r="184" spans="1:12">
      <c r="C184" s="116">
        <f t="shared" si="27"/>
        <v>2021</v>
      </c>
      <c r="D184" s="285">
        <v>1</v>
      </c>
      <c r="E184" s="170">
        <f t="shared" si="29"/>
        <v>710.39881410256419</v>
      </c>
      <c r="F184" s="152">
        <f t="shared" si="30"/>
        <v>8882994.5736904535</v>
      </c>
    </row>
    <row r="185" spans="1:12">
      <c r="C185" s="7" t="s">
        <v>649</v>
      </c>
      <c r="D185" s="7"/>
      <c r="E185" s="165">
        <f>AVERAGE(E178:E183)</f>
        <v>714.32167209291003</v>
      </c>
      <c r="F185" s="150">
        <f>SUM(F178:F184)</f>
        <v>48848512.569033183</v>
      </c>
    </row>
    <row r="186" spans="1:12">
      <c r="C186" s="7" t="s">
        <v>650</v>
      </c>
      <c r="E186" s="165">
        <f>AVERAGE(E184,E178:E182)</f>
        <v>711.77841135340179</v>
      </c>
      <c r="F186" s="7"/>
    </row>
    <row r="187" spans="1:12">
      <c r="C187" s="7" t="s">
        <v>654</v>
      </c>
      <c r="E187" s="165">
        <f>E186</f>
        <v>711.77841135340179</v>
      </c>
      <c r="F187" s="7"/>
    </row>
    <row r="188" spans="1:12">
      <c r="B188" s="7" t="s">
        <v>653</v>
      </c>
      <c r="C188" s="7"/>
      <c r="D188" s="7"/>
      <c r="E188" s="7"/>
      <c r="F188" s="7"/>
    </row>
    <row r="190" spans="1:12">
      <c r="A190" s="6" t="s">
        <v>8</v>
      </c>
      <c r="B190" s="9" t="s">
        <v>96</v>
      </c>
      <c r="C190" s="4"/>
      <c r="D190" s="4"/>
      <c r="E190" s="4"/>
      <c r="F190" s="4"/>
      <c r="G190" s="4"/>
      <c r="H190" s="4"/>
      <c r="I190" s="4"/>
      <c r="J190" s="4"/>
      <c r="K190" s="4"/>
      <c r="L190" s="4"/>
    </row>
    <row r="191" spans="1:12">
      <c r="A191" s="3"/>
      <c r="B191" s="3"/>
      <c r="C191" s="3"/>
      <c r="D191" s="3"/>
      <c r="E191" s="3"/>
      <c r="F191" s="3"/>
      <c r="G191" s="4"/>
      <c r="H191" s="4"/>
      <c r="I191" s="4"/>
      <c r="J191" s="4"/>
      <c r="K191" s="4"/>
      <c r="L191" s="4"/>
    </row>
    <row r="192" spans="1:12">
      <c r="A192" s="7"/>
      <c r="B192" s="7"/>
      <c r="C192" s="7"/>
      <c r="D192" s="7"/>
      <c r="E192" s="7"/>
      <c r="F192" s="7"/>
      <c r="G192" s="7"/>
      <c r="H192" s="7"/>
      <c r="I192" s="7"/>
      <c r="J192" s="7"/>
      <c r="K192" s="7"/>
      <c r="L192" s="7"/>
    </row>
    <row r="193" spans="1:12">
      <c r="A193" s="7" t="s">
        <v>1</v>
      </c>
      <c r="B193" s="7"/>
      <c r="C193" s="7"/>
      <c r="D193" s="7"/>
      <c r="E193" s="7"/>
      <c r="F193" s="7"/>
      <c r="G193" s="7"/>
      <c r="H193" s="7"/>
      <c r="I193" s="7"/>
      <c r="J193" s="7"/>
      <c r="K193" s="7"/>
      <c r="L193" s="7"/>
    </row>
    <row r="194" spans="1:12" ht="47.25">
      <c r="A194" s="7"/>
      <c r="B194" s="115" t="s">
        <v>79</v>
      </c>
      <c r="C194" s="115" t="s">
        <v>87</v>
      </c>
      <c r="D194" s="115" t="s">
        <v>544</v>
      </c>
      <c r="E194" s="115" t="s">
        <v>655</v>
      </c>
      <c r="F194" s="115" t="s">
        <v>551</v>
      </c>
      <c r="G194" s="115" t="s">
        <v>656</v>
      </c>
      <c r="H194" s="7"/>
      <c r="I194" s="7"/>
      <c r="J194" s="7"/>
      <c r="K194" s="7"/>
      <c r="L194" s="7"/>
    </row>
    <row r="195" spans="1:12">
      <c r="A195" s="7"/>
      <c r="B195" s="110">
        <f>C178</f>
        <v>2015</v>
      </c>
      <c r="C195" s="150">
        <f>I55</f>
        <v>5274875</v>
      </c>
      <c r="D195" s="150">
        <f>E162</f>
        <v>5309405.7</v>
      </c>
      <c r="E195" s="278">
        <f>D195/C195</f>
        <v>1.0065462593900329</v>
      </c>
      <c r="F195" s="150">
        <f>F178</f>
        <v>5311155.3470654665</v>
      </c>
      <c r="G195" s="150">
        <f>C195+F195*(1-1/E195)</f>
        <v>5309417.0791526465</v>
      </c>
      <c r="H195" s="7"/>
      <c r="I195" s="7"/>
      <c r="J195" s="7"/>
      <c r="K195" s="7"/>
      <c r="L195" s="7"/>
    </row>
    <row r="196" spans="1:12">
      <c r="B196" s="110">
        <f t="shared" ref="B196:B201" si="31">C179</f>
        <v>2016</v>
      </c>
      <c r="C196" s="150">
        <f>H56</f>
        <v>5763708</v>
      </c>
      <c r="D196" s="150">
        <f t="shared" ref="D196:D201" si="32">E163</f>
        <v>5793320.9000000004</v>
      </c>
      <c r="E196" s="278">
        <f t="shared" ref="E196:E201" si="33">D196/C196</f>
        <v>1.0051378209999535</v>
      </c>
      <c r="F196" s="150">
        <f t="shared" ref="F196:F201" si="34">F179</f>
        <v>5755607.982053346</v>
      </c>
      <c r="G196" s="150">
        <f t="shared" ref="G196:G201" si="35">C196+F196*(1-1/E196)</f>
        <v>5793128.1282051802</v>
      </c>
    </row>
    <row r="197" spans="1:12">
      <c r="B197" s="110">
        <f t="shared" si="31"/>
        <v>2017</v>
      </c>
      <c r="C197" s="150">
        <f>G57</f>
        <v>5759272</v>
      </c>
      <c r="D197" s="150">
        <f t="shared" si="32"/>
        <v>6281761.0499999998</v>
      </c>
      <c r="E197" s="278">
        <f t="shared" si="33"/>
        <v>1.0907213706871284</v>
      </c>
      <c r="F197" s="150">
        <f t="shared" si="34"/>
        <v>6263318.9339231327</v>
      </c>
      <c r="G197" s="150">
        <f t="shared" si="35"/>
        <v>6280227.1165007306</v>
      </c>
    </row>
    <row r="198" spans="1:12">
      <c r="B198" s="110">
        <f t="shared" si="31"/>
        <v>2018</v>
      </c>
      <c r="C198" s="150">
        <f>F58</f>
        <v>5558325</v>
      </c>
      <c r="D198" s="150">
        <f t="shared" si="32"/>
        <v>6834371.25</v>
      </c>
      <c r="E198" s="278">
        <f t="shared" si="33"/>
        <v>1.2295738824196139</v>
      </c>
      <c r="F198" s="150">
        <f t="shared" si="34"/>
        <v>6871912.1312927483</v>
      </c>
      <c r="G198" s="150">
        <f t="shared" si="35"/>
        <v>6841380.5123070935</v>
      </c>
    </row>
    <row r="199" spans="1:12">
      <c r="B199" s="110">
        <f t="shared" si="31"/>
        <v>2019</v>
      </c>
      <c r="C199" s="150">
        <f>E59</f>
        <v>5107412</v>
      </c>
      <c r="D199" s="150">
        <f t="shared" si="32"/>
        <v>7514877.2199999997</v>
      </c>
      <c r="E199" s="278">
        <f t="shared" si="33"/>
        <v>1.4713669506200009</v>
      </c>
      <c r="F199" s="150">
        <f t="shared" si="34"/>
        <v>7528173.6884006923</v>
      </c>
      <c r="G199" s="150">
        <f t="shared" si="35"/>
        <v>7519136.8751196209</v>
      </c>
    </row>
    <row r="200" spans="1:12">
      <c r="B200" s="110">
        <f t="shared" si="31"/>
        <v>2020</v>
      </c>
      <c r="C200" s="150">
        <f>D60</f>
        <v>4364690</v>
      </c>
      <c r="D200" s="150">
        <f t="shared" si="32"/>
        <v>8395942.5700000003</v>
      </c>
      <c r="E200" s="278">
        <f t="shared" si="33"/>
        <v>1.9236057016649522</v>
      </c>
      <c r="F200" s="150">
        <f t="shared" si="34"/>
        <v>8235349.9126073485</v>
      </c>
      <c r="G200" s="150">
        <f t="shared" si="35"/>
        <v>8318835.138947472</v>
      </c>
    </row>
    <row r="201" spans="1:12">
      <c r="B201" s="116">
        <f t="shared" si="31"/>
        <v>2021</v>
      </c>
      <c r="C201" s="152">
        <f>C61</f>
        <v>3175077</v>
      </c>
      <c r="D201" s="152">
        <f t="shared" si="32"/>
        <v>8865777.2000000011</v>
      </c>
      <c r="E201" s="285">
        <f t="shared" si="33"/>
        <v>2.7923030528078536</v>
      </c>
      <c r="F201" s="152">
        <f t="shared" si="34"/>
        <v>8882994.5736904535</v>
      </c>
      <c r="G201" s="152">
        <f t="shared" si="35"/>
        <v>8876828.5618483163</v>
      </c>
    </row>
    <row r="202" spans="1:12">
      <c r="B202" s="7"/>
      <c r="C202" s="7"/>
      <c r="D202" s="7"/>
      <c r="E202" s="7"/>
      <c r="F202" s="7"/>
      <c r="G202" s="150">
        <f>SUM(G195:G201)</f>
        <v>48938953.412081063</v>
      </c>
    </row>
    <row r="204" spans="1:12">
      <c r="A204" s="3"/>
      <c r="B204" s="3"/>
      <c r="C204" s="3"/>
      <c r="D204" s="3"/>
      <c r="E204" s="3"/>
      <c r="F204" s="3"/>
      <c r="G204" s="4"/>
      <c r="H204" s="4"/>
      <c r="I204" s="4"/>
      <c r="J204" s="4"/>
      <c r="K204" s="4"/>
      <c r="L204" s="4"/>
    </row>
    <row r="205" spans="1:12">
      <c r="A205" s="14" t="s">
        <v>97</v>
      </c>
      <c r="B205" s="3"/>
      <c r="C205" s="3"/>
      <c r="D205" s="3"/>
      <c r="E205" s="3"/>
      <c r="F205" s="3"/>
      <c r="G205" s="4"/>
      <c r="H205" s="4"/>
      <c r="I205" s="4"/>
      <c r="J205" s="4"/>
      <c r="K205" s="4"/>
      <c r="L205" s="4"/>
    </row>
    <row r="206" spans="1:12">
      <c r="A206" s="3"/>
      <c r="B206" s="3"/>
      <c r="C206" s="3"/>
      <c r="D206" s="3"/>
      <c r="E206" s="3"/>
      <c r="F206" s="3"/>
      <c r="G206" s="4"/>
      <c r="H206" s="4"/>
      <c r="I206" s="4"/>
      <c r="J206" s="4"/>
      <c r="K206" s="4"/>
      <c r="L206" s="4"/>
    </row>
    <row r="208" spans="1:12">
      <c r="A208" s="6" t="s">
        <v>9</v>
      </c>
      <c r="B208" s="9" t="s">
        <v>98</v>
      </c>
      <c r="C208" s="4"/>
      <c r="D208" s="4"/>
      <c r="E208" s="4"/>
      <c r="F208" s="4"/>
      <c r="G208" s="4"/>
      <c r="H208" s="4"/>
      <c r="I208" s="4"/>
      <c r="J208" s="4"/>
      <c r="K208" s="4"/>
      <c r="L208" s="4"/>
    </row>
    <row r="209" spans="1:12">
      <c r="A209" s="3"/>
      <c r="B209" s="3"/>
      <c r="C209" s="3"/>
      <c r="D209" s="3"/>
      <c r="E209" s="3"/>
      <c r="F209" s="3"/>
      <c r="G209" s="4"/>
      <c r="H209" s="4"/>
      <c r="I209" s="4"/>
      <c r="J209" s="4"/>
      <c r="K209" s="4"/>
      <c r="L209" s="4"/>
    </row>
    <row r="210" spans="1:12">
      <c r="A210" s="7"/>
      <c r="B210" s="7"/>
      <c r="C210" s="7"/>
      <c r="D210" s="7"/>
      <c r="E210" s="7"/>
      <c r="F210" s="7"/>
      <c r="G210" s="7"/>
      <c r="H210" s="7"/>
      <c r="I210" s="7"/>
      <c r="J210" s="7"/>
      <c r="K210" s="7"/>
      <c r="L210" s="7"/>
    </row>
    <row r="211" spans="1:12">
      <c r="A211" s="7" t="s">
        <v>1</v>
      </c>
      <c r="B211" s="7"/>
      <c r="C211" s="7"/>
      <c r="D211" s="7"/>
      <c r="E211" s="7"/>
      <c r="F211" s="7"/>
      <c r="G211" s="7"/>
      <c r="H211" s="7"/>
      <c r="I211" s="7"/>
      <c r="J211" s="7"/>
      <c r="K211" s="7"/>
      <c r="L211" s="7"/>
    </row>
    <row r="212" spans="1:12">
      <c r="A212" s="7"/>
      <c r="B212" s="7" t="s">
        <v>657</v>
      </c>
      <c r="C212" s="7"/>
      <c r="D212" s="7"/>
      <c r="E212" s="7"/>
      <c r="F212" s="157">
        <f>AVERAGE(E168,F184,G201)</f>
        <v>8875200.111846257</v>
      </c>
      <c r="G212" s="7"/>
      <c r="H212" s="7"/>
      <c r="I212" s="7"/>
      <c r="J212" s="7"/>
      <c r="K212" s="7"/>
      <c r="L212" s="7"/>
    </row>
    <row r="213" spans="1:12">
      <c r="A213" s="7"/>
      <c r="B213" s="7" t="s">
        <v>658</v>
      </c>
      <c r="C213" s="7" t="s">
        <v>661</v>
      </c>
      <c r="D213" s="7"/>
      <c r="E213" s="7"/>
      <c r="F213" s="7"/>
      <c r="G213" s="7"/>
      <c r="H213" s="7"/>
      <c r="I213" s="7"/>
      <c r="J213" s="7"/>
      <c r="K213" s="7"/>
      <c r="L213" s="7"/>
    </row>
    <row r="214" spans="1:12">
      <c r="C214" s="1" t="s">
        <v>659</v>
      </c>
    </row>
    <row r="215" spans="1:12">
      <c r="C215" s="1" t="s">
        <v>660</v>
      </c>
    </row>
  </sheetData>
  <mergeCells count="17">
    <mergeCell ref="B170:K171"/>
    <mergeCell ref="B63:B64"/>
    <mergeCell ref="C63:I63"/>
    <mergeCell ref="B73:B74"/>
    <mergeCell ref="C73:I73"/>
    <mergeCell ref="B83:B84"/>
    <mergeCell ref="C83:I83"/>
    <mergeCell ref="B98:B99"/>
    <mergeCell ref="C98:I98"/>
    <mergeCell ref="B108:B109"/>
    <mergeCell ref="C108:I108"/>
    <mergeCell ref="B5:B6"/>
    <mergeCell ref="C5:C6"/>
    <mergeCell ref="D5:F5"/>
    <mergeCell ref="A50:K51"/>
    <mergeCell ref="B53:B54"/>
    <mergeCell ref="C53:I53"/>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E8CC5-BBB7-4D0B-9707-0E97C2B98111}">
  <dimension ref="A1:L27"/>
  <sheetViews>
    <sheetView zoomScaleNormal="100" workbookViewId="0"/>
  </sheetViews>
  <sheetFormatPr defaultColWidth="8.85546875" defaultRowHeight="15.75"/>
  <cols>
    <col min="1" max="9" width="10.7109375" style="1" customWidth="1"/>
    <col min="10" max="16384" width="8.85546875" style="1"/>
  </cols>
  <sheetData>
    <row r="1" spans="1:12" ht="18.75">
      <c r="A1" s="2" t="s">
        <v>99</v>
      </c>
      <c r="B1" s="4"/>
      <c r="C1" s="9" t="s">
        <v>11</v>
      </c>
      <c r="D1" s="4"/>
      <c r="E1" s="4"/>
      <c r="F1" s="4"/>
      <c r="G1" s="4"/>
      <c r="H1" s="4"/>
      <c r="I1" s="4"/>
      <c r="J1" s="4"/>
      <c r="K1" s="4"/>
      <c r="L1" s="3"/>
    </row>
    <row r="2" spans="1:12">
      <c r="A2" s="4"/>
      <c r="B2" s="4"/>
      <c r="C2" s="4"/>
      <c r="D2" s="4"/>
      <c r="E2" s="4"/>
      <c r="F2" s="4"/>
      <c r="G2" s="4"/>
      <c r="H2" s="4"/>
      <c r="I2" s="4"/>
      <c r="J2" s="4"/>
      <c r="K2" s="4"/>
      <c r="L2" s="3"/>
    </row>
    <row r="3" spans="1:12" ht="16.149999999999999" customHeight="1">
      <c r="A3" s="318" t="s">
        <v>103</v>
      </c>
      <c r="B3" s="318"/>
      <c r="C3" s="318"/>
      <c r="D3" s="318"/>
      <c r="E3" s="318"/>
      <c r="F3" s="318"/>
      <c r="G3" s="318"/>
      <c r="H3" s="318"/>
      <c r="I3" s="318"/>
      <c r="J3" s="318"/>
      <c r="K3" s="318"/>
      <c r="L3" s="9"/>
    </row>
    <row r="4" spans="1:12" ht="16.149999999999999" customHeight="1">
      <c r="A4" s="318"/>
      <c r="B4" s="318"/>
      <c r="C4" s="318"/>
      <c r="D4" s="318"/>
      <c r="E4" s="318"/>
      <c r="F4" s="318"/>
      <c r="G4" s="318"/>
      <c r="H4" s="318"/>
      <c r="I4" s="318"/>
      <c r="J4" s="318"/>
      <c r="K4" s="318"/>
      <c r="L4" s="9"/>
    </row>
    <row r="5" spans="1:12">
      <c r="A5" s="11"/>
      <c r="B5" s="4"/>
      <c r="C5" s="4"/>
      <c r="D5" s="4"/>
      <c r="E5" s="4"/>
      <c r="F5" s="4"/>
      <c r="G5" s="4"/>
      <c r="H5" s="9"/>
      <c r="I5" s="9"/>
      <c r="J5" s="9"/>
      <c r="K5" s="9"/>
      <c r="L5" s="9"/>
    </row>
    <row r="6" spans="1:12">
      <c r="A6" s="310" t="s">
        <v>100</v>
      </c>
      <c r="B6" s="313" t="s">
        <v>101</v>
      </c>
      <c r="C6" s="313"/>
      <c r="D6" s="313"/>
      <c r="E6" s="313"/>
      <c r="F6" s="313"/>
      <c r="G6" s="313"/>
      <c r="H6" s="313"/>
      <c r="I6" s="313"/>
      <c r="J6" s="9"/>
      <c r="K6" s="9"/>
      <c r="L6" s="9"/>
    </row>
    <row r="7" spans="1:12">
      <c r="A7" s="310"/>
      <c r="B7" s="38">
        <v>12</v>
      </c>
      <c r="C7" s="38">
        <v>24</v>
      </c>
      <c r="D7" s="38">
        <v>36</v>
      </c>
      <c r="E7" s="38">
        <v>48</v>
      </c>
      <c r="F7" s="38">
        <v>60</v>
      </c>
      <c r="G7" s="38">
        <v>72</v>
      </c>
      <c r="H7" s="38">
        <v>84</v>
      </c>
      <c r="I7" s="38">
        <v>96</v>
      </c>
      <c r="J7" s="9"/>
      <c r="K7" s="9"/>
      <c r="L7" s="9"/>
    </row>
    <row r="8" spans="1:12">
      <c r="A8" s="34">
        <v>2014</v>
      </c>
      <c r="B8" s="44">
        <v>1.7000000000000001E-2</v>
      </c>
      <c r="C8" s="44">
        <v>1.7999999999999999E-2</v>
      </c>
      <c r="D8" s="44">
        <v>1.9E-2</v>
      </c>
      <c r="E8" s="44">
        <v>1.9E-2</v>
      </c>
      <c r="F8" s="44">
        <v>1.9E-2</v>
      </c>
      <c r="G8" s="44">
        <v>1.9E-2</v>
      </c>
      <c r="H8" s="44">
        <v>1.9E-2</v>
      </c>
      <c r="I8" s="44">
        <v>1.9E-2</v>
      </c>
      <c r="J8" s="9"/>
      <c r="K8" s="9"/>
      <c r="L8" s="9"/>
    </row>
    <row r="9" spans="1:12">
      <c r="A9" s="34">
        <v>2015</v>
      </c>
      <c r="B9" s="44">
        <v>1.7999999999999999E-2</v>
      </c>
      <c r="C9" s="44">
        <v>1.9E-2</v>
      </c>
      <c r="D9" s="44">
        <v>1.9E-2</v>
      </c>
      <c r="E9" s="44">
        <v>1.9E-2</v>
      </c>
      <c r="F9" s="44">
        <v>1.9E-2</v>
      </c>
      <c r="G9" s="44">
        <v>1.7999999999999999E-2</v>
      </c>
      <c r="H9" s="44">
        <v>1.7999999999999999E-2</v>
      </c>
      <c r="I9" s="44"/>
      <c r="J9" s="9"/>
      <c r="K9" s="9"/>
      <c r="L9" s="9"/>
    </row>
    <row r="10" spans="1:12">
      <c r="A10" s="34">
        <v>2016</v>
      </c>
      <c r="B10" s="44">
        <v>1.7000000000000001E-2</v>
      </c>
      <c r="C10" s="44">
        <v>1.7999999999999999E-2</v>
      </c>
      <c r="D10" s="44">
        <v>1.7999999999999999E-2</v>
      </c>
      <c r="E10" s="44">
        <v>1.7999999999999999E-2</v>
      </c>
      <c r="F10" s="44">
        <v>1.7999999999999999E-2</v>
      </c>
      <c r="G10" s="44">
        <v>1.7999999999999999E-2</v>
      </c>
      <c r="H10" s="44"/>
      <c r="I10" s="44"/>
      <c r="J10" s="9"/>
      <c r="K10" s="9"/>
      <c r="L10" s="9"/>
    </row>
    <row r="11" spans="1:12">
      <c r="A11" s="34">
        <v>2017</v>
      </c>
      <c r="B11" s="44">
        <v>1.7999999999999999E-2</v>
      </c>
      <c r="C11" s="44">
        <v>1.9E-2</v>
      </c>
      <c r="D11" s="44">
        <v>0.02</v>
      </c>
      <c r="E11" s="44">
        <v>0.02</v>
      </c>
      <c r="F11" s="44">
        <v>1.9E-2</v>
      </c>
      <c r="G11" s="44"/>
      <c r="H11" s="44"/>
      <c r="I11" s="44"/>
      <c r="J11" s="9"/>
      <c r="K11" s="9"/>
      <c r="L11" s="9"/>
    </row>
    <row r="12" spans="1:12">
      <c r="A12" s="34">
        <v>2018</v>
      </c>
      <c r="B12" s="44">
        <v>1.4999999999999999E-2</v>
      </c>
      <c r="C12" s="44">
        <v>1.6E-2</v>
      </c>
      <c r="D12" s="44">
        <v>1.7000000000000001E-2</v>
      </c>
      <c r="E12" s="44">
        <v>1.7999999999999999E-2</v>
      </c>
      <c r="F12" s="44"/>
      <c r="G12" s="44"/>
      <c r="H12" s="44"/>
      <c r="I12" s="44"/>
      <c r="J12" s="9"/>
      <c r="K12" s="9"/>
      <c r="L12" s="9"/>
    </row>
    <row r="13" spans="1:12">
      <c r="A13" s="34">
        <v>2019</v>
      </c>
      <c r="B13" s="44">
        <v>1.4999999999999999E-2</v>
      </c>
      <c r="C13" s="44">
        <v>1.4999999999999999E-2</v>
      </c>
      <c r="D13" s="44">
        <v>1.6E-2</v>
      </c>
      <c r="E13" s="44"/>
      <c r="F13" s="44"/>
      <c r="G13" s="44"/>
      <c r="H13" s="44"/>
      <c r="I13" s="44"/>
      <c r="J13" s="9"/>
      <c r="K13" s="9"/>
      <c r="L13" s="9"/>
    </row>
    <row r="14" spans="1:12">
      <c r="A14" s="34">
        <v>2020</v>
      </c>
      <c r="B14" s="44">
        <v>1.4E-2</v>
      </c>
      <c r="C14" s="44">
        <v>1.4999999999999999E-2</v>
      </c>
      <c r="D14" s="44"/>
      <c r="E14" s="44"/>
      <c r="F14" s="44"/>
      <c r="G14" s="44"/>
      <c r="H14" s="44"/>
      <c r="I14" s="44"/>
      <c r="J14" s="9"/>
      <c r="K14" s="9"/>
      <c r="L14" s="9"/>
    </row>
    <row r="15" spans="1:12">
      <c r="A15" s="34">
        <v>2021</v>
      </c>
      <c r="B15" s="44">
        <v>1.2999999999999999E-2</v>
      </c>
      <c r="C15" s="44"/>
      <c r="D15" s="44"/>
      <c r="E15" s="44"/>
      <c r="F15" s="44"/>
      <c r="G15" s="44"/>
      <c r="H15" s="44"/>
      <c r="I15" s="44"/>
      <c r="J15" s="9"/>
      <c r="K15" s="9"/>
      <c r="L15" s="9"/>
    </row>
    <row r="16" spans="1:12">
      <c r="A16" s="43"/>
      <c r="B16" s="9"/>
      <c r="C16" s="9"/>
      <c r="D16" s="9"/>
      <c r="E16" s="9"/>
      <c r="F16" s="9"/>
      <c r="G16" s="9"/>
      <c r="H16" s="9"/>
      <c r="I16" s="9"/>
      <c r="J16" s="9"/>
      <c r="K16" s="9"/>
      <c r="L16" s="9"/>
    </row>
    <row r="17" spans="1:12">
      <c r="A17" s="310" t="s">
        <v>100</v>
      </c>
      <c r="B17" s="313" t="s">
        <v>102</v>
      </c>
      <c r="C17" s="313"/>
      <c r="D17" s="313"/>
      <c r="E17" s="313"/>
      <c r="F17" s="313"/>
      <c r="G17" s="313"/>
      <c r="H17" s="313"/>
      <c r="I17" s="313"/>
      <c r="J17" s="9"/>
      <c r="K17" s="9"/>
      <c r="L17" s="9"/>
    </row>
    <row r="18" spans="1:12">
      <c r="A18" s="310"/>
      <c r="B18" s="38">
        <v>12</v>
      </c>
      <c r="C18" s="38">
        <v>24</v>
      </c>
      <c r="D18" s="38">
        <v>36</v>
      </c>
      <c r="E18" s="38">
        <v>48</v>
      </c>
      <c r="F18" s="38">
        <v>60</v>
      </c>
      <c r="G18" s="38">
        <v>72</v>
      </c>
      <c r="H18" s="38">
        <v>84</v>
      </c>
      <c r="I18" s="38">
        <v>96</v>
      </c>
      <c r="J18" s="9"/>
      <c r="K18" s="9"/>
      <c r="L18" s="9"/>
    </row>
    <row r="19" spans="1:12">
      <c r="A19" s="34">
        <v>2014</v>
      </c>
      <c r="B19" s="44">
        <v>0.20499999999999999</v>
      </c>
      <c r="C19" s="44">
        <v>0.36299999999999999</v>
      </c>
      <c r="D19" s="44">
        <v>0.45400000000000001</v>
      </c>
      <c r="E19" s="44">
        <v>0.57499999999999996</v>
      </c>
      <c r="F19" s="44">
        <v>0.67</v>
      </c>
      <c r="G19" s="44">
        <v>0.82899999999999996</v>
      </c>
      <c r="H19" s="44">
        <v>0.90200000000000002</v>
      </c>
      <c r="I19" s="44">
        <v>0.96</v>
      </c>
      <c r="J19" s="9"/>
      <c r="K19" s="9"/>
      <c r="L19" s="9"/>
    </row>
    <row r="20" spans="1:12">
      <c r="A20" s="34">
        <v>2015</v>
      </c>
      <c r="B20" s="44">
        <v>0.187</v>
      </c>
      <c r="C20" s="44">
        <v>0.35699999999999998</v>
      </c>
      <c r="D20" s="44">
        <v>0.42499999999999999</v>
      </c>
      <c r="E20" s="44">
        <v>0.56999999999999995</v>
      </c>
      <c r="F20" s="44">
        <v>0.66700000000000004</v>
      </c>
      <c r="G20" s="44">
        <v>0.81299999999999994</v>
      </c>
      <c r="H20" s="44">
        <v>0.86799999999999999</v>
      </c>
      <c r="I20" s="44"/>
      <c r="J20" s="9"/>
      <c r="K20" s="9"/>
      <c r="L20" s="9"/>
    </row>
    <row r="21" spans="1:12">
      <c r="A21" s="34">
        <v>2016</v>
      </c>
      <c r="B21" s="44">
        <v>0.21299999999999999</v>
      </c>
      <c r="C21" s="44">
        <v>0.36699999999999999</v>
      </c>
      <c r="D21" s="44">
        <v>0.442</v>
      </c>
      <c r="E21" s="44">
        <v>0.55900000000000005</v>
      </c>
      <c r="F21" s="44">
        <v>0.65600000000000003</v>
      </c>
      <c r="G21" s="44">
        <v>0.77200000000000002</v>
      </c>
      <c r="H21" s="44"/>
      <c r="I21" s="44"/>
      <c r="J21" s="9"/>
      <c r="K21" s="9"/>
      <c r="L21" s="9"/>
    </row>
    <row r="22" spans="1:12">
      <c r="A22" s="34">
        <v>2017</v>
      </c>
      <c r="B22" s="44">
        <v>0.19800000000000001</v>
      </c>
      <c r="C22" s="44">
        <v>0.35899999999999999</v>
      </c>
      <c r="D22" s="44">
        <v>0.438</v>
      </c>
      <c r="E22" s="44">
        <v>0.55100000000000005</v>
      </c>
      <c r="F22" s="44">
        <v>0.61399999999999999</v>
      </c>
      <c r="G22" s="44"/>
      <c r="H22" s="44"/>
      <c r="I22" s="44"/>
      <c r="J22" s="9"/>
      <c r="K22" s="9"/>
      <c r="L22" s="9"/>
    </row>
    <row r="23" spans="1:12">
      <c r="A23" s="34">
        <v>2018</v>
      </c>
      <c r="B23" s="44">
        <v>0.19600000000000001</v>
      </c>
      <c r="C23" s="44">
        <v>0.373</v>
      </c>
      <c r="D23" s="44">
        <v>0.44700000000000001</v>
      </c>
      <c r="E23" s="44">
        <v>0.49</v>
      </c>
      <c r="F23" s="44"/>
      <c r="G23" s="44"/>
      <c r="H23" s="44"/>
      <c r="I23" s="44"/>
      <c r="J23" s="9"/>
      <c r="K23" s="9"/>
      <c r="L23" s="9"/>
    </row>
    <row r="24" spans="1:12">
      <c r="A24" s="34">
        <v>2019</v>
      </c>
      <c r="B24" s="44">
        <v>0.19</v>
      </c>
      <c r="C24" s="44">
        <v>0.36499999999999999</v>
      </c>
      <c r="D24" s="44">
        <v>0.375</v>
      </c>
      <c r="E24" s="44"/>
      <c r="F24" s="44"/>
      <c r="G24" s="44"/>
      <c r="H24" s="44"/>
      <c r="I24" s="44"/>
      <c r="J24" s="9"/>
      <c r="K24" s="9"/>
      <c r="L24" s="9"/>
    </row>
    <row r="25" spans="1:12">
      <c r="A25" s="34">
        <v>2020</v>
      </c>
      <c r="B25" s="44">
        <v>0.20300000000000001</v>
      </c>
      <c r="C25" s="44">
        <v>0.29499999999999998</v>
      </c>
      <c r="D25" s="44"/>
      <c r="E25" s="44"/>
      <c r="F25" s="44"/>
      <c r="G25" s="44"/>
      <c r="H25" s="44"/>
      <c r="I25" s="44"/>
      <c r="J25" s="9"/>
      <c r="K25" s="9"/>
      <c r="L25" s="9"/>
    </row>
    <row r="26" spans="1:12">
      <c r="A26" s="34">
        <v>2021</v>
      </c>
      <c r="B26" s="44">
        <v>0.15</v>
      </c>
      <c r="C26" s="44"/>
      <c r="D26" s="44"/>
      <c r="E26" s="44"/>
      <c r="F26" s="44"/>
      <c r="G26" s="44"/>
      <c r="H26" s="44"/>
      <c r="I26" s="44"/>
      <c r="J26" s="9"/>
      <c r="K26" s="9"/>
      <c r="L26" s="9"/>
    </row>
    <row r="27" spans="1:12">
      <c r="A27" s="4"/>
      <c r="B27" s="4"/>
      <c r="C27" s="4"/>
      <c r="D27" s="4"/>
      <c r="E27" s="4"/>
      <c r="F27" s="4"/>
      <c r="G27" s="4"/>
      <c r="H27" s="9"/>
      <c r="I27" s="9"/>
      <c r="J27" s="9"/>
      <c r="K27" s="9"/>
      <c r="L27" s="9"/>
    </row>
  </sheetData>
  <mergeCells count="5">
    <mergeCell ref="A6:A7"/>
    <mergeCell ref="B6:I6"/>
    <mergeCell ref="A17:A18"/>
    <mergeCell ref="B17:I17"/>
    <mergeCell ref="A3:K4"/>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B56B-62E3-41B3-A6C5-EE07BB08881E}">
  <dimension ref="A1:R239"/>
  <sheetViews>
    <sheetView zoomScaleNormal="100" workbookViewId="0">
      <selection activeCell="D30" sqref="D30"/>
    </sheetView>
  </sheetViews>
  <sheetFormatPr defaultColWidth="8.85546875" defaultRowHeight="15.75"/>
  <cols>
    <col min="1" max="1" width="8.85546875" style="1" customWidth="1"/>
    <col min="2" max="2" width="16.5703125" style="1" customWidth="1"/>
    <col min="3" max="5" width="12.7109375" style="1" customWidth="1"/>
    <col min="6" max="6" width="14.28515625" style="1" customWidth="1"/>
    <col min="7" max="7" width="8.85546875" style="1"/>
    <col min="8" max="8" width="8.85546875" style="1" customWidth="1"/>
    <col min="9" max="16384" width="8.85546875" style="1"/>
  </cols>
  <sheetData>
    <row r="1" spans="1:12" ht="18.75">
      <c r="A1" s="2" t="s">
        <v>104</v>
      </c>
      <c r="B1" s="4"/>
      <c r="C1" s="9" t="s">
        <v>114</v>
      </c>
      <c r="D1" s="4"/>
      <c r="E1" s="4"/>
      <c r="F1" s="4"/>
      <c r="G1" s="4"/>
      <c r="H1" s="4"/>
      <c r="I1" s="4"/>
      <c r="J1" s="4"/>
      <c r="K1" s="4"/>
      <c r="L1" s="3"/>
    </row>
    <row r="2" spans="1:12">
      <c r="A2" s="4"/>
      <c r="B2" s="4"/>
      <c r="C2" s="4"/>
      <c r="D2" s="4"/>
      <c r="E2" s="4"/>
      <c r="F2" s="4"/>
      <c r="G2" s="4"/>
      <c r="H2" s="4"/>
      <c r="I2" s="4"/>
      <c r="J2" s="4"/>
      <c r="K2" s="4"/>
      <c r="L2" s="3"/>
    </row>
    <row r="3" spans="1:12">
      <c r="A3" s="303" t="s">
        <v>105</v>
      </c>
      <c r="B3" s="303"/>
      <c r="C3" s="303"/>
      <c r="D3" s="303"/>
      <c r="E3" s="303"/>
      <c r="F3" s="303"/>
      <c r="G3" s="303"/>
      <c r="H3" s="303"/>
      <c r="I3" s="303"/>
      <c r="J3" s="303"/>
      <c r="K3" s="303"/>
      <c r="L3" s="3"/>
    </row>
    <row r="4" spans="1:12">
      <c r="A4" s="303"/>
      <c r="B4" s="303"/>
      <c r="C4" s="303"/>
      <c r="D4" s="303"/>
      <c r="E4" s="303"/>
      <c r="F4" s="303"/>
      <c r="G4" s="303"/>
      <c r="H4" s="303"/>
      <c r="I4" s="303"/>
      <c r="J4" s="303"/>
      <c r="K4" s="303"/>
      <c r="L4" s="3"/>
    </row>
    <row r="5" spans="1:12">
      <c r="A5" s="14"/>
      <c r="B5" s="16"/>
      <c r="C5" s="16"/>
      <c r="D5" s="16"/>
      <c r="E5" s="9"/>
      <c r="F5" s="9"/>
      <c r="G5" s="9"/>
      <c r="H5" s="9"/>
      <c r="I5" s="9"/>
      <c r="J5" s="9"/>
      <c r="K5" s="9"/>
      <c r="L5" s="9"/>
    </row>
    <row r="6" spans="1:12" ht="31.5">
      <c r="A6" s="9"/>
      <c r="B6" s="319" t="s">
        <v>106</v>
      </c>
      <c r="C6" s="46"/>
      <c r="D6" s="320" t="s">
        <v>108</v>
      </c>
      <c r="E6" s="46" t="s">
        <v>109</v>
      </c>
      <c r="F6" s="9"/>
      <c r="G6" s="9"/>
      <c r="H6" s="9"/>
      <c r="I6" s="9"/>
      <c r="J6" s="9"/>
      <c r="K6" s="9"/>
      <c r="L6" s="9"/>
    </row>
    <row r="7" spans="1:12">
      <c r="A7" s="9"/>
      <c r="B7" s="319"/>
      <c r="C7" s="47" t="s">
        <v>107</v>
      </c>
      <c r="D7" s="320"/>
      <c r="E7" s="47" t="s">
        <v>43</v>
      </c>
      <c r="F7" s="9"/>
      <c r="G7" s="9"/>
      <c r="H7" s="9"/>
      <c r="I7" s="9"/>
      <c r="J7" s="9"/>
      <c r="K7" s="9"/>
      <c r="L7" s="9"/>
    </row>
    <row r="8" spans="1:12">
      <c r="A8" s="9"/>
      <c r="B8" s="321" t="s">
        <v>110</v>
      </c>
      <c r="C8" s="26" t="s">
        <v>111</v>
      </c>
      <c r="D8" s="26">
        <v>480</v>
      </c>
      <c r="E8" s="27">
        <v>52000</v>
      </c>
      <c r="F8" s="9"/>
      <c r="G8" s="9"/>
      <c r="H8" s="9"/>
      <c r="I8" s="9"/>
      <c r="J8" s="9"/>
      <c r="K8" s="9"/>
      <c r="L8" s="9"/>
    </row>
    <row r="9" spans="1:12">
      <c r="A9" s="9"/>
      <c r="B9" s="321"/>
      <c r="C9" s="26" t="s">
        <v>112</v>
      </c>
      <c r="D9" s="26">
        <v>160</v>
      </c>
      <c r="E9" s="27">
        <v>8000</v>
      </c>
      <c r="F9" s="9"/>
      <c r="G9" s="9"/>
      <c r="H9" s="9"/>
      <c r="I9" s="9"/>
      <c r="J9" s="9"/>
      <c r="K9" s="9"/>
      <c r="L9" s="9"/>
    </row>
    <row r="10" spans="1:12">
      <c r="A10" s="9"/>
      <c r="B10" s="321" t="s">
        <v>113</v>
      </c>
      <c r="C10" s="26" t="s">
        <v>111</v>
      </c>
      <c r="D10" s="26">
        <v>240</v>
      </c>
      <c r="E10" s="27">
        <v>38000</v>
      </c>
      <c r="F10" s="9"/>
      <c r="G10" s="9"/>
      <c r="H10" s="9"/>
      <c r="I10" s="9"/>
      <c r="J10" s="9"/>
      <c r="K10" s="9"/>
      <c r="L10" s="9"/>
    </row>
    <row r="11" spans="1:12">
      <c r="A11" s="9"/>
      <c r="B11" s="321"/>
      <c r="C11" s="26" t="s">
        <v>112</v>
      </c>
      <c r="D11" s="26">
        <v>120</v>
      </c>
      <c r="E11" s="27">
        <v>12000</v>
      </c>
      <c r="F11" s="9"/>
      <c r="G11" s="9"/>
      <c r="H11" s="9"/>
      <c r="I11" s="9"/>
      <c r="J11" s="9"/>
      <c r="K11" s="9"/>
      <c r="L11" s="9"/>
    </row>
    <row r="12" spans="1:12">
      <c r="A12" s="9"/>
      <c r="B12" s="19" t="s">
        <v>83</v>
      </c>
      <c r="C12" s="19"/>
      <c r="D12" s="45">
        <v>1000</v>
      </c>
      <c r="E12" s="45">
        <v>110000</v>
      </c>
      <c r="F12" s="9"/>
      <c r="G12" s="9"/>
      <c r="H12" s="9"/>
      <c r="I12" s="9"/>
      <c r="J12" s="9"/>
      <c r="K12" s="9"/>
      <c r="L12" s="9"/>
    </row>
    <row r="13" spans="1:12">
      <c r="A13" s="14"/>
      <c r="B13" s="16"/>
      <c r="C13" s="16"/>
      <c r="D13" s="16"/>
      <c r="E13" s="9"/>
      <c r="F13" s="9"/>
      <c r="G13" s="9"/>
      <c r="H13" s="9"/>
      <c r="I13" s="9"/>
      <c r="J13" s="9"/>
      <c r="K13" s="9"/>
      <c r="L13" s="9"/>
    </row>
    <row r="14" spans="1:12" ht="15.6" customHeight="1">
      <c r="A14" s="14" t="s">
        <v>115</v>
      </c>
      <c r="B14" s="16"/>
      <c r="C14" s="16"/>
      <c r="D14" s="16"/>
      <c r="E14" s="48">
        <v>100</v>
      </c>
      <c r="F14" s="9" t="s">
        <v>348</v>
      </c>
      <c r="G14" s="9"/>
      <c r="H14" s="9"/>
      <c r="I14" s="9"/>
      <c r="J14" s="9"/>
      <c r="K14" s="9"/>
      <c r="L14" s="9"/>
    </row>
    <row r="15" spans="1:12">
      <c r="A15" s="14" t="s">
        <v>116</v>
      </c>
      <c r="B15" s="9"/>
      <c r="C15" s="9"/>
      <c r="D15" s="9"/>
      <c r="E15" s="9"/>
      <c r="F15" s="48">
        <v>110</v>
      </c>
      <c r="G15" s="9" t="s">
        <v>349</v>
      </c>
      <c r="H15" s="9"/>
      <c r="I15" s="9"/>
      <c r="J15" s="9"/>
      <c r="K15" s="9"/>
      <c r="L15" s="9"/>
    </row>
    <row r="16" spans="1:12">
      <c r="A16" s="9"/>
      <c r="B16" s="9"/>
      <c r="C16" s="9"/>
      <c r="D16" s="9"/>
      <c r="E16" s="9"/>
      <c r="F16" s="9"/>
      <c r="G16" s="9"/>
      <c r="H16" s="9"/>
      <c r="I16" s="9"/>
      <c r="J16" s="9"/>
      <c r="K16" s="9"/>
      <c r="L16" s="9"/>
    </row>
    <row r="17" spans="1:18">
      <c r="A17" s="7"/>
      <c r="B17" s="7"/>
      <c r="C17" s="7"/>
      <c r="D17" s="7"/>
      <c r="E17" s="7"/>
      <c r="F17" s="7"/>
      <c r="G17" s="7"/>
      <c r="H17" s="7"/>
      <c r="I17" s="7"/>
      <c r="J17" s="7"/>
      <c r="K17" s="7"/>
      <c r="L17" s="7"/>
    </row>
    <row r="18" spans="1:18">
      <c r="A18" s="6" t="s">
        <v>4</v>
      </c>
      <c r="B18" s="9" t="s">
        <v>117</v>
      </c>
      <c r="C18" s="4"/>
      <c r="D18" s="4"/>
      <c r="E18" s="4"/>
      <c r="F18" s="4"/>
      <c r="G18" s="4"/>
      <c r="H18" s="4"/>
      <c r="I18" s="4"/>
      <c r="J18" s="4"/>
      <c r="K18" s="4"/>
      <c r="L18" s="4"/>
      <c r="M18" s="8"/>
      <c r="N18" s="8"/>
      <c r="O18" s="8"/>
      <c r="P18" s="8"/>
      <c r="Q18" s="8"/>
      <c r="R18" s="8"/>
    </row>
    <row r="19" spans="1:18">
      <c r="A19" s="3"/>
      <c r="B19" s="3"/>
      <c r="C19" s="3"/>
      <c r="D19" s="3"/>
      <c r="E19" s="3"/>
      <c r="F19" s="3"/>
      <c r="G19" s="4"/>
      <c r="H19" s="4"/>
      <c r="I19" s="4"/>
      <c r="J19" s="4"/>
      <c r="K19" s="4"/>
      <c r="L19" s="4"/>
    </row>
    <row r="20" spans="1:18">
      <c r="A20" s="7"/>
      <c r="B20" s="7"/>
      <c r="C20" s="7"/>
      <c r="D20" s="7"/>
      <c r="E20" s="7"/>
      <c r="F20" s="7"/>
      <c r="G20" s="7"/>
      <c r="H20" s="7"/>
      <c r="I20" s="7"/>
      <c r="J20" s="7"/>
      <c r="K20" s="7"/>
      <c r="L20" s="7"/>
      <c r="M20" s="7"/>
    </row>
    <row r="21" spans="1:18">
      <c r="A21" s="7" t="s">
        <v>1</v>
      </c>
      <c r="B21" s="7"/>
      <c r="C21" s="7"/>
      <c r="D21" s="7"/>
      <c r="E21" s="7"/>
      <c r="F21" s="7"/>
      <c r="G21" s="7"/>
      <c r="H21" s="7"/>
      <c r="I21" s="7"/>
      <c r="J21" s="7"/>
      <c r="K21" s="7"/>
      <c r="L21" s="7"/>
      <c r="M21" s="7"/>
      <c r="N21" s="8"/>
    </row>
    <row r="22" spans="1:18">
      <c r="A22" s="7"/>
      <c r="B22" s="7"/>
      <c r="C22" s="7"/>
      <c r="D22" s="7"/>
      <c r="E22" s="7"/>
      <c r="F22" s="7"/>
      <c r="G22" s="7"/>
      <c r="H22" s="7"/>
      <c r="I22" s="7"/>
      <c r="J22" s="7"/>
      <c r="K22" s="7"/>
      <c r="L22" s="7"/>
      <c r="M22" s="7"/>
      <c r="N22" s="8"/>
    </row>
    <row r="23" spans="1:18">
      <c r="A23" s="7"/>
      <c r="B23" s="7" t="s">
        <v>512</v>
      </c>
      <c r="C23" s="7"/>
      <c r="D23" s="7"/>
      <c r="E23" s="7"/>
      <c r="F23" s="7"/>
      <c r="G23" s="7"/>
      <c r="H23" s="7"/>
      <c r="I23" s="7"/>
      <c r="J23" s="7"/>
      <c r="K23" s="7"/>
      <c r="L23" s="7"/>
      <c r="M23" s="7"/>
      <c r="N23" s="8"/>
    </row>
    <row r="24" spans="1:18">
      <c r="M24" s="8"/>
      <c r="N24" s="8"/>
    </row>
    <row r="25" spans="1:18">
      <c r="B25" s="1" t="s">
        <v>513</v>
      </c>
      <c r="M25" s="8"/>
      <c r="N25" s="8"/>
    </row>
    <row r="26" spans="1:18">
      <c r="M26" s="8"/>
      <c r="N26" s="8"/>
    </row>
    <row r="27" spans="1:18">
      <c r="A27" s="3"/>
      <c r="B27" s="3"/>
      <c r="C27" s="3"/>
      <c r="D27" s="3"/>
      <c r="E27" s="3"/>
      <c r="F27" s="3"/>
      <c r="G27" s="4"/>
      <c r="H27" s="4"/>
      <c r="I27" s="4"/>
      <c r="J27" s="4"/>
      <c r="K27" s="4"/>
      <c r="L27" s="4"/>
      <c r="M27" s="8"/>
      <c r="N27" s="8"/>
    </row>
    <row r="28" spans="1:18">
      <c r="A28" s="14" t="s">
        <v>120</v>
      </c>
      <c r="B28" s="9"/>
      <c r="C28" s="9"/>
      <c r="D28" s="9"/>
      <c r="E28" s="9"/>
      <c r="F28" s="9"/>
      <c r="G28" s="9"/>
      <c r="H28" s="9"/>
      <c r="I28" s="9"/>
      <c r="J28" s="9"/>
      <c r="K28" s="4"/>
      <c r="L28" s="4"/>
      <c r="M28" s="8"/>
      <c r="N28" s="8"/>
    </row>
    <row r="29" spans="1:18">
      <c r="A29" s="14" t="s">
        <v>121</v>
      </c>
      <c r="B29" s="9"/>
      <c r="C29" s="9"/>
      <c r="D29" s="9"/>
      <c r="E29" s="9"/>
      <c r="F29" s="9"/>
      <c r="G29" s="9"/>
      <c r="H29" s="9"/>
      <c r="I29" s="9" t="s">
        <v>118</v>
      </c>
      <c r="J29" s="9"/>
      <c r="K29" s="4"/>
      <c r="L29" s="4"/>
      <c r="M29" s="8"/>
      <c r="N29" s="8"/>
    </row>
    <row r="30" spans="1:18">
      <c r="A30" s="9"/>
      <c r="B30" s="17" t="s">
        <v>122</v>
      </c>
      <c r="C30" s="14" t="s">
        <v>119</v>
      </c>
      <c r="D30" s="9"/>
      <c r="E30" s="9"/>
      <c r="F30" s="9"/>
      <c r="G30" s="9"/>
      <c r="H30" s="9"/>
      <c r="I30" s="9"/>
      <c r="J30" s="9"/>
      <c r="K30" s="4"/>
      <c r="L30" s="4"/>
      <c r="M30" s="8"/>
      <c r="N30" s="8"/>
    </row>
    <row r="31" spans="1:18" ht="18.75">
      <c r="A31" s="9"/>
      <c r="B31" s="102" t="s">
        <v>341</v>
      </c>
      <c r="C31" s="9"/>
      <c r="D31" s="9"/>
      <c r="E31" s="9"/>
      <c r="F31" s="14"/>
      <c r="G31" s="9"/>
      <c r="H31" s="9"/>
      <c r="I31" s="9"/>
      <c r="J31" s="9"/>
      <c r="K31" s="4"/>
      <c r="L31" s="4"/>
      <c r="M31" s="8"/>
      <c r="N31" s="8"/>
    </row>
    <row r="32" spans="1:18">
      <c r="A32" s="9"/>
      <c r="B32" s="14" t="s">
        <v>123</v>
      </c>
      <c r="C32" s="9"/>
      <c r="D32" s="9"/>
      <c r="E32" s="9"/>
      <c r="F32" s="9"/>
      <c r="G32" s="9"/>
      <c r="H32" s="9"/>
      <c r="I32" s="9"/>
      <c r="J32" s="9"/>
      <c r="K32" s="4"/>
      <c r="L32" s="4"/>
      <c r="M32" s="8"/>
      <c r="N32" s="8"/>
    </row>
    <row r="33" spans="1:14" ht="18.75">
      <c r="A33" s="9"/>
      <c r="B33" s="17" t="s">
        <v>124</v>
      </c>
      <c r="C33" s="9"/>
      <c r="D33" s="9"/>
      <c r="E33" s="9"/>
      <c r="F33" s="9"/>
      <c r="G33" s="9"/>
      <c r="H33" s="9"/>
      <c r="I33" s="9"/>
      <c r="J33" s="9"/>
      <c r="K33" s="4"/>
      <c r="L33" s="4"/>
      <c r="M33" s="8"/>
      <c r="N33" s="8"/>
    </row>
    <row r="34" spans="1:14">
      <c r="A34" s="9"/>
      <c r="B34" s="14" t="s">
        <v>125</v>
      </c>
      <c r="C34" s="9"/>
      <c r="D34" s="9"/>
      <c r="E34" s="9"/>
      <c r="F34" s="9"/>
      <c r="G34" s="9"/>
      <c r="H34" s="9"/>
      <c r="I34" s="9"/>
      <c r="J34" s="9"/>
      <c r="K34" s="4"/>
      <c r="L34" s="4"/>
      <c r="M34" s="8"/>
      <c r="N34" s="8"/>
    </row>
    <row r="35" spans="1:14">
      <c r="A35" s="3"/>
      <c r="B35" s="3"/>
      <c r="C35" s="3"/>
      <c r="D35" s="3"/>
      <c r="E35" s="3"/>
      <c r="F35" s="3"/>
      <c r="G35" s="4"/>
      <c r="H35" s="4"/>
      <c r="I35" s="4"/>
      <c r="J35" s="4"/>
      <c r="K35" s="4"/>
      <c r="L35" s="4"/>
      <c r="M35" s="8"/>
      <c r="N35" s="8"/>
    </row>
    <row r="37" spans="1:14" ht="18.75">
      <c r="A37" s="12" t="s">
        <v>5</v>
      </c>
      <c r="B37" s="14" t="s">
        <v>127</v>
      </c>
      <c r="C37" s="9"/>
      <c r="D37" s="9"/>
      <c r="E37" s="14" t="s">
        <v>126</v>
      </c>
      <c r="F37" s="9"/>
      <c r="G37" s="9"/>
      <c r="H37" s="9"/>
      <c r="I37" s="9"/>
      <c r="J37" s="9"/>
      <c r="K37" s="9"/>
      <c r="L37" s="4"/>
    </row>
    <row r="38" spans="1:14">
      <c r="A38" s="9"/>
      <c r="B38" s="14" t="s">
        <v>358</v>
      </c>
      <c r="C38" s="9"/>
      <c r="D38" s="9"/>
      <c r="E38" s="9"/>
      <c r="F38" s="9"/>
      <c r="G38" s="9"/>
      <c r="H38" s="9"/>
      <c r="I38" s="9"/>
      <c r="J38" s="9"/>
      <c r="K38" s="9"/>
      <c r="L38" s="4"/>
    </row>
    <row r="39" spans="1:14">
      <c r="A39" s="7"/>
      <c r="B39" s="7"/>
      <c r="C39" s="7"/>
      <c r="D39" s="7"/>
      <c r="E39" s="7"/>
      <c r="F39" s="7"/>
      <c r="G39" s="7"/>
      <c r="H39" s="7"/>
      <c r="I39" s="7"/>
      <c r="J39" s="7"/>
      <c r="K39" s="7"/>
      <c r="L39" s="7"/>
    </row>
    <row r="40" spans="1:14">
      <c r="A40" s="7" t="s">
        <v>1</v>
      </c>
      <c r="B40" s="7"/>
      <c r="C40" s="7"/>
      <c r="D40" s="7"/>
      <c r="E40" s="7"/>
      <c r="F40" s="7"/>
      <c r="G40" s="7"/>
      <c r="H40" s="7"/>
      <c r="I40" s="7"/>
      <c r="J40" s="7"/>
      <c r="K40" s="7"/>
      <c r="L40" s="7"/>
    </row>
    <row r="41" spans="1:14">
      <c r="A41" s="7"/>
      <c r="B41" s="7"/>
      <c r="C41" s="7"/>
      <c r="D41" s="7"/>
      <c r="E41" s="7"/>
      <c r="F41" s="7"/>
      <c r="G41" s="7"/>
      <c r="H41" s="7"/>
      <c r="I41" s="7"/>
      <c r="J41" s="7"/>
      <c r="K41" s="7"/>
      <c r="L41" s="7"/>
    </row>
    <row r="42" spans="1:14" ht="31.5">
      <c r="A42" s="7"/>
      <c r="B42" s="174" t="s">
        <v>521</v>
      </c>
      <c r="C42" s="174" t="s">
        <v>514</v>
      </c>
      <c r="D42" s="174" t="s">
        <v>515</v>
      </c>
      <c r="E42" s="174" t="s">
        <v>516</v>
      </c>
      <c r="F42" s="174" t="s">
        <v>524</v>
      </c>
      <c r="G42" s="7"/>
      <c r="H42" s="7"/>
      <c r="I42" s="7"/>
      <c r="J42" s="7"/>
      <c r="K42" s="7"/>
      <c r="L42" s="7"/>
    </row>
    <row r="43" spans="1:14">
      <c r="A43" s="7"/>
      <c r="B43" s="175" t="s">
        <v>517</v>
      </c>
      <c r="C43" s="175">
        <f>D8+D9</f>
        <v>640</v>
      </c>
      <c r="D43" s="175">
        <f>E8+E9</f>
        <v>60000</v>
      </c>
      <c r="E43" s="177">
        <f>D43/C43</f>
        <v>93.75</v>
      </c>
      <c r="F43" s="178">
        <v>1</v>
      </c>
      <c r="G43" s="7"/>
      <c r="H43" s="7"/>
      <c r="I43" s="7"/>
      <c r="J43" s="7"/>
      <c r="K43" s="7"/>
      <c r="L43" s="7"/>
    </row>
    <row r="44" spans="1:14">
      <c r="A44" s="7"/>
      <c r="B44" s="175" t="s">
        <v>518</v>
      </c>
      <c r="C44" s="175">
        <f>D10+D11</f>
        <v>360</v>
      </c>
      <c r="D44" s="175">
        <f>E10+E11</f>
        <v>50000</v>
      </c>
      <c r="E44" s="177">
        <f t="shared" ref="E44:E45" si="0">D44/C44</f>
        <v>138.88888888888889</v>
      </c>
      <c r="F44" s="178">
        <f>E44/E43</f>
        <v>1.4814814814814814</v>
      </c>
      <c r="G44" s="110" t="s">
        <v>529</v>
      </c>
      <c r="H44" s="7"/>
      <c r="I44" s="7"/>
      <c r="J44" s="7"/>
      <c r="K44" s="7"/>
      <c r="L44" s="7"/>
    </row>
    <row r="45" spans="1:14">
      <c r="A45" s="7"/>
      <c r="B45" s="175" t="s">
        <v>83</v>
      </c>
      <c r="C45" s="175">
        <v>1000</v>
      </c>
      <c r="D45" s="176">
        <v>110000</v>
      </c>
      <c r="E45" s="177">
        <f t="shared" si="0"/>
        <v>110</v>
      </c>
      <c r="F45" s="179"/>
      <c r="G45" s="7"/>
      <c r="H45" s="7"/>
      <c r="I45" s="7"/>
      <c r="J45" s="7"/>
      <c r="K45" s="7"/>
      <c r="L45" s="7"/>
    </row>
    <row r="46" spans="1:14">
      <c r="A46" s="7"/>
      <c r="B46" s="180"/>
      <c r="C46" s="180"/>
      <c r="D46" s="181"/>
      <c r="E46" s="182"/>
      <c r="F46" s="183"/>
      <c r="G46" s="7"/>
      <c r="H46" s="7"/>
      <c r="I46" s="7"/>
      <c r="J46" s="7"/>
      <c r="K46" s="7"/>
      <c r="L46" s="7"/>
    </row>
    <row r="47" spans="1:14" ht="31.5">
      <c r="B47" s="174" t="s">
        <v>522</v>
      </c>
      <c r="C47" s="174" t="s">
        <v>514</v>
      </c>
      <c r="D47" s="174" t="s">
        <v>515</v>
      </c>
      <c r="E47" s="174" t="s">
        <v>516</v>
      </c>
      <c r="F47" s="174" t="s">
        <v>523</v>
      </c>
      <c r="M47" s="7"/>
    </row>
    <row r="48" spans="1:14">
      <c r="B48" s="175" t="s">
        <v>519</v>
      </c>
      <c r="C48" s="175">
        <f>D8+D10</f>
        <v>720</v>
      </c>
      <c r="D48" s="175">
        <f>E8+E10</f>
        <v>90000</v>
      </c>
      <c r="E48" s="177">
        <f>D48/C48</f>
        <v>125</v>
      </c>
      <c r="F48" s="178">
        <v>1</v>
      </c>
      <c r="M48" s="7"/>
    </row>
    <row r="49" spans="1:14">
      <c r="B49" s="175" t="s">
        <v>520</v>
      </c>
      <c r="C49" s="175">
        <f>D9+D11</f>
        <v>280</v>
      </c>
      <c r="D49" s="175">
        <f>E9+E11</f>
        <v>20000</v>
      </c>
      <c r="E49" s="177">
        <f t="shared" ref="E49:E50" si="1">D49/C49</f>
        <v>71.428571428571431</v>
      </c>
      <c r="F49" s="178">
        <f>E49/E48</f>
        <v>0.5714285714285714</v>
      </c>
      <c r="G49" s="130" t="s">
        <v>528</v>
      </c>
      <c r="M49" s="7"/>
    </row>
    <row r="50" spans="1:14">
      <c r="B50" s="175"/>
      <c r="C50" s="175">
        <v>1000</v>
      </c>
      <c r="D50" s="176">
        <v>110000</v>
      </c>
      <c r="E50" s="177">
        <f t="shared" si="1"/>
        <v>110</v>
      </c>
      <c r="F50" s="179"/>
    </row>
    <row r="52" spans="1:14">
      <c r="B52" s="1" t="s">
        <v>525</v>
      </c>
      <c r="C52" s="142">
        <f>E12</f>
        <v>110000</v>
      </c>
      <c r="D52" s="130" t="s">
        <v>414</v>
      </c>
      <c r="E52" s="184" t="s">
        <v>526</v>
      </c>
    </row>
    <row r="53" spans="1:14">
      <c r="C53" s="185" t="s">
        <v>527</v>
      </c>
      <c r="D53" s="130" t="s">
        <v>414</v>
      </c>
      <c r="E53" s="163">
        <f>E12/(D8+D9*F49+D10*F44+D11*F44*F49)</f>
        <v>106.94444444444443</v>
      </c>
    </row>
    <row r="55" spans="1:14">
      <c r="A55" s="6" t="s">
        <v>0</v>
      </c>
      <c r="B55" s="9" t="s">
        <v>340</v>
      </c>
      <c r="C55" s="4"/>
      <c r="D55" s="4"/>
      <c r="E55" s="4"/>
      <c r="F55" s="4"/>
      <c r="G55" s="4"/>
      <c r="H55" s="4"/>
      <c r="I55" s="4"/>
      <c r="J55" s="4"/>
      <c r="K55" s="4"/>
      <c r="L55" s="4"/>
    </row>
    <row r="56" spans="1:14">
      <c r="A56" s="3"/>
      <c r="B56" s="3"/>
      <c r="C56" s="3"/>
      <c r="D56" s="3"/>
      <c r="E56" s="3"/>
      <c r="F56" s="3"/>
      <c r="G56" s="4"/>
      <c r="H56" s="4"/>
      <c r="I56" s="4"/>
      <c r="J56" s="4"/>
      <c r="K56" s="4"/>
      <c r="L56" s="4"/>
    </row>
    <row r="57" spans="1:14">
      <c r="A57" s="7"/>
      <c r="B57" s="7"/>
      <c r="C57" s="7"/>
      <c r="D57" s="7"/>
      <c r="E57" s="7"/>
      <c r="F57" s="7"/>
      <c r="G57" s="7"/>
      <c r="H57" s="7"/>
      <c r="I57" s="7"/>
      <c r="J57" s="7"/>
      <c r="K57" s="7"/>
      <c r="L57" s="7"/>
    </row>
    <row r="58" spans="1:14">
      <c r="A58" s="7" t="s">
        <v>1</v>
      </c>
      <c r="B58" s="7"/>
      <c r="C58" s="7"/>
      <c r="D58" s="7"/>
      <c r="E58" s="7"/>
      <c r="F58" s="7"/>
      <c r="G58" s="7"/>
      <c r="H58" s="7"/>
      <c r="I58" s="7"/>
      <c r="J58" s="7"/>
      <c r="K58" s="7"/>
      <c r="L58" s="7"/>
    </row>
    <row r="59" spans="1:14">
      <c r="A59" s="7"/>
      <c r="B59" s="7"/>
      <c r="C59" s="7"/>
      <c r="D59" s="7"/>
      <c r="E59" s="7"/>
      <c r="F59" s="7"/>
      <c r="G59" s="7"/>
      <c r="H59" s="7"/>
      <c r="I59" s="7"/>
      <c r="J59" s="7"/>
      <c r="K59" s="7"/>
      <c r="L59" s="7"/>
    </row>
    <row r="60" spans="1:14">
      <c r="A60" s="7"/>
      <c r="B60" s="7" t="s">
        <v>530</v>
      </c>
      <c r="C60" s="7"/>
      <c r="D60" s="7"/>
      <c r="E60" s="7"/>
      <c r="F60" s="7"/>
      <c r="G60" s="7"/>
      <c r="H60" s="7"/>
      <c r="I60" s="7"/>
      <c r="J60" s="7"/>
      <c r="K60" s="7"/>
      <c r="L60" s="7"/>
    </row>
    <row r="61" spans="1:14">
      <c r="B61" s="1" t="s">
        <v>531</v>
      </c>
    </row>
    <row r="63" spans="1:14">
      <c r="B63" s="1" t="s">
        <v>532</v>
      </c>
      <c r="M63" s="7"/>
      <c r="N63" s="7"/>
    </row>
    <row r="64" spans="1:14">
      <c r="B64" s="1" t="s">
        <v>533</v>
      </c>
      <c r="M64" s="7"/>
      <c r="N64" s="7"/>
    </row>
    <row r="66" spans="1:13">
      <c r="A66" s="6" t="s">
        <v>2</v>
      </c>
      <c r="B66" s="9" t="s">
        <v>128</v>
      </c>
      <c r="C66" s="4"/>
      <c r="D66" s="4"/>
      <c r="E66" s="4"/>
      <c r="F66" s="4"/>
      <c r="G66" s="4"/>
      <c r="H66" s="4"/>
      <c r="I66" s="4"/>
      <c r="J66" s="4"/>
      <c r="K66" s="4"/>
      <c r="L66" s="4"/>
    </row>
    <row r="67" spans="1:13">
      <c r="A67" s="3"/>
      <c r="B67" s="3"/>
      <c r="C67" s="3"/>
      <c r="D67" s="3"/>
      <c r="E67" s="3"/>
      <c r="F67" s="3"/>
      <c r="G67" s="4"/>
      <c r="H67" s="4"/>
      <c r="I67" s="4"/>
      <c r="J67" s="4"/>
      <c r="K67" s="4"/>
      <c r="L67" s="4"/>
    </row>
    <row r="68" spans="1:13">
      <c r="A68" s="7"/>
      <c r="B68" s="7"/>
      <c r="C68" s="7"/>
      <c r="D68" s="7"/>
      <c r="E68" s="7"/>
      <c r="F68" s="7"/>
      <c r="G68" s="7"/>
      <c r="H68" s="7"/>
      <c r="I68" s="7"/>
      <c r="J68" s="7"/>
      <c r="K68" s="7"/>
      <c r="L68" s="7"/>
    </row>
    <row r="69" spans="1:13">
      <c r="A69" s="7" t="s">
        <v>1</v>
      </c>
      <c r="B69" s="7"/>
      <c r="C69" s="7"/>
      <c r="D69" s="7"/>
      <c r="E69" s="7"/>
      <c r="F69" s="7"/>
      <c r="G69" s="7"/>
      <c r="H69" s="7"/>
      <c r="I69" s="7"/>
      <c r="J69" s="7"/>
      <c r="K69" s="7"/>
      <c r="L69" s="7"/>
    </row>
    <row r="70" spans="1:13">
      <c r="A70" s="7"/>
      <c r="B70" s="7"/>
      <c r="C70" s="7"/>
      <c r="D70" s="7"/>
      <c r="E70" s="7"/>
      <c r="F70" s="7"/>
      <c r="G70" s="7"/>
      <c r="H70" s="7"/>
      <c r="I70" s="7"/>
      <c r="J70" s="7"/>
      <c r="K70" s="7"/>
      <c r="L70" s="7"/>
    </row>
    <row r="71" spans="1:13">
      <c r="A71" s="7"/>
      <c r="B71" s="7" t="s">
        <v>534</v>
      </c>
      <c r="C71" s="7"/>
      <c r="D71" s="7"/>
      <c r="E71" s="7"/>
      <c r="F71" s="7"/>
      <c r="G71" s="7"/>
      <c r="H71" s="7"/>
      <c r="I71" s="7"/>
      <c r="J71" s="7"/>
      <c r="K71" s="7"/>
      <c r="L71" s="7"/>
    </row>
    <row r="72" spans="1:13">
      <c r="B72" s="1" t="s">
        <v>537</v>
      </c>
    </row>
    <row r="74" spans="1:13">
      <c r="B74" s="1" t="s">
        <v>535</v>
      </c>
      <c r="M74" s="7"/>
    </row>
    <row r="75" spans="1:13">
      <c r="B75" s="1" t="s">
        <v>536</v>
      </c>
      <c r="M75" s="7"/>
    </row>
    <row r="77" spans="1:13">
      <c r="A77" s="3"/>
      <c r="B77" s="3"/>
      <c r="C77" s="3"/>
      <c r="D77" s="3"/>
      <c r="E77" s="3"/>
      <c r="F77" s="3"/>
      <c r="G77" s="4"/>
      <c r="H77" s="4"/>
      <c r="I77" s="4"/>
      <c r="J77" s="4"/>
      <c r="K77" s="4"/>
      <c r="L77" s="4"/>
    </row>
    <row r="78" spans="1:13">
      <c r="A78" s="9" t="s">
        <v>129</v>
      </c>
      <c r="B78" s="3"/>
      <c r="C78" s="3"/>
      <c r="D78" s="3"/>
      <c r="E78" s="3"/>
      <c r="F78" s="3"/>
      <c r="G78" s="4"/>
      <c r="H78" s="4"/>
      <c r="I78" s="4"/>
      <c r="J78" s="4"/>
      <c r="K78" s="4"/>
      <c r="L78" s="4"/>
    </row>
    <row r="79" spans="1:13">
      <c r="A79" s="3"/>
      <c r="B79" s="3"/>
      <c r="C79" s="3"/>
      <c r="D79" s="3"/>
      <c r="E79" s="3"/>
      <c r="F79" s="3"/>
      <c r="G79" s="4"/>
      <c r="H79" s="4"/>
      <c r="I79" s="4"/>
      <c r="J79" s="4"/>
      <c r="K79" s="4"/>
      <c r="L79" s="4"/>
    </row>
    <row r="81" spans="1:12">
      <c r="A81" s="6" t="s">
        <v>3</v>
      </c>
      <c r="B81" s="9" t="s">
        <v>130</v>
      </c>
      <c r="C81" s="4"/>
      <c r="D81" s="4"/>
      <c r="E81" s="4"/>
      <c r="F81" s="4"/>
      <c r="G81" s="4"/>
      <c r="H81" s="4"/>
      <c r="I81" s="4"/>
      <c r="J81" s="4"/>
      <c r="K81" s="4"/>
      <c r="L81" s="4"/>
    </row>
    <row r="82" spans="1:12">
      <c r="A82" s="3"/>
      <c r="B82" s="3"/>
      <c r="C82" s="3"/>
      <c r="D82" s="3"/>
      <c r="E82" s="3"/>
      <c r="F82" s="3"/>
      <c r="G82" s="4"/>
      <c r="H82" s="4"/>
      <c r="I82" s="4"/>
      <c r="J82" s="4"/>
      <c r="K82" s="4"/>
      <c r="L82" s="4"/>
    </row>
    <row r="83" spans="1:12">
      <c r="A83" s="7"/>
      <c r="B83" s="7"/>
      <c r="C83" s="7"/>
      <c r="D83" s="7"/>
      <c r="E83" s="7"/>
      <c r="F83" s="7"/>
      <c r="G83" s="7"/>
      <c r="H83" s="7"/>
      <c r="I83" s="7"/>
      <c r="J83" s="7"/>
      <c r="K83" s="7"/>
      <c r="L83" s="7"/>
    </row>
    <row r="84" spans="1:12">
      <c r="A84" s="7" t="s">
        <v>1</v>
      </c>
      <c r="B84" s="7"/>
      <c r="C84" s="7"/>
      <c r="D84" s="7"/>
      <c r="E84" s="7"/>
      <c r="F84" s="7"/>
      <c r="G84" s="7"/>
      <c r="H84" s="7"/>
      <c r="I84" s="7"/>
      <c r="J84" s="7"/>
      <c r="K84" s="7"/>
      <c r="L84" s="7"/>
    </row>
    <row r="85" spans="1:12">
      <c r="A85" s="7"/>
      <c r="B85" s="7"/>
      <c r="C85" s="7"/>
      <c r="D85" s="7"/>
      <c r="E85" s="7"/>
      <c r="F85" s="7"/>
      <c r="G85" s="7"/>
      <c r="H85" s="7"/>
      <c r="I85" s="7"/>
      <c r="J85" s="7"/>
      <c r="K85" s="7"/>
      <c r="L85" s="7"/>
    </row>
    <row r="86" spans="1:12">
      <c r="A86" s="7"/>
      <c r="B86" s="7" t="s">
        <v>538</v>
      </c>
      <c r="C86" s="7"/>
      <c r="D86" s="7"/>
      <c r="E86" s="7"/>
      <c r="F86" s="7"/>
      <c r="G86" s="7"/>
      <c r="H86" s="7"/>
      <c r="I86" s="7"/>
      <c r="J86" s="7"/>
      <c r="K86" s="7"/>
      <c r="L86" s="7"/>
    </row>
    <row r="87" spans="1:12">
      <c r="B87" s="1" t="s">
        <v>539</v>
      </c>
    </row>
    <row r="88" spans="1:12">
      <c r="B88" s="1" t="s">
        <v>540</v>
      </c>
    </row>
    <row r="202" spans="1:12">
      <c r="A202" s="6" t="s">
        <v>7</v>
      </c>
      <c r="B202" s="4" t="s">
        <v>6</v>
      </c>
      <c r="C202" s="4"/>
      <c r="D202" s="4"/>
      <c r="E202" s="4"/>
      <c r="F202" s="4"/>
      <c r="G202" s="4"/>
      <c r="H202" s="4"/>
      <c r="I202" s="4"/>
      <c r="J202" s="4"/>
      <c r="K202" s="4"/>
      <c r="L202" s="4"/>
    </row>
    <row r="203" spans="1:12">
      <c r="A203" s="3"/>
      <c r="B203" s="3"/>
      <c r="C203" s="3"/>
      <c r="D203" s="3"/>
      <c r="E203" s="3"/>
      <c r="F203" s="3"/>
      <c r="G203" s="4"/>
      <c r="H203" s="4"/>
      <c r="I203" s="4"/>
      <c r="J203" s="4"/>
      <c r="K203" s="4"/>
      <c r="L203" s="4"/>
    </row>
    <row r="204" spans="1:12">
      <c r="A204" s="7"/>
      <c r="B204" s="7"/>
      <c r="C204" s="7"/>
      <c r="D204" s="7"/>
      <c r="E204" s="7"/>
      <c r="F204" s="7"/>
      <c r="G204" s="7"/>
      <c r="H204" s="7"/>
      <c r="I204" s="7"/>
      <c r="J204" s="7"/>
      <c r="K204" s="7"/>
      <c r="L204" s="7"/>
    </row>
    <row r="205" spans="1:12">
      <c r="A205" s="7" t="s">
        <v>1</v>
      </c>
      <c r="B205" s="7"/>
      <c r="C205" s="7"/>
      <c r="D205" s="7"/>
      <c r="E205" s="7"/>
      <c r="F205" s="7"/>
      <c r="G205" s="7"/>
      <c r="H205" s="7"/>
      <c r="I205" s="7"/>
      <c r="J205" s="7"/>
      <c r="K205" s="7"/>
      <c r="L205" s="7"/>
    </row>
    <row r="206" spans="1:12">
      <c r="A206" s="7"/>
      <c r="B206" s="7"/>
      <c r="C206" s="7"/>
      <c r="D206" s="7"/>
      <c r="E206" s="7"/>
      <c r="F206" s="7"/>
      <c r="G206" s="7"/>
      <c r="H206" s="7"/>
      <c r="I206" s="7"/>
      <c r="J206" s="7"/>
      <c r="K206" s="7"/>
      <c r="L206" s="7"/>
    </row>
    <row r="207" spans="1:12">
      <c r="A207" s="7"/>
      <c r="B207" s="7"/>
      <c r="C207" s="7"/>
      <c r="D207" s="7"/>
      <c r="E207" s="7"/>
      <c r="F207" s="7"/>
      <c r="G207" s="7"/>
      <c r="H207" s="7"/>
      <c r="I207" s="7"/>
      <c r="J207" s="7"/>
      <c r="K207" s="7"/>
      <c r="L207" s="7"/>
    </row>
    <row r="218" spans="1:12">
      <c r="A218" s="6" t="s">
        <v>8</v>
      </c>
      <c r="B218" s="4" t="s">
        <v>6</v>
      </c>
      <c r="C218" s="4"/>
      <c r="D218" s="4"/>
      <c r="E218" s="4"/>
      <c r="F218" s="4"/>
      <c r="G218" s="4"/>
      <c r="H218" s="4"/>
      <c r="I218" s="4"/>
      <c r="J218" s="4"/>
      <c r="K218" s="4"/>
      <c r="L218" s="4"/>
    </row>
    <row r="219" spans="1:12">
      <c r="A219" s="3"/>
      <c r="B219" s="3"/>
      <c r="C219" s="3"/>
      <c r="D219" s="3"/>
      <c r="E219" s="3"/>
      <c r="F219" s="3"/>
      <c r="G219" s="4"/>
      <c r="H219" s="4"/>
      <c r="I219" s="4"/>
      <c r="J219" s="4"/>
      <c r="K219" s="4"/>
      <c r="L219" s="4"/>
    </row>
    <row r="220" spans="1:12">
      <c r="A220" s="7"/>
      <c r="B220" s="7"/>
      <c r="C220" s="7"/>
      <c r="D220" s="7"/>
      <c r="E220" s="7"/>
      <c r="F220" s="7"/>
      <c r="G220" s="7"/>
      <c r="H220" s="7"/>
      <c r="I220" s="7"/>
      <c r="J220" s="7"/>
      <c r="K220" s="7"/>
      <c r="L220" s="7"/>
    </row>
    <row r="221" spans="1:12">
      <c r="A221" s="7" t="s">
        <v>1</v>
      </c>
      <c r="B221" s="7"/>
      <c r="C221" s="7"/>
      <c r="D221" s="7"/>
      <c r="E221" s="7"/>
      <c r="F221" s="7"/>
      <c r="G221" s="7"/>
      <c r="H221" s="7"/>
      <c r="I221" s="7"/>
      <c r="J221" s="7"/>
      <c r="K221" s="7"/>
      <c r="L221" s="7"/>
    </row>
    <row r="222" spans="1:12">
      <c r="A222" s="7"/>
      <c r="B222" s="7"/>
      <c r="C222" s="7"/>
      <c r="D222" s="7"/>
      <c r="E222" s="7"/>
      <c r="F222" s="7"/>
      <c r="G222" s="7"/>
      <c r="H222" s="7"/>
      <c r="I222" s="7"/>
      <c r="J222" s="7"/>
      <c r="K222" s="7"/>
      <c r="L222" s="7"/>
    </row>
    <row r="223" spans="1:12">
      <c r="A223" s="7"/>
      <c r="B223" s="7"/>
      <c r="C223" s="7"/>
      <c r="D223" s="7"/>
      <c r="E223" s="7"/>
      <c r="F223" s="7"/>
      <c r="G223" s="7"/>
      <c r="H223" s="7"/>
      <c r="I223" s="7"/>
      <c r="J223" s="7"/>
      <c r="K223" s="7"/>
      <c r="L223" s="7"/>
    </row>
    <row r="234" spans="1:12">
      <c r="A234" s="6" t="s">
        <v>9</v>
      </c>
      <c r="B234" s="4" t="s">
        <v>6</v>
      </c>
      <c r="C234" s="4"/>
      <c r="D234" s="4"/>
      <c r="E234" s="4"/>
      <c r="F234" s="4"/>
      <c r="G234" s="4"/>
      <c r="H234" s="4"/>
      <c r="I234" s="4"/>
      <c r="J234" s="4"/>
      <c r="K234" s="4"/>
      <c r="L234" s="4"/>
    </row>
    <row r="235" spans="1:12">
      <c r="A235" s="3"/>
      <c r="B235" s="3"/>
      <c r="C235" s="3"/>
      <c r="D235" s="3"/>
      <c r="E235" s="3"/>
      <c r="F235" s="3"/>
      <c r="G235" s="4"/>
      <c r="H235" s="4"/>
      <c r="I235" s="4"/>
      <c r="J235" s="4"/>
      <c r="K235" s="4"/>
      <c r="L235" s="4"/>
    </row>
    <row r="236" spans="1:12">
      <c r="A236" s="7"/>
      <c r="B236" s="7"/>
      <c r="C236" s="7"/>
      <c r="D236" s="7"/>
      <c r="E236" s="7"/>
      <c r="F236" s="7"/>
      <c r="G236" s="7"/>
      <c r="H236" s="7"/>
      <c r="I236" s="7"/>
      <c r="J236" s="7"/>
      <c r="K236" s="7"/>
      <c r="L236" s="7"/>
    </row>
    <row r="237" spans="1:12">
      <c r="A237" s="7" t="s">
        <v>1</v>
      </c>
      <c r="B237" s="7"/>
      <c r="C237" s="7"/>
      <c r="D237" s="7"/>
      <c r="E237" s="7"/>
      <c r="F237" s="7"/>
      <c r="G237" s="7"/>
      <c r="H237" s="7"/>
      <c r="I237" s="7"/>
      <c r="J237" s="7"/>
      <c r="K237" s="7"/>
      <c r="L237" s="7"/>
    </row>
    <row r="238" spans="1:12">
      <c r="A238" s="7"/>
      <c r="B238" s="7"/>
      <c r="C238" s="7"/>
      <c r="D238" s="7"/>
      <c r="E238" s="7"/>
      <c r="F238" s="7"/>
      <c r="G238" s="7"/>
      <c r="H238" s="7"/>
      <c r="I238" s="7"/>
      <c r="J238" s="7"/>
      <c r="K238" s="7"/>
      <c r="L238" s="7"/>
    </row>
    <row r="239" spans="1:12">
      <c r="A239" s="7"/>
      <c r="B239" s="7"/>
      <c r="C239" s="7"/>
      <c r="D239" s="7"/>
      <c r="E239" s="7"/>
      <c r="F239" s="7"/>
      <c r="G239" s="7"/>
      <c r="H239" s="7"/>
      <c r="I239" s="7"/>
      <c r="J239" s="7"/>
      <c r="K239" s="7"/>
      <c r="L239" s="7"/>
    </row>
  </sheetData>
  <mergeCells count="5">
    <mergeCell ref="B6:B7"/>
    <mergeCell ref="D6:D7"/>
    <mergeCell ref="B8:B9"/>
    <mergeCell ref="B10:B11"/>
    <mergeCell ref="A3:K4"/>
  </mergeCells>
  <pageMargins left="0.7" right="0.7" top="0.75" bottom="0.75" header="0.3" footer="0.3"/>
  <pageSetup orientation="portrait" verticalDpi="0" r:id="rId1"/>
  <drawing r:id="rId2"/>
  <legacyDrawing r:id="rId3"/>
  <oleObjects>
    <mc:AlternateContent xmlns:mc="http://schemas.openxmlformats.org/markup-compatibility/2006">
      <mc:Choice Requires="x14">
        <oleObject progId="Equation.DSMT4" shapeId="10243" r:id="rId4">
          <objectPr defaultSize="0" autoPict="0" r:id="rId5">
            <anchor moveWithCells="1" sizeWithCells="1">
              <from>
                <xdr:col>6</xdr:col>
                <xdr:colOff>171450</xdr:colOff>
                <xdr:row>28</xdr:row>
                <xdr:rowOff>19050</xdr:rowOff>
              </from>
              <to>
                <xdr:col>7</xdr:col>
                <xdr:colOff>285750</xdr:colOff>
                <xdr:row>29</xdr:row>
                <xdr:rowOff>57150</xdr:rowOff>
              </to>
            </anchor>
          </objectPr>
        </oleObject>
      </mc:Choice>
      <mc:Fallback>
        <oleObject progId="Equation.DSMT4" shapeId="10243" r:id="rId4"/>
      </mc:Fallback>
    </mc:AlternateContent>
    <mc:AlternateContent xmlns:mc="http://schemas.openxmlformats.org/markup-compatibility/2006">
      <mc:Choice Requires="x14">
        <oleObject progId="Equation.DSMT4" shapeId="10242" r:id="rId6">
          <objectPr defaultSize="0" autoPict="0" r:id="rId7">
            <anchor moveWithCells="1" sizeWithCells="1">
              <from>
                <xdr:col>1</xdr:col>
                <xdr:colOff>161925</xdr:colOff>
                <xdr:row>29</xdr:row>
                <xdr:rowOff>38100</xdr:rowOff>
              </from>
              <to>
                <xdr:col>1</xdr:col>
                <xdr:colOff>304800</xdr:colOff>
                <xdr:row>30</xdr:row>
                <xdr:rowOff>0</xdr:rowOff>
              </to>
            </anchor>
          </objectPr>
        </oleObject>
      </mc:Choice>
      <mc:Fallback>
        <oleObject progId="Equation.DSMT4" shapeId="10242" r:id="rId6"/>
      </mc:Fallback>
    </mc:AlternateContent>
    <mc:AlternateContent xmlns:mc="http://schemas.openxmlformats.org/markup-compatibility/2006">
      <mc:Choice Requires="x14">
        <oleObject progId="Equation.DSMT4" shapeId="10244" r:id="rId8">
          <objectPr defaultSize="0" autoPict="0" r:id="rId7">
            <anchor moveWithCells="1" sizeWithCells="1">
              <from>
                <xdr:col>3</xdr:col>
                <xdr:colOff>552450</xdr:colOff>
                <xdr:row>36</xdr:row>
                <xdr:rowOff>57150</xdr:rowOff>
              </from>
              <to>
                <xdr:col>3</xdr:col>
                <xdr:colOff>695325</xdr:colOff>
                <xdr:row>36</xdr:row>
                <xdr:rowOff>219075</xdr:rowOff>
              </to>
            </anchor>
          </objectPr>
        </oleObject>
      </mc:Choice>
      <mc:Fallback>
        <oleObject progId="Equation.DSMT4" shapeId="10244"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5A7A-2F53-4B77-B27D-FA04DA915CF0}">
  <dimension ref="A1:R59"/>
  <sheetViews>
    <sheetView zoomScaleNormal="100" workbookViewId="0"/>
  </sheetViews>
  <sheetFormatPr defaultColWidth="8.85546875" defaultRowHeight="15.75"/>
  <cols>
    <col min="1" max="1" width="8.85546875" style="1" customWidth="1"/>
    <col min="2" max="3" width="14.7109375" style="1" customWidth="1"/>
    <col min="4" max="4" width="8.85546875" style="1" customWidth="1"/>
    <col min="5" max="6" width="12.7109375" style="1" customWidth="1"/>
    <col min="7" max="7" width="8.85546875" style="1"/>
    <col min="8" max="8" width="8.85546875" style="1" customWidth="1"/>
    <col min="9" max="16384" width="8.85546875" style="1"/>
  </cols>
  <sheetData>
    <row r="1" spans="1:12" ht="18.75">
      <c r="A1" s="2" t="s">
        <v>131</v>
      </c>
      <c r="B1" s="4"/>
      <c r="C1" s="9" t="s">
        <v>11</v>
      </c>
      <c r="D1" s="4"/>
      <c r="E1" s="4"/>
      <c r="F1" s="4"/>
      <c r="G1" s="4"/>
      <c r="H1" s="4"/>
      <c r="I1" s="4"/>
      <c r="J1" s="4"/>
      <c r="K1" s="4"/>
      <c r="L1" s="3"/>
    </row>
    <row r="2" spans="1:12">
      <c r="A2" s="4"/>
      <c r="B2" s="4"/>
      <c r="C2" s="4"/>
      <c r="D2" s="4"/>
      <c r="E2" s="4"/>
      <c r="F2" s="4"/>
      <c r="G2" s="4"/>
      <c r="H2" s="4"/>
      <c r="I2" s="4"/>
      <c r="J2" s="4"/>
      <c r="K2" s="4"/>
      <c r="L2" s="3"/>
    </row>
    <row r="3" spans="1:12">
      <c r="A3" s="14" t="s">
        <v>132</v>
      </c>
      <c r="B3" s="16"/>
      <c r="C3" s="9"/>
      <c r="D3" s="9"/>
      <c r="E3" s="9"/>
      <c r="F3" s="4"/>
      <c r="G3" s="4"/>
      <c r="H3" s="4"/>
      <c r="I3" s="4"/>
      <c r="J3" s="4"/>
      <c r="K3" s="4"/>
      <c r="L3" s="3"/>
    </row>
    <row r="4" spans="1:12">
      <c r="A4" s="14"/>
      <c r="B4" s="16"/>
      <c r="C4" s="9"/>
      <c r="D4" s="9"/>
      <c r="E4" s="9"/>
      <c r="F4" s="4"/>
      <c r="G4" s="4"/>
      <c r="H4" s="9"/>
      <c r="I4" s="9"/>
      <c r="J4" s="9"/>
      <c r="K4" s="9"/>
      <c r="L4" s="9"/>
    </row>
    <row r="5" spans="1:12">
      <c r="A5" s="32"/>
      <c r="B5" s="50" t="s">
        <v>133</v>
      </c>
      <c r="C5" s="53"/>
      <c r="D5" s="51"/>
      <c r="E5" s="52"/>
      <c r="F5" s="28">
        <v>5000000</v>
      </c>
      <c r="G5" s="32"/>
      <c r="H5" s="32"/>
      <c r="I5" s="9"/>
      <c r="J5" s="9"/>
      <c r="K5" s="9"/>
      <c r="L5" s="9"/>
    </row>
    <row r="6" spans="1:12">
      <c r="A6" s="32"/>
      <c r="B6" s="50" t="s">
        <v>134</v>
      </c>
      <c r="C6" s="53"/>
      <c r="D6" s="51"/>
      <c r="E6" s="52"/>
      <c r="F6" s="49">
        <v>0.6</v>
      </c>
      <c r="G6" s="32"/>
      <c r="H6" s="32"/>
      <c r="I6" s="9"/>
      <c r="J6" s="9"/>
      <c r="K6" s="9"/>
      <c r="L6" s="9"/>
    </row>
    <row r="7" spans="1:12">
      <c r="A7" s="14"/>
      <c r="B7" s="16"/>
      <c r="C7" s="9"/>
      <c r="D7" s="9"/>
      <c r="E7" s="9"/>
      <c r="F7" s="9"/>
      <c r="G7" s="9"/>
      <c r="H7" s="9"/>
      <c r="I7" s="9"/>
      <c r="J7" s="9"/>
      <c r="K7" s="9"/>
      <c r="L7" s="9"/>
    </row>
    <row r="8" spans="1:12">
      <c r="A8" s="32"/>
      <c r="B8" s="17" t="s">
        <v>135</v>
      </c>
      <c r="C8" s="9"/>
      <c r="D8" s="9"/>
      <c r="E8" s="4"/>
      <c r="F8" s="4"/>
      <c r="G8" s="4"/>
      <c r="H8" s="9"/>
      <c r="I8" s="9"/>
      <c r="J8" s="9"/>
      <c r="K8" s="9"/>
      <c r="L8" s="9"/>
    </row>
    <row r="9" spans="1:12">
      <c r="A9" s="32"/>
      <c r="B9" s="17" t="s">
        <v>138</v>
      </c>
      <c r="C9" s="9"/>
      <c r="D9" s="9"/>
      <c r="E9" s="4"/>
      <c r="F9" s="54">
        <v>0.2</v>
      </c>
      <c r="G9" s="4" t="s">
        <v>137</v>
      </c>
      <c r="H9" s="9"/>
      <c r="I9" s="9"/>
      <c r="J9" s="9"/>
      <c r="K9" s="9"/>
      <c r="L9" s="9"/>
    </row>
    <row r="10" spans="1:12">
      <c r="A10" s="32"/>
      <c r="B10" s="17" t="s">
        <v>136</v>
      </c>
      <c r="C10" s="9"/>
      <c r="D10" s="9"/>
      <c r="E10" s="4"/>
      <c r="F10" s="4"/>
      <c r="G10" s="4"/>
      <c r="H10" s="9"/>
      <c r="I10" s="9"/>
      <c r="J10" s="9"/>
      <c r="K10" s="9"/>
      <c r="L10" s="9"/>
    </row>
    <row r="11" spans="1:12">
      <c r="A11" s="32"/>
      <c r="B11" s="17" t="s">
        <v>140</v>
      </c>
      <c r="C11" s="9"/>
      <c r="D11" s="22">
        <v>0.1</v>
      </c>
      <c r="E11" s="4" t="s">
        <v>139</v>
      </c>
      <c r="F11" s="4"/>
      <c r="G11" s="4"/>
      <c r="H11" s="9"/>
      <c r="I11" s="9"/>
      <c r="J11" s="9"/>
      <c r="K11" s="9"/>
      <c r="L11" s="9"/>
    </row>
    <row r="12" spans="1:12">
      <c r="A12" s="32"/>
      <c r="B12" s="17" t="s">
        <v>142</v>
      </c>
      <c r="C12" s="9"/>
      <c r="D12" s="22">
        <v>0.2</v>
      </c>
      <c r="E12" s="4" t="s">
        <v>141</v>
      </c>
      <c r="F12" s="4"/>
      <c r="G12" s="4"/>
      <c r="H12" s="9"/>
      <c r="I12" s="9"/>
      <c r="J12" s="9"/>
      <c r="K12" s="9"/>
      <c r="L12" s="9"/>
    </row>
    <row r="13" spans="1:12">
      <c r="A13" s="32"/>
      <c r="B13" s="17" t="s">
        <v>143</v>
      </c>
      <c r="C13" s="9"/>
      <c r="D13" s="9"/>
      <c r="E13" s="4"/>
      <c r="F13" s="4"/>
      <c r="G13" s="4"/>
      <c r="H13" s="22">
        <v>0.25</v>
      </c>
      <c r="I13" s="9"/>
      <c r="J13" s="9"/>
      <c r="K13" s="9"/>
      <c r="L13" s="9"/>
    </row>
    <row r="14" spans="1:12">
      <c r="A14" s="14"/>
      <c r="B14" s="16"/>
      <c r="C14" s="9"/>
      <c r="D14" s="9"/>
      <c r="E14" s="4"/>
      <c r="F14" s="4"/>
      <c r="G14" s="4"/>
      <c r="H14" s="9"/>
      <c r="I14" s="9"/>
      <c r="J14" s="9"/>
      <c r="K14" s="9"/>
      <c r="L14" s="9"/>
    </row>
    <row r="15" spans="1:12">
      <c r="A15" s="14" t="s">
        <v>145</v>
      </c>
      <c r="B15" s="16"/>
      <c r="C15" s="4"/>
      <c r="D15" s="4"/>
      <c r="E15" s="4"/>
      <c r="F15" s="4"/>
      <c r="G15" s="4"/>
      <c r="H15" s="9"/>
      <c r="I15" s="9"/>
      <c r="J15" s="9"/>
      <c r="K15" s="9"/>
      <c r="L15" s="9"/>
    </row>
    <row r="16" spans="1:12">
      <c r="A16" s="9" t="s">
        <v>146</v>
      </c>
      <c r="B16" s="9"/>
      <c r="C16" s="9"/>
      <c r="D16" s="9"/>
      <c r="E16" s="9"/>
      <c r="F16" s="9"/>
      <c r="G16" s="9"/>
      <c r="H16" s="9"/>
      <c r="I16" s="22">
        <v>0.05</v>
      </c>
      <c r="J16" s="9"/>
      <c r="K16" s="9"/>
      <c r="L16" s="9"/>
    </row>
    <row r="17" spans="1:18">
      <c r="A17" s="9" t="s">
        <v>144</v>
      </c>
      <c r="B17" s="9"/>
      <c r="C17" s="9"/>
      <c r="D17" s="9"/>
      <c r="E17" s="9"/>
      <c r="F17" s="9"/>
      <c r="G17" s="9"/>
      <c r="H17" s="9"/>
      <c r="I17" s="9"/>
      <c r="J17" s="9"/>
      <c r="K17" s="9"/>
      <c r="L17" s="9"/>
    </row>
    <row r="18" spans="1:18">
      <c r="A18" s="9"/>
      <c r="B18" s="9"/>
      <c r="C18" s="9"/>
      <c r="D18" s="9"/>
      <c r="E18" s="9"/>
      <c r="F18" s="9"/>
      <c r="G18" s="9"/>
      <c r="H18" s="9"/>
      <c r="I18" s="9"/>
      <c r="J18" s="9"/>
      <c r="K18" s="9"/>
      <c r="L18" s="9"/>
    </row>
    <row r="19" spans="1:18">
      <c r="A19" s="7"/>
      <c r="B19" s="7"/>
      <c r="C19" s="7"/>
      <c r="D19" s="7"/>
      <c r="E19" s="7"/>
      <c r="F19" s="7"/>
      <c r="G19" s="7"/>
      <c r="H19" s="7"/>
      <c r="I19" s="7"/>
      <c r="J19" s="7"/>
      <c r="K19" s="7"/>
      <c r="L19" s="7"/>
    </row>
    <row r="20" spans="1:18">
      <c r="A20" s="6" t="s">
        <v>4</v>
      </c>
      <c r="B20" s="9" t="s">
        <v>147</v>
      </c>
      <c r="C20" s="4"/>
      <c r="D20" s="4"/>
      <c r="E20" s="4"/>
      <c r="F20" s="4"/>
      <c r="G20" s="4"/>
      <c r="H20" s="4"/>
      <c r="I20" s="4"/>
      <c r="J20" s="4"/>
      <c r="K20" s="4"/>
      <c r="L20" s="4"/>
      <c r="M20" s="8"/>
      <c r="N20" s="8"/>
      <c r="O20" s="8"/>
      <c r="P20" s="8"/>
      <c r="Q20" s="8"/>
      <c r="R20" s="8"/>
    </row>
    <row r="21" spans="1:18">
      <c r="A21" s="3"/>
      <c r="B21" s="3"/>
      <c r="C21" s="3"/>
      <c r="D21" s="3"/>
      <c r="E21" s="3"/>
      <c r="F21" s="3"/>
      <c r="G21" s="4"/>
      <c r="H21" s="4"/>
      <c r="I21" s="4"/>
      <c r="J21" s="4"/>
      <c r="K21" s="4"/>
      <c r="L21" s="4"/>
    </row>
    <row r="22" spans="1:18">
      <c r="A22" s="7"/>
      <c r="B22" s="7"/>
      <c r="C22" s="7"/>
      <c r="D22" s="7"/>
      <c r="E22" s="7"/>
      <c r="F22" s="7"/>
      <c r="G22" s="7"/>
      <c r="H22" s="7"/>
      <c r="I22" s="7"/>
      <c r="J22" s="7"/>
      <c r="K22" s="7"/>
      <c r="L22" s="7"/>
      <c r="M22" s="7"/>
    </row>
    <row r="23" spans="1:18">
      <c r="A23" s="7" t="s">
        <v>1</v>
      </c>
      <c r="B23" s="7"/>
      <c r="C23" s="7"/>
      <c r="D23" s="7"/>
      <c r="E23" s="7"/>
      <c r="F23" s="7"/>
      <c r="G23" s="7"/>
      <c r="H23" s="7"/>
      <c r="I23" s="7"/>
      <c r="J23" s="7"/>
      <c r="K23" s="7"/>
      <c r="L23" s="7"/>
      <c r="M23" s="7"/>
      <c r="N23" s="8"/>
    </row>
    <row r="24" spans="1:18">
      <c r="A24" s="7"/>
      <c r="E24" s="130" t="s">
        <v>548</v>
      </c>
      <c r="F24" s="130" t="s">
        <v>549</v>
      </c>
      <c r="G24" s="7"/>
      <c r="H24" s="7"/>
      <c r="I24" s="7"/>
      <c r="J24" s="7"/>
      <c r="K24" s="7"/>
      <c r="L24" s="7"/>
      <c r="M24" s="7"/>
      <c r="N24" s="8"/>
    </row>
    <row r="25" spans="1:18">
      <c r="A25" s="7"/>
      <c r="B25" s="1" t="s">
        <v>550</v>
      </c>
      <c r="E25" s="142">
        <f>F5</f>
        <v>5000000</v>
      </c>
      <c r="F25" s="186">
        <f>F5*(1-F9)</f>
        <v>4000000</v>
      </c>
      <c r="G25" s="7"/>
      <c r="H25" s="7"/>
      <c r="I25" s="7"/>
      <c r="J25" s="7"/>
      <c r="K25" s="7"/>
      <c r="L25" s="7"/>
      <c r="M25" s="7"/>
      <c r="N25" s="8"/>
    </row>
    <row r="26" spans="1:18">
      <c r="A26" s="7"/>
      <c r="E26" s="130"/>
      <c r="F26" s="130"/>
      <c r="G26" s="7"/>
      <c r="H26" s="7"/>
      <c r="I26" s="7"/>
      <c r="J26" s="7"/>
      <c r="K26" s="7"/>
      <c r="L26" s="7"/>
      <c r="M26" s="7"/>
      <c r="N26" s="8"/>
    </row>
    <row r="27" spans="1:18">
      <c r="A27" s="7"/>
      <c r="B27" s="1" t="s">
        <v>558</v>
      </c>
      <c r="E27" s="190">
        <f>F6</f>
        <v>0.6</v>
      </c>
      <c r="F27" s="190">
        <f>E27</f>
        <v>0.6</v>
      </c>
      <c r="G27" s="7"/>
      <c r="H27" s="7"/>
      <c r="I27" s="7"/>
      <c r="J27" s="7"/>
      <c r="K27" s="7"/>
      <c r="L27" s="7"/>
      <c r="M27" s="7"/>
      <c r="N27" s="8"/>
    </row>
    <row r="28" spans="1:18">
      <c r="A28" s="7"/>
      <c r="B28" s="1" t="s">
        <v>551</v>
      </c>
      <c r="E28" s="142">
        <f>E25*E27</f>
        <v>3000000</v>
      </c>
      <c r="F28" s="142">
        <f>F25*F27</f>
        <v>2400000</v>
      </c>
      <c r="G28" s="7"/>
      <c r="H28" s="7"/>
      <c r="I28" s="7"/>
      <c r="J28" s="7"/>
      <c r="K28" s="7"/>
      <c r="L28" s="7"/>
      <c r="M28" s="7"/>
      <c r="N28" s="8"/>
    </row>
    <row r="29" spans="1:18">
      <c r="A29" s="7"/>
      <c r="B29" s="1" t="s">
        <v>458</v>
      </c>
      <c r="E29" s="142">
        <f>D11*E28</f>
        <v>300000</v>
      </c>
      <c r="F29" s="142">
        <f>E29</f>
        <v>300000</v>
      </c>
      <c r="G29" s="7"/>
      <c r="H29" s="7"/>
      <c r="I29" s="7"/>
      <c r="J29" s="7"/>
      <c r="K29" s="7"/>
      <c r="L29" s="7"/>
      <c r="M29" s="7"/>
      <c r="N29" s="8"/>
    </row>
    <row r="30" spans="1:18">
      <c r="A30" s="7"/>
      <c r="B30" s="1" t="s">
        <v>556</v>
      </c>
      <c r="E30" s="142"/>
      <c r="F30" s="142">
        <f>I16*F25</f>
        <v>200000</v>
      </c>
      <c r="G30" s="7"/>
      <c r="H30" s="7"/>
      <c r="I30" s="7"/>
      <c r="J30" s="7"/>
      <c r="K30" s="7"/>
      <c r="L30" s="7"/>
      <c r="M30" s="7"/>
      <c r="N30" s="8"/>
    </row>
    <row r="31" spans="1:18">
      <c r="A31" s="7"/>
      <c r="B31" s="1" t="s">
        <v>552</v>
      </c>
      <c r="E31" s="142">
        <f>E25*D12*H13</f>
        <v>250000</v>
      </c>
      <c r="F31" s="142">
        <f>E31</f>
        <v>250000</v>
      </c>
      <c r="G31" s="7"/>
      <c r="H31" s="7"/>
      <c r="I31" s="7"/>
      <c r="J31" s="7"/>
      <c r="K31" s="7"/>
      <c r="L31" s="7"/>
      <c r="M31" s="7"/>
      <c r="N31" s="8"/>
    </row>
    <row r="32" spans="1:18">
      <c r="A32" s="7"/>
      <c r="E32" s="191"/>
      <c r="F32" s="191"/>
      <c r="G32" s="7"/>
      <c r="H32" s="7"/>
      <c r="I32" s="7"/>
      <c r="J32" s="7"/>
      <c r="K32" s="7"/>
      <c r="L32" s="7"/>
      <c r="M32" s="7"/>
      <c r="N32" s="8"/>
    </row>
    <row r="33" spans="1:14">
      <c r="A33" s="7"/>
      <c r="B33" s="1" t="s">
        <v>553</v>
      </c>
      <c r="E33" s="142">
        <f>SUM(E28:E32)</f>
        <v>3550000</v>
      </c>
      <c r="F33" s="142">
        <f>SUM(F28:F32)</f>
        <v>3150000</v>
      </c>
      <c r="G33" s="7"/>
      <c r="H33" s="7"/>
      <c r="I33" s="7"/>
      <c r="J33" s="7"/>
      <c r="K33" s="7"/>
      <c r="L33" s="7"/>
      <c r="M33" s="7"/>
      <c r="N33" s="8"/>
    </row>
    <row r="34" spans="1:14">
      <c r="A34" s="7"/>
      <c r="E34" s="130"/>
      <c r="F34" s="130"/>
      <c r="G34" s="7"/>
      <c r="H34" s="7"/>
      <c r="I34" s="7"/>
      <c r="J34" s="7"/>
      <c r="K34" s="7"/>
      <c r="L34" s="7"/>
      <c r="M34" s="7"/>
      <c r="N34" s="8"/>
    </row>
    <row r="35" spans="1:14">
      <c r="A35" s="7"/>
      <c r="B35" s="1" t="s">
        <v>555</v>
      </c>
      <c r="E35" s="130"/>
      <c r="F35" s="142">
        <f>F25-F33</f>
        <v>850000</v>
      </c>
      <c r="G35" s="7"/>
      <c r="H35" s="7"/>
      <c r="I35" s="7"/>
      <c r="J35" s="7"/>
      <c r="K35" s="7"/>
      <c r="L35" s="7"/>
      <c r="M35" s="7"/>
      <c r="N35" s="8"/>
    </row>
    <row r="36" spans="1:14">
      <c r="A36" s="7"/>
      <c r="E36" s="130"/>
      <c r="F36" s="130" t="s">
        <v>554</v>
      </c>
      <c r="G36" s="7"/>
      <c r="H36" s="7"/>
      <c r="I36" s="7"/>
      <c r="J36" s="7"/>
      <c r="K36" s="7"/>
      <c r="L36" s="7"/>
      <c r="M36" s="7"/>
      <c r="N36" s="8"/>
    </row>
    <row r="37" spans="1:14">
      <c r="M37" s="8"/>
      <c r="N37" s="8"/>
    </row>
    <row r="38" spans="1:14">
      <c r="A38" s="3"/>
      <c r="B38" s="3"/>
      <c r="C38" s="3"/>
      <c r="D38" s="3"/>
      <c r="E38" s="3"/>
      <c r="F38" s="3"/>
      <c r="G38" s="4"/>
      <c r="H38" s="4"/>
      <c r="I38" s="4"/>
      <c r="J38" s="4"/>
      <c r="K38" s="4"/>
      <c r="L38" s="4"/>
      <c r="M38" s="8"/>
      <c r="N38" s="8"/>
    </row>
    <row r="39" spans="1:14">
      <c r="A39" s="9" t="s">
        <v>148</v>
      </c>
      <c r="B39" s="9"/>
      <c r="C39" s="9"/>
      <c r="D39" s="9"/>
      <c r="E39" s="9"/>
      <c r="F39" s="9"/>
      <c r="G39" s="9"/>
      <c r="H39" s="9"/>
      <c r="I39" s="22">
        <v>0.5</v>
      </c>
      <c r="J39" s="32"/>
      <c r="K39" s="9"/>
      <c r="L39" s="9"/>
      <c r="M39" s="8"/>
      <c r="N39" s="8"/>
    </row>
    <row r="40" spans="1:14">
      <c r="A40" s="3"/>
      <c r="B40" s="3"/>
      <c r="C40" s="3"/>
      <c r="D40" s="3"/>
      <c r="E40" s="3"/>
      <c r="F40" s="3"/>
      <c r="G40" s="4"/>
      <c r="H40" s="4"/>
      <c r="I40" s="4"/>
      <c r="J40" s="4"/>
      <c r="K40" s="4"/>
      <c r="L40" s="4"/>
      <c r="M40" s="8"/>
      <c r="N40" s="8"/>
    </row>
    <row r="42" spans="1:14">
      <c r="A42" s="6" t="s">
        <v>5</v>
      </c>
      <c r="B42" s="299" t="s">
        <v>149</v>
      </c>
      <c r="C42" s="299"/>
      <c r="D42" s="299"/>
      <c r="E42" s="299"/>
      <c r="F42" s="299"/>
      <c r="G42" s="299"/>
      <c r="H42" s="299"/>
      <c r="I42" s="299"/>
      <c r="J42" s="299"/>
      <c r="K42" s="299"/>
      <c r="L42" s="4"/>
    </row>
    <row r="43" spans="1:14">
      <c r="A43" s="6"/>
      <c r="B43" s="299"/>
      <c r="C43" s="299"/>
      <c r="D43" s="299"/>
      <c r="E43" s="299"/>
      <c r="F43" s="299"/>
      <c r="G43" s="299"/>
      <c r="H43" s="299"/>
      <c r="I43" s="299"/>
      <c r="J43" s="299"/>
      <c r="K43" s="299"/>
      <c r="L43" s="4"/>
    </row>
    <row r="44" spans="1:14">
      <c r="A44" s="3"/>
      <c r="B44" s="3"/>
      <c r="C44" s="3"/>
      <c r="D44" s="3"/>
      <c r="E44" s="3"/>
      <c r="F44" s="3"/>
      <c r="G44" s="4"/>
      <c r="H44" s="4"/>
      <c r="I44" s="4"/>
      <c r="J44" s="4"/>
      <c r="K44" s="4"/>
      <c r="L44" s="4"/>
    </row>
    <row r="45" spans="1:14">
      <c r="A45" s="7"/>
      <c r="B45" s="7"/>
      <c r="C45" s="7"/>
      <c r="D45" s="7"/>
      <c r="E45" s="7"/>
      <c r="F45" s="7"/>
      <c r="G45" s="7"/>
      <c r="H45" s="7"/>
      <c r="I45" s="7"/>
      <c r="J45" s="7"/>
      <c r="K45" s="7"/>
      <c r="L45" s="7"/>
    </row>
    <row r="46" spans="1:14">
      <c r="A46" s="7" t="s">
        <v>1</v>
      </c>
      <c r="B46" s="7"/>
      <c r="C46" s="7"/>
      <c r="D46" s="7"/>
      <c r="E46" s="7"/>
      <c r="F46" s="7"/>
      <c r="G46" s="7"/>
      <c r="H46" s="7"/>
      <c r="I46" s="7"/>
      <c r="J46" s="7"/>
      <c r="K46" s="7"/>
      <c r="L46" s="7"/>
    </row>
    <row r="47" spans="1:14">
      <c r="A47" s="7"/>
      <c r="F47" s="130" t="s">
        <v>549</v>
      </c>
      <c r="G47" s="7"/>
      <c r="H47" s="7"/>
      <c r="I47" s="7"/>
      <c r="J47" s="7"/>
      <c r="K47" s="7"/>
      <c r="L47" s="7"/>
    </row>
    <row r="48" spans="1:14">
      <c r="A48" s="7"/>
      <c r="B48" s="1" t="s">
        <v>550</v>
      </c>
      <c r="F48" s="186">
        <f>F25</f>
        <v>4000000</v>
      </c>
      <c r="G48" s="7"/>
      <c r="H48" s="7"/>
      <c r="I48" s="7"/>
      <c r="J48" s="7"/>
      <c r="K48" s="7"/>
      <c r="L48" s="7"/>
    </row>
    <row r="49" spans="2:13">
      <c r="F49" s="130"/>
      <c r="M49" s="7"/>
    </row>
    <row r="50" spans="2:13">
      <c r="B50" s="1" t="s">
        <v>558</v>
      </c>
      <c r="F50" s="190">
        <f>F27*1.5</f>
        <v>0.89999999999999991</v>
      </c>
      <c r="M50" s="7"/>
    </row>
    <row r="51" spans="2:13">
      <c r="B51" s="1" t="s">
        <v>551</v>
      </c>
      <c r="F51" s="142">
        <f>F48*F50</f>
        <v>3599999.9999999995</v>
      </c>
      <c r="M51" s="7"/>
    </row>
    <row r="52" spans="2:13">
      <c r="B52" s="1" t="s">
        <v>458</v>
      </c>
      <c r="F52" s="142">
        <f>E29*1.5</f>
        <v>450000</v>
      </c>
    </row>
    <row r="53" spans="2:13">
      <c r="B53" s="1" t="s">
        <v>556</v>
      </c>
      <c r="F53" s="142">
        <f>F30</f>
        <v>200000</v>
      </c>
    </row>
    <row r="54" spans="2:13">
      <c r="B54" s="1" t="s">
        <v>552</v>
      </c>
      <c r="F54" s="142">
        <f>F31</f>
        <v>250000</v>
      </c>
    </row>
    <row r="55" spans="2:13">
      <c r="F55" s="191"/>
    </row>
    <row r="56" spans="2:13">
      <c r="B56" s="1" t="s">
        <v>553</v>
      </c>
      <c r="F56" s="142">
        <f>SUM(F51:F55)</f>
        <v>4500000</v>
      </c>
    </row>
    <row r="58" spans="2:13">
      <c r="B58" s="1" t="s">
        <v>555</v>
      </c>
      <c r="F58" s="142">
        <f>F48-F56</f>
        <v>-500000</v>
      </c>
    </row>
    <row r="59" spans="2:13">
      <c r="F59" s="130" t="s">
        <v>557</v>
      </c>
    </row>
  </sheetData>
  <mergeCells count="1">
    <mergeCell ref="B42:K4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Question1</vt:lpstr>
      <vt:lpstr>Question2</vt:lpstr>
      <vt:lpstr>Question3</vt:lpstr>
      <vt:lpstr>Question4</vt:lpstr>
      <vt:lpstr>Question5</vt:lpstr>
      <vt:lpstr>Question6</vt:lpstr>
      <vt:lpstr>Question7</vt:lpstr>
      <vt:lpstr>Question8</vt:lpstr>
      <vt:lpstr>Question9</vt:lpstr>
      <vt:lpstr>Question10</vt:lpstr>
      <vt:lpstr>Question11</vt:lpstr>
      <vt:lpstr>Question12</vt:lpstr>
      <vt:lpstr>Question13</vt:lpstr>
      <vt:lpstr>Question14</vt:lpstr>
      <vt:lpstr>Question15</vt:lpstr>
      <vt:lpstr>Question16</vt:lpstr>
      <vt:lpstr>Question17</vt:lpstr>
      <vt:lpstr>Question18</vt:lpstr>
      <vt:lpstr>Question19</vt:lpstr>
      <vt:lpstr>Question20</vt:lpstr>
      <vt:lpstr>Question12!OLE_LINK1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Scott Lennox</cp:lastModifiedBy>
  <cp:lastPrinted>2018-12-31T14:01:19Z</cp:lastPrinted>
  <dcterms:created xsi:type="dcterms:W3CDTF">2016-11-07T18:30:57Z</dcterms:created>
  <dcterms:modified xsi:type="dcterms:W3CDTF">2024-11-04T19:34:32Z</dcterms:modified>
</cp:coreProperties>
</file>