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Aleshia\Fall 2022 solutions\"/>
    </mc:Choice>
  </mc:AlternateContent>
  <xr:revisionPtr revIDLastSave="0" documentId="8_{8690ABA8-FBF4-4036-975B-7BF4F6E61728}" xr6:coauthVersionLast="47" xr6:coauthVersionMax="47" xr10:uidLastSave="{00000000-0000-0000-0000-000000000000}"/>
  <bookViews>
    <workbookView xWindow="31440" yWindow="405" windowWidth="17280" windowHeight="8970" firstSheet="4" activeTab="6" xr2:uid="{00000000-000D-0000-FFFF-FFFF00000000}"/>
  </bookViews>
  <sheets>
    <sheet name="Exam Questions --&gt;" sheetId="39" r:id="rId1"/>
    <sheet name="Q2(a)(cash flow)" sheetId="51" r:id="rId2"/>
    <sheet name="Q2(a)(rank)" sheetId="52" r:id="rId3"/>
    <sheet name="Q6 (a)i-ii" sheetId="61" r:id="rId4"/>
    <sheet name="Q6 (b)i-ii" sheetId="62" r:id="rId5"/>
    <sheet name="Q7 (a)(b)" sheetId="63" r:id="rId6"/>
    <sheet name="Q8 (d) (f)(i)" sheetId="64" r:id="rId7"/>
    <sheet name="Q6(a)(i)(ii)" sheetId="53" state="hidden" r:id="rId8"/>
    <sheet name="Q6(b)(i)(ii)(iii)" sheetId="54" state="hidden" r:id="rId9"/>
    <sheet name="Case Study Exhibits --&gt;" sheetId="29" state="hidden" r:id="rId10"/>
    <sheet name="Big Ben Inc St 1.5 " sheetId="55" state="hidden" r:id="rId11"/>
    <sheet name="Big Ben BS 1.5" sheetId="56" state="hidden" r:id="rId12"/>
    <sheet name="Lyon Sect 2.11 &amp; 3.4" sheetId="57" state="hidden" r:id="rId13"/>
    <sheet name="SLIC 3.4" sheetId="58" state="hidden" r:id="rId14"/>
    <sheet name="AHA 3.4" sheetId="59" state="hidden" r:id="rId15"/>
    <sheet name="Pryde 3.4" sheetId="60" state="hidden" r:id="rId16"/>
  </sheets>
  <externalReferences>
    <externalReference r:id="rId17"/>
    <externalReference r:id="rId18"/>
    <externalReference r:id="rId19"/>
  </externalReferences>
  <definedNames>
    <definedName name="_xlnm._FilterDatabase" localSheetId="2" hidden="1">'Q2(a)(rank)'!$A$9:$C$9</definedName>
    <definedName name="BaseYear" localSheetId="6">#REF!</definedName>
    <definedName name="BaseYear">#REF!</definedName>
    <definedName name="CognitiveLevels" localSheetId="5">'[1]Syllabus List'!$C$394:$C$397</definedName>
    <definedName name="CognitiveLevels" localSheetId="6">#REF!</definedName>
    <definedName name="CognitiveLevels">#REF!</definedName>
    <definedName name="CommonGuidance" localSheetId="5">'[1]Syllabus List'!$B$401:$B$410</definedName>
    <definedName name="CommonGuidance" localSheetId="6">#REF!</definedName>
    <definedName name="CommonGuidance">#REF!</definedName>
    <definedName name="Divisor">[2]Inputs!$B$2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O_1" localSheetId="6">#REF!</definedName>
    <definedName name="LO_1">#REF!</definedName>
    <definedName name="LO_2" localSheetId="6">#REF!</definedName>
    <definedName name="LO_2">#REF!</definedName>
    <definedName name="LOList" localSheetId="5">'[1]Syllabus List'!$A$393:$A$423</definedName>
    <definedName name="LOList" localSheetId="6">#REF!</definedName>
    <definedName name="LOList">#REF!</definedName>
    <definedName name="Q_sources" localSheetId="5">[1]Qxt!$B$9:$B$18</definedName>
    <definedName name="Q_sources" localSheetId="6">#REF!</definedName>
    <definedName name="Q_sources">#REF!</definedName>
    <definedName name="SyllabusListing" localSheetId="5">'[1]Syllabus List'!$B$4:$B$390</definedName>
    <definedName name="SyllabusListing" localSheetId="6">#REF!</definedName>
    <definedName name="SyllabusListing">#REF!</definedName>
    <definedName name="Year1">[3]Factors!$B$4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4" i="64" l="1"/>
  <c r="D20" i="64" s="1"/>
  <c r="D16" i="64"/>
  <c r="D17" i="64" s="1"/>
  <c r="D19" i="64"/>
  <c r="D34" i="64"/>
  <c r="D35" i="64" s="1"/>
  <c r="D41" i="64" s="1"/>
  <c r="D42" i="64" s="1"/>
  <c r="D39" i="64"/>
  <c r="D46" i="64" l="1"/>
  <c r="D21" i="64"/>
  <c r="D22" i="64" s="1"/>
  <c r="I4" i="63"/>
  <c r="J4" i="63" s="1"/>
  <c r="E23" i="63"/>
  <c r="E29" i="63" s="1"/>
  <c r="E37" i="63" s="1"/>
  <c r="E24" i="63"/>
  <c r="E30" i="63" s="1"/>
  <c r="E38" i="63" s="1"/>
  <c r="E25" i="63"/>
  <c r="E28" i="63" s="1"/>
  <c r="E36" i="63" s="1"/>
  <c r="H45" i="63"/>
  <c r="I45" i="63"/>
  <c r="J45" i="63"/>
  <c r="H46" i="63"/>
  <c r="I46" i="63"/>
  <c r="J46" i="63"/>
  <c r="H47" i="63"/>
  <c r="I47" i="63"/>
  <c r="J47" i="63"/>
  <c r="G56" i="63"/>
  <c r="E66" i="63" s="1"/>
  <c r="L45" i="63" l="1"/>
  <c r="D46" i="63"/>
  <c r="D49" i="63" s="1" a="1"/>
  <c r="D49" i="63" s="1"/>
  <c r="F46" i="63"/>
  <c r="L47" i="63"/>
  <c r="L46" i="63"/>
  <c r="E46" i="63"/>
  <c r="I5" i="63"/>
  <c r="I6" i="63" s="1"/>
  <c r="A13" i="62"/>
  <c r="A14" i="62" s="1"/>
  <c r="A15" i="62" s="1"/>
  <c r="A16" i="62" s="1"/>
  <c r="A17" i="62" s="1"/>
  <c r="A18" i="62" s="1"/>
  <c r="A19" i="62" s="1"/>
  <c r="A20" i="62" s="1"/>
  <c r="A21" i="62" s="1"/>
  <c r="A22" i="62" s="1"/>
  <c r="A23" i="62" s="1"/>
  <c r="A24" i="62" s="1"/>
  <c r="A25" i="62" s="1"/>
  <c r="A26" i="62" s="1"/>
  <c r="A27" i="62" s="1"/>
  <c r="A28" i="62" s="1"/>
  <c r="A29" i="62" s="1"/>
  <c r="A30" i="62" s="1"/>
  <c r="A31" i="62" s="1"/>
  <c r="A32" i="62" s="1"/>
  <c r="A33" i="62" s="1"/>
  <c r="A34" i="62" s="1"/>
  <c r="A35" i="62" s="1"/>
  <c r="A36" i="62" s="1"/>
  <c r="A37" i="62" s="1"/>
  <c r="A38" i="62" s="1"/>
  <c r="A39" i="62" s="1"/>
  <c r="A40" i="62" s="1"/>
  <c r="A41" i="62" s="1"/>
  <c r="A42" i="62" s="1"/>
  <c r="A43" i="62" s="1"/>
  <c r="A44" i="62" s="1"/>
  <c r="A45" i="62" s="1"/>
  <c r="A46" i="62" s="1"/>
  <c r="A47" i="62" s="1"/>
  <c r="A48" i="62" s="1"/>
  <c r="A49" i="62" s="1"/>
  <c r="A50" i="62" s="1"/>
  <c r="A51" i="62" s="1"/>
  <c r="A52" i="62" s="1"/>
  <c r="A53" i="62" s="1"/>
  <c r="A54" i="62" s="1"/>
  <c r="A55" i="62" s="1"/>
  <c r="A56" i="62" s="1"/>
  <c r="A57" i="62" s="1"/>
  <c r="A58" i="62" s="1"/>
  <c r="A59" i="62" s="1"/>
  <c r="A60" i="62" s="1"/>
  <c r="A61" i="62" s="1"/>
  <c r="A62" i="62" s="1"/>
  <c r="A63" i="62" s="1"/>
  <c r="A64" i="62" s="1"/>
  <c r="A65" i="62" s="1"/>
  <c r="A66" i="62" s="1"/>
  <c r="A67" i="62" s="1"/>
  <c r="A68" i="62" s="1"/>
  <c r="A69" i="62" s="1"/>
  <c r="A70" i="62" s="1"/>
  <c r="A71" i="62" s="1"/>
  <c r="A72" i="62" s="1"/>
  <c r="A73" i="62" s="1"/>
  <c r="A74" i="62" s="1"/>
  <c r="A75" i="62" s="1"/>
  <c r="A76" i="62" s="1"/>
  <c r="A77" i="62" s="1"/>
  <c r="A78" i="62" s="1"/>
  <c r="A79" i="62" s="1"/>
  <c r="A80" i="62" s="1"/>
  <c r="A81" i="62" s="1"/>
  <c r="A82" i="62" s="1"/>
  <c r="A83" i="62" s="1"/>
  <c r="A84" i="62" s="1"/>
  <c r="A85" i="62" s="1"/>
  <c r="A86" i="62" s="1"/>
  <c r="A87" i="62" s="1"/>
  <c r="A88" i="62" s="1"/>
  <c r="A89" i="62" s="1"/>
  <c r="A90" i="62" s="1"/>
  <c r="A91" i="62" s="1"/>
  <c r="A92" i="62" s="1"/>
  <c r="A93" i="62" s="1"/>
  <c r="A94" i="62" s="1"/>
  <c r="A95" i="62" s="1"/>
  <c r="A96" i="62" s="1"/>
  <c r="A97" i="62" s="1"/>
  <c r="A98" i="62" s="1"/>
  <c r="A99" i="62" s="1"/>
  <c r="A100" i="62" s="1"/>
  <c r="A101" i="62" s="1"/>
  <c r="A102" i="62" s="1"/>
  <c r="A103" i="62" s="1"/>
  <c r="A104" i="62" s="1"/>
  <c r="A105" i="62" s="1"/>
  <c r="A106" i="62" s="1"/>
  <c r="A107" i="62" s="1"/>
  <c r="A108" i="62" s="1"/>
  <c r="A109" i="62" s="1"/>
  <c r="A110" i="62" s="1"/>
  <c r="A111" i="62" s="1"/>
  <c r="C115" i="62"/>
  <c r="C116" i="62" s="1"/>
  <c r="C117" i="62" s="1"/>
  <c r="D115" i="62"/>
  <c r="D116" i="62" s="1"/>
  <c r="D117" i="62" s="1"/>
  <c r="D118" i="62" s="1"/>
  <c r="E115" i="62"/>
  <c r="E116" i="62" s="1"/>
  <c r="F11" i="61"/>
  <c r="G11" i="61" s="1"/>
  <c r="F12" i="61"/>
  <c r="G12" i="61" s="1"/>
  <c r="J6" i="63" l="1"/>
  <c r="J5" i="63"/>
  <c r="D130" i="62"/>
  <c r="D124" i="62"/>
  <c r="E117" i="62"/>
  <c r="C118" i="62"/>
  <c r="F14" i="61"/>
  <c r="G14" i="61" s="1"/>
  <c r="G11" i="52"/>
  <c r="C11" i="52"/>
  <c r="C12" i="52"/>
  <c r="C13" i="52"/>
  <c r="C14" i="52"/>
  <c r="C15" i="52"/>
  <c r="C16" i="52"/>
  <c r="C17" i="52"/>
  <c r="C18" i="52"/>
  <c r="C19" i="52"/>
  <c r="C20" i="52"/>
  <c r="C21" i="52"/>
  <c r="C22" i="52"/>
  <c r="C23" i="52"/>
  <c r="C24" i="52"/>
  <c r="C25" i="52"/>
  <c r="C26" i="52"/>
  <c r="C27" i="52"/>
  <c r="C28" i="52"/>
  <c r="C29" i="52"/>
  <c r="C30" i="52"/>
  <c r="C31" i="52"/>
  <c r="C32" i="52"/>
  <c r="C33" i="52"/>
  <c r="C34" i="52"/>
  <c r="C35" i="52"/>
  <c r="C36" i="52"/>
  <c r="C37" i="52"/>
  <c r="C38" i="52"/>
  <c r="C39" i="52"/>
  <c r="C40" i="52"/>
  <c r="C41" i="52"/>
  <c r="C42" i="52"/>
  <c r="C43" i="52"/>
  <c r="C44" i="52"/>
  <c r="C45" i="52"/>
  <c r="C46" i="52"/>
  <c r="C47" i="52"/>
  <c r="C48" i="52"/>
  <c r="C49" i="52"/>
  <c r="C50" i="52"/>
  <c r="C51" i="52"/>
  <c r="C52" i="52"/>
  <c r="C53" i="52"/>
  <c r="C54" i="52"/>
  <c r="C55" i="52"/>
  <c r="C56" i="52"/>
  <c r="C57" i="52"/>
  <c r="C58" i="52"/>
  <c r="C59" i="52"/>
  <c r="C60" i="52"/>
  <c r="C61" i="52"/>
  <c r="C62" i="52"/>
  <c r="C63" i="52"/>
  <c r="C64" i="52"/>
  <c r="C65" i="52"/>
  <c r="C66" i="52"/>
  <c r="C67" i="52"/>
  <c r="C68" i="52"/>
  <c r="C69" i="52"/>
  <c r="C70" i="52"/>
  <c r="C71" i="52"/>
  <c r="C72" i="52"/>
  <c r="C73" i="52"/>
  <c r="C74" i="52"/>
  <c r="C75" i="52"/>
  <c r="C76" i="52"/>
  <c r="C77" i="52"/>
  <c r="C78" i="52"/>
  <c r="C79" i="52"/>
  <c r="C80" i="52"/>
  <c r="C81" i="52"/>
  <c r="C82" i="52"/>
  <c r="C83" i="52"/>
  <c r="C84" i="52"/>
  <c r="C85" i="52"/>
  <c r="C86" i="52"/>
  <c r="C87" i="52"/>
  <c r="C88" i="52"/>
  <c r="C89" i="52"/>
  <c r="C90" i="52"/>
  <c r="C91" i="52"/>
  <c r="C92" i="52"/>
  <c r="C93" i="52"/>
  <c r="C94" i="52"/>
  <c r="C95" i="52"/>
  <c r="C96" i="52"/>
  <c r="C97" i="52"/>
  <c r="C98" i="52"/>
  <c r="C99" i="52"/>
  <c r="C100" i="52"/>
  <c r="C101" i="52"/>
  <c r="C102" i="52"/>
  <c r="C103" i="52"/>
  <c r="C104" i="52"/>
  <c r="C105" i="52"/>
  <c r="C106" i="52"/>
  <c r="C107" i="52"/>
  <c r="C108" i="52"/>
  <c r="C109" i="52"/>
  <c r="C10" i="52"/>
  <c r="E88" i="51"/>
  <c r="J88" i="51" s="1"/>
  <c r="N88" i="51" s="1"/>
  <c r="E71" i="51"/>
  <c r="J71" i="51" s="1"/>
  <c r="N71" i="51" s="1"/>
  <c r="E54" i="51"/>
  <c r="K54" i="51" s="1"/>
  <c r="O54" i="51" s="1"/>
  <c r="E37" i="51"/>
  <c r="K37" i="51" s="1"/>
  <c r="O37" i="51" s="1"/>
  <c r="E21" i="51"/>
  <c r="E20" i="51"/>
  <c r="N97" i="51"/>
  <c r="N87" i="51"/>
  <c r="N80" i="51"/>
  <c r="N70" i="51"/>
  <c r="N63" i="51"/>
  <c r="N54" i="51"/>
  <c r="N53" i="51"/>
  <c r="N46" i="51"/>
  <c r="N36" i="51"/>
  <c r="N29" i="51"/>
  <c r="N19" i="51"/>
  <c r="M97" i="51"/>
  <c r="M96" i="51"/>
  <c r="M95" i="51"/>
  <c r="M94" i="51"/>
  <c r="M93" i="51"/>
  <c r="M92" i="51"/>
  <c r="M91" i="51"/>
  <c r="M90" i="51"/>
  <c r="M89" i="51"/>
  <c r="M88" i="51"/>
  <c r="M80" i="51"/>
  <c r="M79" i="51"/>
  <c r="M78" i="51"/>
  <c r="M77" i="51"/>
  <c r="M76" i="51"/>
  <c r="M75" i="51"/>
  <c r="M74" i="51"/>
  <c r="M73" i="51"/>
  <c r="M72" i="51"/>
  <c r="M71" i="51"/>
  <c r="M63" i="51"/>
  <c r="M62" i="51"/>
  <c r="M61" i="51"/>
  <c r="M60" i="51"/>
  <c r="M59" i="51"/>
  <c r="M58" i="51"/>
  <c r="M57" i="51"/>
  <c r="M56" i="51"/>
  <c r="M55" i="51"/>
  <c r="M54" i="51"/>
  <c r="M46" i="51"/>
  <c r="M45" i="51"/>
  <c r="M44" i="51"/>
  <c r="M43" i="51"/>
  <c r="M42" i="51"/>
  <c r="M41" i="51"/>
  <c r="M40" i="51"/>
  <c r="M39" i="51"/>
  <c r="M38" i="51"/>
  <c r="M37" i="51"/>
  <c r="M21" i="51"/>
  <c r="M22" i="51"/>
  <c r="M23" i="51"/>
  <c r="M24" i="51"/>
  <c r="M25" i="51"/>
  <c r="M26" i="51"/>
  <c r="M27" i="51"/>
  <c r="M28" i="51"/>
  <c r="M29" i="51"/>
  <c r="M20" i="51"/>
  <c r="J87" i="51"/>
  <c r="J70" i="51"/>
  <c r="J54" i="51"/>
  <c r="J53" i="51"/>
  <c r="J36" i="51"/>
  <c r="J19" i="51"/>
  <c r="H88" i="51"/>
  <c r="H89" i="51" s="1"/>
  <c r="H90" i="51" s="1"/>
  <c r="H91" i="51" s="1"/>
  <c r="H92" i="51" s="1"/>
  <c r="H93" i="51" s="1"/>
  <c r="H94" i="51" s="1"/>
  <c r="H95" i="51" s="1"/>
  <c r="H96" i="51" s="1"/>
  <c r="H97" i="51" s="1"/>
  <c r="H71" i="51"/>
  <c r="H72" i="51" s="1"/>
  <c r="H73" i="51" s="1"/>
  <c r="H74" i="51" s="1"/>
  <c r="H75" i="51" s="1"/>
  <c r="H76" i="51" s="1"/>
  <c r="H77" i="51" s="1"/>
  <c r="H78" i="51" s="1"/>
  <c r="H79" i="51" s="1"/>
  <c r="H80" i="51" s="1"/>
  <c r="H54" i="51"/>
  <c r="H55" i="51" s="1"/>
  <c r="H56" i="51" s="1"/>
  <c r="H57" i="51" s="1"/>
  <c r="H37" i="51"/>
  <c r="H38" i="51" s="1"/>
  <c r="H39" i="51" s="1"/>
  <c r="H21" i="51"/>
  <c r="H22" i="51" s="1"/>
  <c r="H23" i="51" s="1"/>
  <c r="H24" i="51" s="1"/>
  <c r="H25" i="51" s="1"/>
  <c r="H26" i="51" s="1"/>
  <c r="H27" i="51" s="1"/>
  <c r="H28" i="51" s="1"/>
  <c r="H29" i="51" s="1"/>
  <c r="H20" i="51"/>
  <c r="D97" i="51"/>
  <c r="D96" i="51"/>
  <c r="D95" i="51"/>
  <c r="D94" i="51"/>
  <c r="D93" i="51"/>
  <c r="D92" i="51"/>
  <c r="D91" i="51"/>
  <c r="D90" i="51"/>
  <c r="D89" i="51"/>
  <c r="D88" i="51"/>
  <c r="D80" i="51"/>
  <c r="D79" i="51"/>
  <c r="D78" i="51"/>
  <c r="D77" i="51"/>
  <c r="D76" i="51"/>
  <c r="D75" i="51"/>
  <c r="D74" i="51"/>
  <c r="D73" i="51"/>
  <c r="D72" i="51"/>
  <c r="D71" i="51"/>
  <c r="D63" i="51"/>
  <c r="D62" i="51"/>
  <c r="D61" i="51"/>
  <c r="D60" i="51"/>
  <c r="D59" i="51"/>
  <c r="D58" i="51"/>
  <c r="D57" i="51"/>
  <c r="D56" i="51"/>
  <c r="D55" i="51"/>
  <c r="D54" i="51"/>
  <c r="D46" i="51"/>
  <c r="D45" i="51"/>
  <c r="D44" i="51"/>
  <c r="D43" i="51"/>
  <c r="D42" i="51"/>
  <c r="D41" i="51"/>
  <c r="D40" i="51"/>
  <c r="D39" i="51"/>
  <c r="D38" i="51"/>
  <c r="D37" i="51"/>
  <c r="D21" i="51"/>
  <c r="D22" i="51"/>
  <c r="D23" i="51"/>
  <c r="D24" i="51"/>
  <c r="D25" i="51"/>
  <c r="D26" i="51"/>
  <c r="D27" i="51"/>
  <c r="D28" i="51"/>
  <c r="D29" i="51"/>
  <c r="D20" i="51"/>
  <c r="C97" i="51"/>
  <c r="C96" i="51"/>
  <c r="C95" i="51"/>
  <c r="C94" i="51"/>
  <c r="C93" i="51"/>
  <c r="C92" i="51"/>
  <c r="C91" i="51"/>
  <c r="C90" i="51"/>
  <c r="C89" i="51"/>
  <c r="C88" i="51"/>
  <c r="C80" i="51"/>
  <c r="C79" i="51"/>
  <c r="C78" i="51"/>
  <c r="C77" i="51"/>
  <c r="C76" i="51"/>
  <c r="C75" i="51"/>
  <c r="C74" i="51"/>
  <c r="C73" i="51"/>
  <c r="C72" i="51"/>
  <c r="C71" i="51"/>
  <c r="C63" i="51"/>
  <c r="C62" i="51"/>
  <c r="C61" i="51"/>
  <c r="C60" i="51"/>
  <c r="C59" i="51"/>
  <c r="C58" i="51"/>
  <c r="C57" i="51"/>
  <c r="C56" i="51"/>
  <c r="C55" i="51"/>
  <c r="C54" i="51"/>
  <c r="C46" i="51"/>
  <c r="C45" i="51"/>
  <c r="C44" i="51"/>
  <c r="C43" i="51"/>
  <c r="C42" i="51"/>
  <c r="C41" i="51"/>
  <c r="C40" i="51"/>
  <c r="C39" i="51"/>
  <c r="C38" i="51"/>
  <c r="C37" i="51"/>
  <c r="C21" i="51"/>
  <c r="C22" i="51"/>
  <c r="C23" i="51"/>
  <c r="C24" i="51"/>
  <c r="C25" i="51"/>
  <c r="C26" i="51"/>
  <c r="C27" i="51"/>
  <c r="C28" i="51"/>
  <c r="C29" i="51"/>
  <c r="C20" i="51"/>
  <c r="A13" i="54"/>
  <c r="A14" i="54" s="1"/>
  <c r="A15" i="54" s="1"/>
  <c r="A16" i="54" s="1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A32" i="54" s="1"/>
  <c r="A33" i="54" s="1"/>
  <c r="A34" i="54" s="1"/>
  <c r="A35" i="54" s="1"/>
  <c r="A36" i="54" s="1"/>
  <c r="A37" i="54" s="1"/>
  <c r="A38" i="54" s="1"/>
  <c r="A39" i="54" s="1"/>
  <c r="A40" i="54" s="1"/>
  <c r="A41" i="54" s="1"/>
  <c r="A42" i="54" s="1"/>
  <c r="A43" i="54" s="1"/>
  <c r="A44" i="54" s="1"/>
  <c r="A45" i="54" s="1"/>
  <c r="A46" i="54" s="1"/>
  <c r="A47" i="54" s="1"/>
  <c r="A48" i="54" s="1"/>
  <c r="A49" i="54" s="1"/>
  <c r="A50" i="54" s="1"/>
  <c r="A51" i="54" s="1"/>
  <c r="A52" i="54" s="1"/>
  <c r="A53" i="54" s="1"/>
  <c r="A54" i="54" s="1"/>
  <c r="A55" i="54" s="1"/>
  <c r="A56" i="54" s="1"/>
  <c r="A57" i="54" s="1"/>
  <c r="A58" i="54" s="1"/>
  <c r="A59" i="54" s="1"/>
  <c r="A60" i="54" s="1"/>
  <c r="A61" i="54" s="1"/>
  <c r="A62" i="54" s="1"/>
  <c r="A63" i="54" s="1"/>
  <c r="A64" i="54" s="1"/>
  <c r="A65" i="54" s="1"/>
  <c r="A66" i="54" s="1"/>
  <c r="A67" i="54" s="1"/>
  <c r="A68" i="54" s="1"/>
  <c r="A69" i="54" s="1"/>
  <c r="A70" i="54" s="1"/>
  <c r="A71" i="54" s="1"/>
  <c r="A72" i="54" s="1"/>
  <c r="A73" i="54" s="1"/>
  <c r="A74" i="54" s="1"/>
  <c r="A75" i="54" s="1"/>
  <c r="A76" i="54" s="1"/>
  <c r="A77" i="54" s="1"/>
  <c r="A78" i="54" s="1"/>
  <c r="A79" i="54" s="1"/>
  <c r="A80" i="54" s="1"/>
  <c r="A81" i="54" s="1"/>
  <c r="A82" i="54" s="1"/>
  <c r="A83" i="54" s="1"/>
  <c r="A84" i="54" s="1"/>
  <c r="A85" i="54" s="1"/>
  <c r="A86" i="54" s="1"/>
  <c r="A87" i="54" s="1"/>
  <c r="A88" i="54" s="1"/>
  <c r="A89" i="54" s="1"/>
  <c r="A90" i="54" s="1"/>
  <c r="A91" i="54" s="1"/>
  <c r="A92" i="54" s="1"/>
  <c r="A93" i="54" s="1"/>
  <c r="A94" i="54" s="1"/>
  <c r="A95" i="54" s="1"/>
  <c r="A96" i="54" s="1"/>
  <c r="A97" i="54" s="1"/>
  <c r="A98" i="54" s="1"/>
  <c r="A99" i="54" s="1"/>
  <c r="A100" i="54" s="1"/>
  <c r="A101" i="54" s="1"/>
  <c r="A102" i="54" s="1"/>
  <c r="A103" i="54" s="1"/>
  <c r="A104" i="54" s="1"/>
  <c r="A105" i="54" s="1"/>
  <c r="A106" i="54" s="1"/>
  <c r="A107" i="54" s="1"/>
  <c r="A108" i="54" s="1"/>
  <c r="A109" i="54" s="1"/>
  <c r="A110" i="54" s="1"/>
  <c r="A111" i="54" s="1"/>
  <c r="F97" i="51"/>
  <c r="F96" i="51"/>
  <c r="F95" i="51"/>
  <c r="F94" i="51"/>
  <c r="F93" i="51"/>
  <c r="F92" i="51"/>
  <c r="F91" i="51"/>
  <c r="G90" i="51"/>
  <c r="F90" i="51"/>
  <c r="F89" i="51"/>
  <c r="A89" i="51"/>
  <c r="A90" i="51" s="1"/>
  <c r="A91" i="51" s="1"/>
  <c r="A92" i="51" s="1"/>
  <c r="A93" i="51" s="1"/>
  <c r="A94" i="51" s="1"/>
  <c r="A95" i="51" s="1"/>
  <c r="A96" i="51" s="1"/>
  <c r="A97" i="51" s="1"/>
  <c r="F88" i="51"/>
  <c r="I88" i="51" s="1"/>
  <c r="E87" i="51"/>
  <c r="F80" i="51"/>
  <c r="F79" i="51"/>
  <c r="F78" i="51"/>
  <c r="F77" i="51"/>
  <c r="F76" i="51"/>
  <c r="F75" i="51"/>
  <c r="F74" i="51"/>
  <c r="F73" i="51"/>
  <c r="A73" i="51"/>
  <c r="A74" i="51" s="1"/>
  <c r="A75" i="51" s="1"/>
  <c r="A76" i="51" s="1"/>
  <c r="A77" i="51" s="1"/>
  <c r="A78" i="51" s="1"/>
  <c r="A79" i="51" s="1"/>
  <c r="A80" i="51" s="1"/>
  <c r="F72" i="51"/>
  <c r="I72" i="51" s="1"/>
  <c r="A72" i="51"/>
  <c r="F71" i="51"/>
  <c r="I71" i="51" s="1"/>
  <c r="E70" i="51"/>
  <c r="G63" i="51"/>
  <c r="F63" i="51"/>
  <c r="F62" i="51"/>
  <c r="F61" i="51"/>
  <c r="G61" i="51" s="1"/>
  <c r="F60" i="51"/>
  <c r="G59" i="51"/>
  <c r="F59" i="51"/>
  <c r="G58" i="51"/>
  <c r="F58" i="51"/>
  <c r="F57" i="51"/>
  <c r="F56" i="51"/>
  <c r="F55" i="51"/>
  <c r="I55" i="51" s="1"/>
  <c r="A55" i="51"/>
  <c r="A56" i="51" s="1"/>
  <c r="A57" i="51" s="1"/>
  <c r="A58" i="51" s="1"/>
  <c r="A59" i="51" s="1"/>
  <c r="A60" i="51" s="1"/>
  <c r="A61" i="51" s="1"/>
  <c r="A62" i="51" s="1"/>
  <c r="A63" i="51" s="1"/>
  <c r="G54" i="51"/>
  <c r="F54" i="51"/>
  <c r="I54" i="51" s="1"/>
  <c r="E53" i="51"/>
  <c r="F46" i="51"/>
  <c r="G46" i="51" s="1"/>
  <c r="F45" i="51"/>
  <c r="G45" i="51" s="1"/>
  <c r="F44" i="51"/>
  <c r="G44" i="51" s="1"/>
  <c r="F43" i="51"/>
  <c r="G43" i="51" s="1"/>
  <c r="F42" i="51"/>
  <c r="G42" i="51" s="1"/>
  <c r="F41" i="51"/>
  <c r="G41" i="51" s="1"/>
  <c r="F40" i="51"/>
  <c r="G40" i="51" s="1"/>
  <c r="F39" i="51"/>
  <c r="G39" i="51" s="1"/>
  <c r="A39" i="51"/>
  <c r="A40" i="51" s="1"/>
  <c r="A41" i="51" s="1"/>
  <c r="A42" i="51" s="1"/>
  <c r="A43" i="51" s="1"/>
  <c r="A44" i="51" s="1"/>
  <c r="A45" i="51" s="1"/>
  <c r="A46" i="51" s="1"/>
  <c r="F38" i="51"/>
  <c r="G38" i="51" s="1"/>
  <c r="A38" i="51"/>
  <c r="F37" i="51"/>
  <c r="G37" i="51" s="1"/>
  <c r="E36" i="51"/>
  <c r="F29" i="51"/>
  <c r="F28" i="51"/>
  <c r="F27" i="51"/>
  <c r="F26" i="51"/>
  <c r="F25" i="51"/>
  <c r="F24" i="51"/>
  <c r="F23" i="51"/>
  <c r="F22" i="51"/>
  <c r="A22" i="51"/>
  <c r="A23" i="51" s="1"/>
  <c r="A24" i="51" s="1"/>
  <c r="A25" i="51" s="1"/>
  <c r="A26" i="51" s="1"/>
  <c r="A27" i="51" s="1"/>
  <c r="A28" i="51" s="1"/>
  <c r="A29" i="51" s="1"/>
  <c r="F21" i="51"/>
  <c r="I21" i="51" s="1"/>
  <c r="A21" i="51"/>
  <c r="F20" i="51"/>
  <c r="I20" i="51" s="1"/>
  <c r="E19" i="51"/>
  <c r="D122" i="62" l="1"/>
  <c r="D128" i="62"/>
  <c r="K88" i="51"/>
  <c r="O88" i="51" s="1"/>
  <c r="E89" i="51"/>
  <c r="K71" i="51"/>
  <c r="O71" i="51" s="1"/>
  <c r="E72" i="51"/>
  <c r="E55" i="51"/>
  <c r="J37" i="51"/>
  <c r="N37" i="51" s="1"/>
  <c r="I93" i="51"/>
  <c r="I92" i="51"/>
  <c r="I90" i="51"/>
  <c r="I95" i="51"/>
  <c r="I91" i="51"/>
  <c r="I94" i="51"/>
  <c r="I96" i="51"/>
  <c r="I97" i="51"/>
  <c r="I89" i="51"/>
  <c r="I76" i="51"/>
  <c r="I73" i="51"/>
  <c r="I78" i="51"/>
  <c r="I74" i="51"/>
  <c r="I75" i="51"/>
  <c r="I77" i="51"/>
  <c r="I79" i="51"/>
  <c r="I80" i="51"/>
  <c r="H58" i="51"/>
  <c r="H59" i="51" s="1"/>
  <c r="H60" i="51" s="1"/>
  <c r="H61" i="51" s="1"/>
  <c r="H62" i="51" s="1"/>
  <c r="I58" i="51"/>
  <c r="I56" i="51"/>
  <c r="I57" i="51"/>
  <c r="I40" i="51"/>
  <c r="H40" i="51"/>
  <c r="I29" i="51"/>
  <c r="I22" i="51"/>
  <c r="I24" i="51"/>
  <c r="I23" i="51"/>
  <c r="I26" i="51"/>
  <c r="I28" i="51"/>
  <c r="I25" i="51"/>
  <c r="I27" i="51"/>
  <c r="G92" i="51"/>
  <c r="G56" i="51"/>
  <c r="I61" i="51"/>
  <c r="G94" i="51"/>
  <c r="G62" i="51"/>
  <c r="G57" i="51"/>
  <c r="G60" i="51"/>
  <c r="G55" i="51"/>
  <c r="I37" i="51"/>
  <c r="I38" i="51"/>
  <c r="G96" i="51"/>
  <c r="I39" i="51"/>
  <c r="G88" i="51"/>
  <c r="G71" i="51"/>
  <c r="G73" i="51"/>
  <c r="G75" i="51"/>
  <c r="G77" i="51"/>
  <c r="G79" i="51"/>
  <c r="G74" i="51"/>
  <c r="G76" i="51"/>
  <c r="G78" i="51"/>
  <c r="G80" i="51"/>
  <c r="G21" i="51"/>
  <c r="G23" i="51"/>
  <c r="G25" i="51"/>
  <c r="G27" i="51"/>
  <c r="G29" i="51"/>
  <c r="G72" i="51"/>
  <c r="G20" i="51"/>
  <c r="G22" i="51"/>
  <c r="G24" i="51"/>
  <c r="G26" i="51"/>
  <c r="G28" i="51"/>
  <c r="G89" i="51"/>
  <c r="G91" i="51"/>
  <c r="G93" i="51"/>
  <c r="G95" i="51"/>
  <c r="G97" i="51"/>
  <c r="K89" i="51" l="1"/>
  <c r="O89" i="51" s="1"/>
  <c r="J89" i="51"/>
  <c r="N89" i="51" s="1"/>
  <c r="J72" i="51"/>
  <c r="N72" i="51" s="1"/>
  <c r="E73" i="51"/>
  <c r="K72" i="51"/>
  <c r="O72" i="51" s="1"/>
  <c r="K55" i="51"/>
  <c r="O55" i="51" s="1"/>
  <c r="J55" i="51"/>
  <c r="N55" i="51" s="1"/>
  <c r="E38" i="51"/>
  <c r="I62" i="51"/>
  <c r="I60" i="51"/>
  <c r="I59" i="51"/>
  <c r="H63" i="51"/>
  <c r="I63" i="51"/>
  <c r="I41" i="51"/>
  <c r="H41" i="51"/>
  <c r="E90" i="51" l="1"/>
  <c r="J73" i="51"/>
  <c r="N73" i="51" s="1"/>
  <c r="E74" i="51"/>
  <c r="K73" i="51"/>
  <c r="O73" i="51" s="1"/>
  <c r="E56" i="51"/>
  <c r="K38" i="51"/>
  <c r="O38" i="51" s="1"/>
  <c r="J38" i="51"/>
  <c r="N38" i="51" s="1"/>
  <c r="E39" i="51"/>
  <c r="H42" i="51"/>
  <c r="I42" i="51"/>
  <c r="K90" i="51" l="1"/>
  <c r="O90" i="51" s="1"/>
  <c r="J90" i="51"/>
  <c r="N90" i="51" s="1"/>
  <c r="K74" i="51"/>
  <c r="O74" i="51" s="1"/>
  <c r="J74" i="51"/>
  <c r="N74" i="51" s="1"/>
  <c r="K56" i="51"/>
  <c r="O56" i="51" s="1"/>
  <c r="J56" i="51"/>
  <c r="N56" i="51" s="1"/>
  <c r="K39" i="51"/>
  <c r="O39" i="51" s="1"/>
  <c r="J39" i="51"/>
  <c r="N39" i="51" s="1"/>
  <c r="E40" i="51"/>
  <c r="H43" i="51"/>
  <c r="I43" i="51"/>
  <c r="E91" i="51" l="1"/>
  <c r="E75" i="51"/>
  <c r="E57" i="51"/>
  <c r="K40" i="51"/>
  <c r="O40" i="51" s="1"/>
  <c r="J40" i="51"/>
  <c r="N40" i="51" s="1"/>
  <c r="E41" i="51"/>
  <c r="H44" i="51"/>
  <c r="I44" i="51"/>
  <c r="K91" i="51" l="1"/>
  <c r="O91" i="51" s="1"/>
  <c r="J91" i="51"/>
  <c r="N91" i="51" s="1"/>
  <c r="J75" i="51"/>
  <c r="N75" i="51" s="1"/>
  <c r="E76" i="51"/>
  <c r="K75" i="51"/>
  <c r="O75" i="51" s="1"/>
  <c r="K57" i="51"/>
  <c r="O57" i="51" s="1"/>
  <c r="J57" i="51"/>
  <c r="N57" i="51" s="1"/>
  <c r="J41" i="51"/>
  <c r="N41" i="51" s="1"/>
  <c r="K41" i="51"/>
  <c r="O41" i="51" s="1"/>
  <c r="H45" i="51"/>
  <c r="I45" i="51"/>
  <c r="E92" i="51" l="1"/>
  <c r="K76" i="51"/>
  <c r="O76" i="51" s="1"/>
  <c r="J76" i="51"/>
  <c r="N76" i="51" s="1"/>
  <c r="E58" i="51"/>
  <c r="E42" i="51"/>
  <c r="H46" i="51"/>
  <c r="I46" i="51"/>
  <c r="K20" i="51"/>
  <c r="O20" i="51" s="1"/>
  <c r="J20" i="51"/>
  <c r="K92" i="51" l="1"/>
  <c r="O92" i="51" s="1"/>
  <c r="J92" i="51"/>
  <c r="N92" i="51" s="1"/>
  <c r="E77" i="51"/>
  <c r="K58" i="51"/>
  <c r="O58" i="51" s="1"/>
  <c r="J58" i="51"/>
  <c r="N58" i="51" s="1"/>
  <c r="E59" i="51"/>
  <c r="K42" i="51"/>
  <c r="O42" i="51" s="1"/>
  <c r="J42" i="51"/>
  <c r="N42" i="51" s="1"/>
  <c r="N20" i="51"/>
  <c r="K21" i="51"/>
  <c r="O21" i="51" s="1"/>
  <c r="J21" i="51"/>
  <c r="E22" i="51" s="1"/>
  <c r="E93" i="51" l="1"/>
  <c r="K77" i="51"/>
  <c r="O77" i="51" s="1"/>
  <c r="J77" i="51"/>
  <c r="N77" i="51" s="1"/>
  <c r="K59" i="51"/>
  <c r="O59" i="51" s="1"/>
  <c r="J59" i="51"/>
  <c r="N59" i="51" s="1"/>
  <c r="E43" i="51"/>
  <c r="N21" i="51"/>
  <c r="K93" i="51" l="1"/>
  <c r="O93" i="51" s="1"/>
  <c r="J93" i="51"/>
  <c r="N93" i="51" s="1"/>
  <c r="E78" i="51"/>
  <c r="E60" i="51"/>
  <c r="K43" i="51"/>
  <c r="O43" i="51" s="1"/>
  <c r="J43" i="51"/>
  <c r="N43" i="51" s="1"/>
  <c r="K22" i="51"/>
  <c r="O22" i="51" s="1"/>
  <c r="J22" i="51"/>
  <c r="E23" i="51" s="1"/>
  <c r="E94" i="51" l="1"/>
  <c r="K78" i="51"/>
  <c r="O78" i="51" s="1"/>
  <c r="J78" i="51"/>
  <c r="N78" i="51" s="1"/>
  <c r="K60" i="51"/>
  <c r="O60" i="51" s="1"/>
  <c r="J60" i="51"/>
  <c r="N60" i="51" s="1"/>
  <c r="E44" i="51"/>
  <c r="N22" i="51"/>
  <c r="K94" i="51" l="1"/>
  <c r="O94" i="51" s="1"/>
  <c r="J94" i="51"/>
  <c r="N94" i="51" s="1"/>
  <c r="E79" i="51"/>
  <c r="E61" i="51"/>
  <c r="J44" i="51"/>
  <c r="N44" i="51" s="1"/>
  <c r="K44" i="51"/>
  <c r="O44" i="51" s="1"/>
  <c r="K23" i="51"/>
  <c r="O23" i="51" s="1"/>
  <c r="J23" i="51"/>
  <c r="E24" i="51" s="1"/>
  <c r="E95" i="51" l="1"/>
  <c r="K79" i="51"/>
  <c r="O79" i="51" s="1"/>
  <c r="J79" i="51"/>
  <c r="N79" i="51" s="1"/>
  <c r="K61" i="51"/>
  <c r="O61" i="51" s="1"/>
  <c r="J61" i="51"/>
  <c r="N61" i="51" s="1"/>
  <c r="E45" i="51"/>
  <c r="N23" i="51"/>
  <c r="K95" i="51" l="1"/>
  <c r="O95" i="51" s="1"/>
  <c r="J95" i="51"/>
  <c r="N95" i="51" s="1"/>
  <c r="E80" i="51"/>
  <c r="E62" i="51"/>
  <c r="K45" i="51"/>
  <c r="O45" i="51" s="1"/>
  <c r="J45" i="51"/>
  <c r="N45" i="51" s="1"/>
  <c r="K24" i="51"/>
  <c r="O24" i="51" s="1"/>
  <c r="J24" i="51"/>
  <c r="E25" i="51" s="1"/>
  <c r="E96" i="51" l="1"/>
  <c r="L80" i="51"/>
  <c r="P80" i="51" s="1"/>
  <c r="B82" i="51" s="1"/>
  <c r="B108" i="52" s="1"/>
  <c r="K80" i="51"/>
  <c r="O80" i="51" s="1"/>
  <c r="K62" i="51"/>
  <c r="O62" i="51" s="1"/>
  <c r="J62" i="51"/>
  <c r="N62" i="51" s="1"/>
  <c r="E46" i="51"/>
  <c r="N24" i="51"/>
  <c r="K96" i="51" l="1"/>
  <c r="O96" i="51" s="1"/>
  <c r="J96" i="51"/>
  <c r="N96" i="51" s="1"/>
  <c r="E63" i="51"/>
  <c r="L46" i="51"/>
  <c r="P46" i="51" s="1"/>
  <c r="K46" i="51"/>
  <c r="O46" i="51" s="1"/>
  <c r="K25" i="51"/>
  <c r="O25" i="51" s="1"/>
  <c r="J25" i="51"/>
  <c r="E26" i="51" s="1"/>
  <c r="E97" i="51" l="1"/>
  <c r="L63" i="51"/>
  <c r="P63" i="51" s="1"/>
  <c r="K63" i="51"/>
  <c r="O63" i="51" s="1"/>
  <c r="B48" i="51"/>
  <c r="B106" i="52" s="1"/>
  <c r="N25" i="51"/>
  <c r="L97" i="51" l="1"/>
  <c r="P97" i="51" s="1"/>
  <c r="K97" i="51"/>
  <c r="O97" i="51" s="1"/>
  <c r="B65" i="51"/>
  <c r="B107" i="52" s="1"/>
  <c r="J26" i="51"/>
  <c r="E27" i="51" s="1"/>
  <c r="K26" i="51"/>
  <c r="O26" i="51" s="1"/>
  <c r="B99" i="51" l="1"/>
  <c r="B109" i="52" s="1"/>
  <c r="N26" i="51"/>
  <c r="K27" i="51" l="1"/>
  <c r="O27" i="51" s="1"/>
  <c r="J27" i="51"/>
  <c r="E28" i="51" s="1"/>
  <c r="N27" i="51" l="1"/>
  <c r="K28" i="51" l="1"/>
  <c r="O28" i="51" s="1"/>
  <c r="J28" i="51"/>
  <c r="E29" i="51" s="1"/>
  <c r="N28" i="51" l="1"/>
  <c r="L29" i="51" l="1"/>
  <c r="P29" i="51" s="1"/>
  <c r="K29" i="51"/>
  <c r="O29" i="51" s="1"/>
  <c r="B31" i="51" s="1"/>
  <c r="B105" i="52" s="1"/>
  <c r="G10" i="52" l="1"/>
  <c r="G13" i="5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<sst xmlns="http://schemas.openxmlformats.org/spreadsheetml/2006/main" count="509" uniqueCount="298">
  <si>
    <t>SLIC</t>
  </si>
  <si>
    <t>AHA</t>
  </si>
  <si>
    <t>Pryde</t>
  </si>
  <si>
    <t>Helios</t>
  </si>
  <si>
    <t>Income Statement (000s)</t>
  </si>
  <si>
    <t>Premiums &amp; Policy Fees</t>
  </si>
  <si>
    <t>Investment Income</t>
  </si>
  <si>
    <t>TOTAL REVENUE</t>
  </si>
  <si>
    <t>Property and casualty losses and loss expense</t>
  </si>
  <si>
    <t>Life, accident and health benefits</t>
  </si>
  <si>
    <t>Other expenses</t>
  </si>
  <si>
    <t>TOTAL EXPENSES</t>
  </si>
  <si>
    <t>Income Before Income Tax</t>
  </si>
  <si>
    <t>Income Tax</t>
  </si>
  <si>
    <t>Net Income</t>
  </si>
  <si>
    <t>Balance Sheet (000s)</t>
  </si>
  <si>
    <t>General account assets</t>
  </si>
  <si>
    <t>Separate account assets</t>
  </si>
  <si>
    <t>Total Assets</t>
  </si>
  <si>
    <t>Property and casualty loss and other liabilities</t>
  </si>
  <si>
    <t>Separate account liabilities</t>
  </si>
  <si>
    <t>Future policy benefits and claims, other liabilities</t>
  </si>
  <si>
    <t>Other liabilities</t>
  </si>
  <si>
    <t>Total Liabilities</t>
  </si>
  <si>
    <t>Surplus</t>
  </si>
  <si>
    <t>Total Liabilities and Surplus</t>
  </si>
  <si>
    <t>Additional Balance Sheet Information</t>
  </si>
  <si>
    <t>Dividend/Capital Transfer from/(to) Lyon</t>
  </si>
  <si>
    <t>Economic Capital</t>
  </si>
  <si>
    <t>* Excluding investments in subsidiaries</t>
  </si>
  <si>
    <t>TOTAL</t>
  </si>
  <si>
    <t>Statutory Income Statement (000s)</t>
  </si>
  <si>
    <t xml:space="preserve">    Ceded Premiums</t>
  </si>
  <si>
    <t>Net Investment Income</t>
  </si>
  <si>
    <t>Total Revenue</t>
  </si>
  <si>
    <t>Surrender &amp; Annuity Benefits</t>
  </si>
  <si>
    <t>Death Benefits</t>
  </si>
  <si>
    <t xml:space="preserve">    Ceded Benefits</t>
  </si>
  <si>
    <t>Increase in Net Reserves</t>
  </si>
  <si>
    <t>Expenses</t>
  </si>
  <si>
    <t>Net Transfers to/(from) Separate Account</t>
  </si>
  <si>
    <t>Total Benefits &amp; Expenses</t>
  </si>
  <si>
    <t>Federal Income Tax</t>
  </si>
  <si>
    <t>Statutory Balance Sheet (000s)</t>
  </si>
  <si>
    <t>Net General Account Reserve Liabilities</t>
  </si>
  <si>
    <t>Separate Account Liabilities</t>
  </si>
  <si>
    <t>Dividend/Capital Transfer (to)/from Lyon</t>
  </si>
  <si>
    <t>Economic Capital Balance Sheet (000s)</t>
  </si>
  <si>
    <t>Market Value of Assets</t>
  </si>
  <si>
    <t>Economic Reserve</t>
  </si>
  <si>
    <t>Required Economic Capital</t>
  </si>
  <si>
    <t>Surplus Transfer from/(to) Corporate</t>
  </si>
  <si>
    <t>Combined
Financials</t>
  </si>
  <si>
    <t>Lyon 
Corporate *</t>
  </si>
  <si>
    <t>Excess Capital</t>
  </si>
  <si>
    <t xml:space="preserve">  RBC Ratio**</t>
  </si>
  <si>
    <t>** RBC Ratio reduced by any dividend to Lyon paid in following year</t>
  </si>
  <si>
    <t xml:space="preserve">  RBC Ratio*</t>
  </si>
  <si>
    <t>Consolidated Statement of Income</t>
  </si>
  <si>
    <t>in millions of euros</t>
  </si>
  <si>
    <t>Interest income</t>
  </si>
  <si>
    <t>Interest expense</t>
  </si>
  <si>
    <t>Net interest income</t>
  </si>
  <si>
    <t>Provision for credit losses</t>
  </si>
  <si>
    <t>Net interest income after provision for credit losses</t>
  </si>
  <si>
    <t>Commissions and fee income</t>
  </si>
  <si>
    <t>Net gains (losses) on financial assets/liabilities at fair value through profit or loss</t>
  </si>
  <si>
    <t>Net gains (losses) on financial assets available for sale</t>
  </si>
  <si>
    <t>Net income (loss) from equity method investments</t>
  </si>
  <si>
    <t>Other income (loss)</t>
  </si>
  <si>
    <t>Total noninterest income</t>
  </si>
  <si>
    <t>Compensation and benefits</t>
  </si>
  <si>
    <t>General and administrative expenses</t>
  </si>
  <si>
    <t>Impairment of goodwill and other intangible assets</t>
  </si>
  <si>
    <t>Restructuring activities</t>
  </si>
  <si>
    <t>Total noninterest expenses</t>
  </si>
  <si>
    <t>Income (loss) before income taxes</t>
  </si>
  <si>
    <t>Income tax expense</t>
  </si>
  <si>
    <t>Net income (loss)</t>
  </si>
  <si>
    <t>.</t>
  </si>
  <si>
    <t>Consolidated Balance Sheet</t>
  </si>
  <si>
    <t>Assets:</t>
  </si>
  <si>
    <t>Cash and central bank balances</t>
  </si>
  <si>
    <t>Interbank balances (w/o central banks)</t>
  </si>
  <si>
    <t xml:space="preserve">Central bank funds sold and securities purchased under resale agreements </t>
  </si>
  <si>
    <t>Securities borrowed</t>
  </si>
  <si>
    <t>Financial assets at fair value through profit or loss</t>
  </si>
  <si>
    <t xml:space="preserve">  Trading assets</t>
  </si>
  <si>
    <t xml:space="preserve">  Positive market values from derivative financial instruments </t>
  </si>
  <si>
    <t xml:space="preserve">  Financial assets designated at fair value through profit or loss</t>
  </si>
  <si>
    <t>Total financial assets at fair value through profit or loss</t>
  </si>
  <si>
    <t xml:space="preserve">Financial assets available for sale </t>
  </si>
  <si>
    <t xml:space="preserve">Equity method investments </t>
  </si>
  <si>
    <t>Loans</t>
  </si>
  <si>
    <t xml:space="preserve">Securities held to maturity </t>
  </si>
  <si>
    <t>Property and equipment</t>
  </si>
  <si>
    <t xml:space="preserve">Goodwill and other intangible assets </t>
  </si>
  <si>
    <t>Other assets</t>
  </si>
  <si>
    <t>Assets for current tax</t>
  </si>
  <si>
    <t>Deferred tax assets</t>
  </si>
  <si>
    <t>Total assets</t>
  </si>
  <si>
    <t>Liabilities and equity:</t>
  </si>
  <si>
    <t>Deposits</t>
  </si>
  <si>
    <t xml:space="preserve">Central bank funds purchased and securities sold under repurchase agreements </t>
  </si>
  <si>
    <t>Securities loaned</t>
  </si>
  <si>
    <t>Financial liabilities at fair value through profit or loss</t>
  </si>
  <si>
    <t xml:space="preserve">  Trading liabilities</t>
  </si>
  <si>
    <t xml:space="preserve">  Negative market values from derivative financial instruments</t>
  </si>
  <si>
    <t xml:space="preserve">  Financial liabilities designated at fair value through profit or loss </t>
  </si>
  <si>
    <t xml:space="preserve">  Investment contract liabilities</t>
  </si>
  <si>
    <t xml:space="preserve">Total financial liabilities at fair value through profit or loss </t>
  </si>
  <si>
    <t>Other short-term borrowings</t>
  </si>
  <si>
    <t>Provisions</t>
  </si>
  <si>
    <t>Liabilities for current tax</t>
  </si>
  <si>
    <t>Deferred tax liabilities</t>
  </si>
  <si>
    <t>Long-term debt</t>
  </si>
  <si>
    <t>Trust preferred securities</t>
  </si>
  <si>
    <t>Total liabilities</t>
  </si>
  <si>
    <t>Common shares, valued at nominal value per share</t>
  </si>
  <si>
    <t>Additional paid-in capital</t>
  </si>
  <si>
    <t>Retained earnings</t>
  </si>
  <si>
    <t xml:space="preserve">Accumulated other comprehensive income (loss), net of tax </t>
  </si>
  <si>
    <t>Total shareholders’ equity</t>
  </si>
  <si>
    <t>Additional equity components</t>
  </si>
  <si>
    <t>Noncontrolling interests</t>
  </si>
  <si>
    <t>Total equity</t>
  </si>
  <si>
    <t>Total liabilities and equity</t>
  </si>
  <si>
    <t>Dec 31, 2020</t>
  </si>
  <si>
    <t>Big Ben – Annual Report 2021</t>
  </si>
  <si>
    <t>Dec 31, 2021</t>
  </si>
  <si>
    <t xml:space="preserve">      Note:  SLIC and Pryde use Company Action Level RBC; AHA uses Authorized Control Level RBC</t>
  </si>
  <si>
    <t>2021 FINANCIAL STATEMENTS</t>
  </si>
  <si>
    <t>* RBC Ratio reduced by any dividend to Lyon paid in following year</t>
  </si>
  <si>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</si>
  <si>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</si>
  <si>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</si>
  <si>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</si>
  <si>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</si>
  <si>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</si>
  <si>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>Volatility</t>
  </si>
  <si>
    <t>Earned Premiums</t>
  </si>
  <si>
    <t xml:space="preserve">    Health benefits</t>
  </si>
  <si>
    <t xml:space="preserve">    General expenses</t>
  </si>
  <si>
    <t>Total Expenses</t>
  </si>
  <si>
    <t>Liability for unpaid claims and claim adjustment expenses</t>
  </si>
  <si>
    <t>Other Liabilities</t>
  </si>
  <si>
    <t>Additional Metrics</t>
  </si>
  <si>
    <t>Enrollment (000s)</t>
  </si>
  <si>
    <t>Members</t>
  </si>
  <si>
    <t>Member Months</t>
  </si>
  <si>
    <t>Utilization (per 1,000 members)</t>
  </si>
  <si>
    <t>Physician Visits</t>
  </si>
  <si>
    <t>Hospital Days</t>
  </si>
  <si>
    <t>Underwriting Income</t>
  </si>
  <si>
    <t>Premiums earned</t>
  </si>
  <si>
    <t>Losses and loss adjustment expenses incurred</t>
  </si>
  <si>
    <t>Net Underwriting Gain (loss)</t>
  </si>
  <si>
    <t>Losses and loss adjustment expenses</t>
  </si>
  <si>
    <t>Unearned Premium</t>
  </si>
  <si>
    <t>Mean</t>
  </si>
  <si>
    <t>Unit S(0)</t>
  </si>
  <si>
    <t>Initial deposit</t>
  </si>
  <si>
    <t>Discount rate</t>
  </si>
  <si>
    <t>Management charge</t>
  </si>
  <si>
    <t>in bps</t>
  </si>
  <si>
    <t>Mortality Rate</t>
  </si>
  <si>
    <t>Scenario 96</t>
  </si>
  <si>
    <t>Year (T)</t>
  </si>
  <si>
    <t>Scenario U(0,1)</t>
  </si>
  <si>
    <t>Normal (0,1)</t>
  </si>
  <si>
    <t>S(T)</t>
  </si>
  <si>
    <t>Account value</t>
  </si>
  <si>
    <t>Qx</t>
  </si>
  <si>
    <t>Px</t>
  </si>
  <si>
    <t>Persistency</t>
  </si>
  <si>
    <t>Mortality incidence</t>
  </si>
  <si>
    <t>Management charge (in $)</t>
  </si>
  <si>
    <t>GMDB cashflow</t>
  </si>
  <si>
    <t>GMAB Cashflow</t>
  </si>
  <si>
    <t>Discounting factor</t>
  </si>
  <si>
    <t>Expected discounted management charge</t>
  </si>
  <si>
    <t>GMDB expected discounted cashflow</t>
  </si>
  <si>
    <t>GMAB expected discounted cashflow</t>
  </si>
  <si>
    <t>Liability</t>
  </si>
  <si>
    <t>Scenario 97</t>
  </si>
  <si>
    <t>Scenario 98</t>
  </si>
  <si>
    <t>Scenario 99</t>
  </si>
  <si>
    <t>Scenario 100</t>
  </si>
  <si>
    <t>Part (a)</t>
  </si>
  <si>
    <t>Scenario</t>
  </si>
  <si>
    <t>Rank</t>
  </si>
  <si>
    <t xml:space="preserve">CTE (0) </t>
  </si>
  <si>
    <t>CTE(95)</t>
  </si>
  <si>
    <t>Solution</t>
  </si>
  <si>
    <t>Annual Claim Losses                         Normal Distribution</t>
  </si>
  <si>
    <t>Line of Business</t>
  </si>
  <si>
    <t>Annual Loss Mean ($M)</t>
  </si>
  <si>
    <t>Annual Loss Standard Deviation ($M)</t>
  </si>
  <si>
    <t>Risk Tolerance of Losses ($M)</t>
  </si>
  <si>
    <t>P(Annual Loss &lt; Risk Tolerance)</t>
  </si>
  <si>
    <t>P(Annual Loss &gt; Risk Tolerance)</t>
  </si>
  <si>
    <t>Solution Reference</t>
  </si>
  <si>
    <t>Auto Liability</t>
  </si>
  <si>
    <t>Part (a) (i)</t>
  </si>
  <si>
    <t>Property</t>
  </si>
  <si>
    <t>P(At Least One Annual Loss &gt; Risk Tolerance)</t>
  </si>
  <si>
    <r>
      <t>C(u</t>
    </r>
    <r>
      <rPr>
        <vertAlign val="subscript"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>, u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) = (u</t>
    </r>
    <r>
      <rPr>
        <vertAlign val="subscript"/>
        <sz val="11"/>
        <color theme="1"/>
        <rFont val="Times New Roman"/>
        <family val="1"/>
      </rPr>
      <t>1</t>
    </r>
    <r>
      <rPr>
        <vertAlign val="superscript"/>
        <sz val="11"/>
        <color theme="1"/>
        <rFont val="Times New Roman"/>
        <family val="1"/>
      </rPr>
      <t>-2</t>
    </r>
    <r>
      <rPr>
        <sz val="11"/>
        <color theme="1"/>
        <rFont val="Times New Roman"/>
        <family val="1"/>
      </rPr>
      <t xml:space="preserve"> + u</t>
    </r>
    <r>
      <rPr>
        <vertAlign val="subscript"/>
        <sz val="11"/>
        <color theme="1"/>
        <rFont val="Times New Roman"/>
        <family val="1"/>
      </rPr>
      <t>2</t>
    </r>
    <r>
      <rPr>
        <vertAlign val="superscript"/>
        <sz val="11"/>
        <color theme="1"/>
        <rFont val="Times New Roman"/>
        <family val="1"/>
      </rPr>
      <t>-2</t>
    </r>
    <r>
      <rPr>
        <sz val="11"/>
        <color theme="1"/>
        <rFont val="Times New Roman"/>
        <family val="1"/>
      </rPr>
      <t xml:space="preserve"> – 1)</t>
    </r>
    <r>
      <rPr>
        <vertAlign val="superscript"/>
        <sz val="11"/>
        <color theme="1"/>
        <rFont val="Times New Roman"/>
        <family val="1"/>
      </rPr>
      <t>-1/2</t>
    </r>
  </si>
  <si>
    <t>Part (a) (ii)</t>
  </si>
  <si>
    <t>Answers to be provided starting in row 115</t>
  </si>
  <si>
    <t>Loss Amounts in $millions</t>
  </si>
  <si>
    <t>Record</t>
  </si>
  <si>
    <t>Simulation #</t>
  </si>
  <si>
    <t>All Lines Combined</t>
  </si>
  <si>
    <t>Part b(i)</t>
  </si>
  <si>
    <t>Sum top 40</t>
  </si>
  <si>
    <t>Co-TVAR</t>
  </si>
  <si>
    <t>Percent of total Co-TVAR</t>
  </si>
  <si>
    <t>Total Capital by line</t>
  </si>
  <si>
    <t>Part b(ii)</t>
  </si>
  <si>
    <t>RAROC for Auto</t>
  </si>
  <si>
    <t>RAROC for Property</t>
  </si>
  <si>
    <t>Part b(iii)</t>
  </si>
  <si>
    <t>EVA for Auto</t>
  </si>
  <si>
    <t>EVA for Property</t>
  </si>
  <si>
    <t>Available Economic Capital</t>
  </si>
  <si>
    <t>P(L &lt; = 45)= Φ((45-40) / 5) = Φ(1.0) = .841</t>
  </si>
  <si>
    <t>P(L &lt; =210)= Φ((210-200) / 20) = Φ(.5) = .691</t>
  </si>
  <si>
    <t>Auto Liabilty</t>
  </si>
  <si>
    <t>Y:</t>
  </si>
  <si>
    <t>Goal Seek to get 2</t>
  </si>
  <si>
    <t>Risk Budget:</t>
  </si>
  <si>
    <t>So equity portfolio has $5.1M and bond portfolio has $44.9M</t>
  </si>
  <si>
    <t>The equation has the solution:  y=4.4</t>
  </si>
  <si>
    <t>Risk budget = 2 = sqrt((y*0.15)^2 + ((50-y)*0.0394)^2 + 2*0.1*(y*0.15)*( (50-y)*0.0394))</t>
  </si>
  <si>
    <t>Step 2: Assume $y million will be allocated to equity</t>
  </si>
  <si>
    <t>and for the bond portfolio this is 1.97/50 =</t>
  </si>
  <si>
    <t xml:space="preserve">For the equity portfolio this is 0.15, </t>
  </si>
  <si>
    <t>Step 1: First to calculate the VaR per dollar invested in bond portfolio</t>
  </si>
  <si>
    <t>Part ( b )</t>
  </si>
  <si>
    <t>=1.97</t>
  </si>
  <si>
    <t>=SQRT{3.8687}</t>
  </si>
  <si>
    <t>x</t>
  </si>
  <si>
    <t xml:space="preserve">Portfolio VaR = </t>
  </si>
  <si>
    <t>Step 3: The VaR can be calculated by multiplying the vector through the correlation matrix (Σ)</t>
  </si>
  <si>
    <t>36.21 × 4.2% =1.5523</t>
  </si>
  <si>
    <t>6.65 × 3.9% = 0.2613</t>
  </si>
  <si>
    <t>7.14 × 3.4% = 0.2424</t>
  </si>
  <si>
    <t>Calculation</t>
  </si>
  <si>
    <t>Individual VaR</t>
  </si>
  <si>
    <t>Year</t>
  </si>
  <si>
    <t>Step 2: Next, individual VaRs can be calculated as risk factor % × discounted cash flow</t>
  </si>
  <si>
    <t>40×1.05 ×0.8621 = 36.21</t>
  </si>
  <si>
    <t>(5×1.04+40×0.05) ×0.9242 = 6.70</t>
  </si>
  <si>
    <t xml:space="preserve"> </t>
  </si>
  <si>
    <t>(5×1.03+5×0.04+40×0.05)×0.9709 = 7.13</t>
  </si>
  <si>
    <t>Discounted cash flow</t>
  </si>
  <si>
    <t>3 Yr Bond</t>
  </si>
  <si>
    <t>2 Yr Bond</t>
  </si>
  <si>
    <t>1 Yr Bond</t>
  </si>
  <si>
    <t>Bond bought</t>
  </si>
  <si>
    <t>Total $:</t>
  </si>
  <si>
    <t xml:space="preserve">Step 1: Calculate discounted cash flows for each year can be calculated as CF*discount factor to get </t>
  </si>
  <si>
    <t>3Y</t>
  </si>
  <si>
    <t>2Y</t>
  </si>
  <si>
    <t>1Y</t>
  </si>
  <si>
    <t>Correlation Matrix</t>
  </si>
  <si>
    <t>DF Validation</t>
  </si>
  <si>
    <t>Undiversified Individual 1-Year Horizon VaR (95%) per $</t>
  </si>
  <si>
    <t>Discount Factor</t>
  </si>
  <si>
    <t>3-Year 
Bond</t>
  </si>
  <si>
    <t>2-Year 
Bond</t>
  </si>
  <si>
    <t>1-Year 
Bond</t>
  </si>
  <si>
    <t>Expected Cash Flow (Per $100 Par Value</t>
  </si>
  <si>
    <t xml:space="preserve">Value of the option: </t>
  </si>
  <si>
    <t>d2</t>
  </si>
  <si>
    <t>d1</t>
  </si>
  <si>
    <t>P(0,T) = Discount Factor</t>
  </si>
  <si>
    <t>T = Time to Maturity</t>
  </si>
  <si>
    <t>Sigma = Volatility</t>
  </si>
  <si>
    <t>K = Strike Price</t>
  </si>
  <si>
    <t>F(b) = Spot Price in 1 Year</t>
  </si>
  <si>
    <t>S0 = Spot Price</t>
  </si>
  <si>
    <t>r = Risk Free Rate</t>
  </si>
  <si>
    <t>d2 = d1 - sigma x T^.5</t>
  </si>
  <si>
    <t>d1 = [ln(F(b) / K) + sigma^2 x T / 2] / [sigma x T^.5]</t>
  </si>
  <si>
    <t>Value of Call Option = P(0,T) x ln(F(b) N(d1) - K N(d2))</t>
  </si>
  <si>
    <t>Part (f)(i)</t>
  </si>
  <si>
    <t>Discounted Value of Net Payment</t>
  </si>
  <si>
    <t>Net Payment in Year 5</t>
  </si>
  <si>
    <t>Floating Swap Leg Payment</t>
  </si>
  <si>
    <t>Fixed Swap Leg Payment</t>
  </si>
  <si>
    <t>Difference</t>
  </si>
  <si>
    <t>PV(Bond) if the Risk Free Rate falls by 1%</t>
  </si>
  <si>
    <t>PV(Bond)</t>
  </si>
  <si>
    <t>Plan Liability in 5 Years</t>
  </si>
  <si>
    <t>Years</t>
  </si>
  <si>
    <t>Risk Free Rate</t>
  </si>
  <si>
    <t>Part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</si>
</sst>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  <numFmt numFmtId="165" formatCode="0;\(0\)"/>
    <numFmt numFmtId="166" formatCode="#,##0;\(#,##0\)"/>
    <numFmt numFmtId="167" formatCode="mm/dd/yy;@"/>
    <numFmt numFmtId="168" formatCode="_(* #,##0.0_);_(* \(#,##0.0\);_(* &quot;-&quot;??_);_(@_)"/>
    <numFmt numFmtId="169" formatCode="0.0%"/>
    <numFmt numFmtId="170" formatCode="0.000"/>
    <numFmt numFmtId="171" formatCode="0.0000"/>
    <numFmt numFmtId="172" formatCode="0.00000"/>
    <numFmt numFmtId="173" formatCode="0.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i/>
      <sz val="11"/>
      <color rgb="FFFF0000"/>
      <name val="Times New Roman"/>
      <family val="1"/>
    </font>
    <font>
      <i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u/>
      <sz val="11"/>
      <color theme="1"/>
      <name val="Times New Roman"/>
      <family val="1"/>
    </font>
    <font>
      <sz val="11"/>
      <color rgb="FF0070C0"/>
      <name val="Times New Roman"/>
      <family val="1"/>
    </font>
    <font>
      <vertAlign val="subscript"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b/>
      <sz val="11"/>
      <color rgb="FF0070C0"/>
      <name val="Times New Roman"/>
      <family val="1"/>
    </font>
    <font>
      <b/>
      <i/>
      <sz val="11"/>
      <color theme="1"/>
      <name val="Times New Roman"/>
      <family val="1"/>
    </font>
    <font>
      <u/>
      <sz val="11"/>
      <color rgb="FF0000FF"/>
      <name val="Times New Roman"/>
      <family val="1"/>
    </font>
    <font>
      <sz val="11"/>
      <color rgb="FF1A1A1A"/>
      <name val="Times New Roman"/>
      <family val="1"/>
    </font>
    <font>
      <b/>
      <sz val="11"/>
      <color rgb="FF0018A8"/>
      <name val="Times New Roman"/>
      <family val="1"/>
    </font>
    <font>
      <i/>
      <sz val="11"/>
      <name val="Times New Roman"/>
      <family val="1"/>
    </font>
    <font>
      <sz val="11"/>
      <color rgb="FF888888"/>
      <name val="Times New Roman"/>
      <family val="1"/>
    </font>
    <font>
      <b/>
      <sz val="11"/>
      <color rgb="FFC00000"/>
      <name val="Times New Roman"/>
      <family val="1"/>
    </font>
    <font>
      <u val="singleAccounting"/>
      <sz val="11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11"/>
      <color rgb="FF0070C0"/>
      <name val="Calibri"/>
      <family val="2"/>
      <scheme val="minor"/>
    </font>
    <font>
      <b/>
      <sz val="10"/>
      <color rgb="FF0070C0"/>
      <name val="Arial"/>
      <family val="2"/>
    </font>
    <font>
      <sz val="11"/>
      <color rgb="FF0070C0"/>
      <name val="Calibri"/>
      <family val="2"/>
      <scheme val="minor"/>
    </font>
    <font>
      <i/>
      <sz val="12"/>
      <color theme="1"/>
      <name val="Times New Roman"/>
      <family val="1"/>
    </font>
    <font>
      <b/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medium">
        <color indexed="64"/>
      </right>
      <top/>
      <bottom/>
      <diagonal/>
    </border>
    <border>
      <left/>
      <right style="thick">
        <color rgb="FFFFFFFF"/>
      </right>
      <top/>
      <bottom style="medium">
        <color rgb="FF888888"/>
      </bottom>
      <diagonal/>
    </border>
    <border>
      <left style="medium">
        <color indexed="64"/>
      </left>
      <right style="thick">
        <color rgb="FFFFFFFF"/>
      </right>
      <top style="thin">
        <color rgb="FF888888"/>
      </top>
      <bottom style="thin">
        <color rgb="FF888888"/>
      </bottom>
      <diagonal/>
    </border>
    <border>
      <left style="thick">
        <color rgb="FFFFFFFF"/>
      </left>
      <right style="thick">
        <color rgb="FFFFFFFF"/>
      </right>
      <top style="thin">
        <color rgb="FF888888"/>
      </top>
      <bottom style="thin">
        <color rgb="FF888888"/>
      </bottom>
      <diagonal/>
    </border>
    <border>
      <left style="thick">
        <color rgb="FFFFFFFF"/>
      </left>
      <right style="medium">
        <color indexed="64"/>
      </right>
      <top style="thin">
        <color rgb="FF888888"/>
      </top>
      <bottom style="thin">
        <color rgb="FF888888"/>
      </bottom>
      <diagonal/>
    </border>
    <border>
      <left style="medium">
        <color indexed="64"/>
      </left>
      <right style="thick">
        <color rgb="FFFFFFFF"/>
      </right>
      <top style="thin">
        <color rgb="FF888888"/>
      </top>
      <bottom style="medium">
        <color rgb="FF000001"/>
      </bottom>
      <diagonal/>
    </border>
    <border>
      <left style="thick">
        <color rgb="FFFFFFFF"/>
      </left>
      <right style="thick">
        <color rgb="FFFFFFFF"/>
      </right>
      <top style="thin">
        <color rgb="FF888888"/>
      </top>
      <bottom style="medium">
        <color rgb="FF000001"/>
      </bottom>
      <diagonal/>
    </border>
    <border>
      <left style="thick">
        <color rgb="FFFFFFFF"/>
      </left>
      <right style="medium">
        <color indexed="64"/>
      </right>
      <top style="thin">
        <color rgb="FF888888"/>
      </top>
      <bottom style="medium">
        <color rgb="FF000001"/>
      </bottom>
      <diagonal/>
    </border>
    <border>
      <left style="medium">
        <color indexed="64"/>
      </left>
      <right style="thick">
        <color rgb="FFFFFFFF"/>
      </right>
      <top/>
      <bottom style="thin">
        <color rgb="FF888888"/>
      </bottom>
      <diagonal/>
    </border>
    <border>
      <left style="medium">
        <color indexed="64"/>
      </left>
      <right style="thick">
        <color rgb="FFFFFFFF"/>
      </right>
      <top/>
      <bottom style="medium">
        <color rgb="FF000001"/>
      </bottom>
      <diagonal/>
    </border>
    <border>
      <left style="thick">
        <color rgb="FFFFFFFF"/>
      </left>
      <right style="thick">
        <color rgb="FFFFFFFF"/>
      </right>
      <top style="medium">
        <color rgb="FF000001"/>
      </top>
      <bottom style="medium">
        <color rgb="FF000001"/>
      </bottom>
      <diagonal/>
    </border>
    <border>
      <left style="thick">
        <color rgb="FFFFFFFF"/>
      </left>
      <right style="medium">
        <color indexed="64"/>
      </right>
      <top style="medium">
        <color rgb="FF000001"/>
      </top>
      <bottom style="medium">
        <color rgb="FF000001"/>
      </bottom>
      <diagonal/>
    </border>
    <border>
      <left style="medium">
        <color indexed="64"/>
      </left>
      <right style="thick">
        <color rgb="FFFFFFFF"/>
      </right>
      <top style="medium">
        <color rgb="FF000001"/>
      </top>
      <bottom style="medium">
        <color rgb="FF000001"/>
      </bottom>
      <diagonal/>
    </border>
    <border>
      <left style="medium">
        <color indexed="64"/>
      </left>
      <right style="thick">
        <color indexed="9"/>
      </right>
      <top/>
      <bottom/>
      <diagonal/>
    </border>
    <border>
      <left style="medium">
        <color indexed="64"/>
      </left>
      <right style="thick">
        <color indexed="9"/>
      </right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rgb="FF50505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 style="medium">
        <color indexed="64"/>
      </left>
      <right/>
      <top/>
      <bottom style="medium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29" fillId="0" borderId="0"/>
  </cellStyleXfs>
  <cellXfs count="292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37" fontId="4" fillId="0" borderId="0" xfId="0" applyNumberFormat="1" applyFont="1"/>
    <xf numFmtId="37" fontId="4" fillId="0" borderId="0" xfId="1" applyNumberFormat="1" applyFont="1" applyFill="1" applyBorder="1"/>
    <xf numFmtId="0" fontId="7" fillId="0" borderId="0" xfId="0" applyFont="1"/>
    <xf numFmtId="37" fontId="7" fillId="0" borderId="0" xfId="1" applyNumberFormat="1" applyFont="1" applyFill="1" applyBorder="1"/>
    <xf numFmtId="0" fontId="8" fillId="0" borderId="0" xfId="0" applyFont="1"/>
    <xf numFmtId="0" fontId="4" fillId="0" borderId="0" xfId="0" applyFont="1" applyAlignment="1">
      <alignment vertical="center"/>
    </xf>
    <xf numFmtId="37" fontId="4" fillId="0" borderId="0" xfId="1" applyNumberFormat="1" applyFont="1"/>
    <xf numFmtId="37" fontId="4" fillId="0" borderId="0" xfId="1" quotePrefix="1" applyNumberFormat="1" applyFont="1"/>
    <xf numFmtId="37" fontId="5" fillId="0" borderId="0" xfId="1" applyNumberFormat="1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/>
    <xf numFmtId="9" fontId="4" fillId="0" borderId="0" xfId="2" applyFont="1"/>
    <xf numFmtId="164" fontId="4" fillId="0" borderId="0" xfId="1" applyNumberFormat="1" applyFont="1"/>
    <xf numFmtId="0" fontId="12" fillId="0" borderId="0" xfId="0" applyFont="1"/>
    <xf numFmtId="0" fontId="4" fillId="3" borderId="0" xfId="0" applyFont="1" applyFill="1"/>
    <xf numFmtId="0" fontId="6" fillId="0" borderId="0" xfId="0" applyFont="1" applyAlignment="1">
      <alignment wrapText="1"/>
    </xf>
    <xf numFmtId="9" fontId="7" fillId="0" borderId="0" xfId="2" applyFont="1" applyFill="1" applyBorder="1"/>
    <xf numFmtId="0" fontId="4" fillId="0" borderId="0" xfId="0" applyFont="1" applyAlignment="1">
      <alignment wrapText="1"/>
    </xf>
    <xf numFmtId="0" fontId="8" fillId="0" borderId="0" xfId="0" applyFont="1" applyAlignment="1">
      <alignment wrapText="1"/>
    </xf>
    <xf numFmtId="9" fontId="6" fillId="0" borderId="0" xfId="2" applyFont="1" applyFill="1" applyBorder="1"/>
    <xf numFmtId="37" fontId="5" fillId="0" borderId="0" xfId="0" applyNumberFormat="1" applyFont="1"/>
    <xf numFmtId="0" fontId="13" fillId="0" borderId="0" xfId="0" applyFont="1"/>
    <xf numFmtId="0" fontId="14" fillId="0" borderId="0" xfId="0" applyFont="1"/>
    <xf numFmtId="0" fontId="5" fillId="5" borderId="40" xfId="0" applyFont="1" applyFill="1" applyBorder="1"/>
    <xf numFmtId="10" fontId="4" fillId="4" borderId="40" xfId="0" applyNumberFormat="1" applyFont="1" applyFill="1" applyBorder="1"/>
    <xf numFmtId="0" fontId="4" fillId="4" borderId="40" xfId="0" applyFont="1" applyFill="1" applyBorder="1"/>
    <xf numFmtId="3" fontId="4" fillId="4" borderId="40" xfId="0" applyNumberFormat="1" applyFont="1" applyFill="1" applyBorder="1"/>
    <xf numFmtId="3" fontId="5" fillId="0" borderId="0" xfId="0" applyNumberFormat="1" applyFont="1"/>
    <xf numFmtId="0" fontId="5" fillId="6" borderId="40" xfId="0" applyFont="1" applyFill="1" applyBorder="1" applyAlignment="1">
      <alignment horizontal="center" wrapText="1"/>
    </xf>
    <xf numFmtId="0" fontId="6" fillId="0" borderId="40" xfId="0" applyFont="1" applyBorder="1"/>
    <xf numFmtId="3" fontId="4" fillId="7" borderId="40" xfId="0" applyNumberFormat="1" applyFont="1" applyFill="1" applyBorder="1"/>
    <xf numFmtId="170" fontId="6" fillId="0" borderId="40" xfId="0" applyNumberFormat="1" applyFont="1" applyBorder="1"/>
    <xf numFmtId="3" fontId="4" fillId="0" borderId="40" xfId="0" applyNumberFormat="1" applyFont="1" applyBorder="1"/>
    <xf numFmtId="171" fontId="4" fillId="0" borderId="40" xfId="0" applyNumberFormat="1" applyFont="1" applyBorder="1"/>
    <xf numFmtId="170" fontId="4" fillId="0" borderId="40" xfId="0" applyNumberFormat="1" applyFont="1" applyBorder="1"/>
    <xf numFmtId="171" fontId="6" fillId="0" borderId="40" xfId="0" applyNumberFormat="1" applyFont="1" applyBorder="1"/>
    <xf numFmtId="171" fontId="4" fillId="4" borderId="40" xfId="0" applyNumberFormat="1" applyFont="1" applyFill="1" applyBorder="1"/>
    <xf numFmtId="170" fontId="4" fillId="4" borderId="40" xfId="0" applyNumberFormat="1" applyFont="1" applyFill="1" applyBorder="1"/>
    <xf numFmtId="0" fontId="4" fillId="0" borderId="40" xfId="0" applyFont="1" applyBorder="1"/>
    <xf numFmtId="172" fontId="4" fillId="0" borderId="40" xfId="0" applyNumberFormat="1" applyFont="1" applyBorder="1"/>
    <xf numFmtId="3" fontId="5" fillId="5" borderId="40" xfId="0" applyNumberFormat="1" applyFont="1" applyFill="1" applyBorder="1"/>
    <xf numFmtId="0" fontId="15" fillId="0" borderId="0" xfId="0" applyFont="1"/>
    <xf numFmtId="0" fontId="4" fillId="4" borderId="0" xfId="0" applyFont="1" applyFill="1" applyAlignment="1">
      <alignment horizontal="center"/>
    </xf>
    <xf numFmtId="164" fontId="4" fillId="4" borderId="40" xfId="0" applyNumberFormat="1" applyFont="1" applyFill="1" applyBorder="1"/>
    <xf numFmtId="164" fontId="4" fillId="4" borderId="40" xfId="1" applyNumberFormat="1" applyFont="1" applyFill="1" applyBorder="1"/>
    <xf numFmtId="164" fontId="4" fillId="7" borderId="0" xfId="1" applyNumberFormat="1" applyFont="1" applyFill="1"/>
    <xf numFmtId="0" fontId="13" fillId="0" borderId="0" xfId="11" applyFont="1"/>
    <xf numFmtId="0" fontId="4" fillId="0" borderId="0" xfId="11" applyFont="1"/>
    <xf numFmtId="164" fontId="4" fillId="0" borderId="0" xfId="6" applyNumberFormat="1" applyFont="1"/>
    <xf numFmtId="9" fontId="4" fillId="0" borderId="0" xfId="7" applyFont="1"/>
    <xf numFmtId="169" fontId="4" fillId="0" borderId="0" xfId="7" applyNumberFormat="1" applyFont="1"/>
    <xf numFmtId="9" fontId="5" fillId="0" borderId="0" xfId="7" applyFont="1"/>
    <xf numFmtId="0" fontId="4" fillId="0" borderId="40" xfId="11" applyFont="1" applyBorder="1" applyAlignment="1">
      <alignment horizontal="center" wrapText="1"/>
    </xf>
    <xf numFmtId="164" fontId="4" fillId="0" borderId="40" xfId="6" applyNumberFormat="1" applyFont="1" applyBorder="1" applyAlignment="1">
      <alignment horizontal="center" wrapText="1"/>
    </xf>
    <xf numFmtId="9" fontId="4" fillId="0" borderId="40" xfId="7" applyFont="1" applyFill="1" applyBorder="1" applyAlignment="1">
      <alignment horizontal="center" wrapText="1"/>
    </xf>
    <xf numFmtId="164" fontId="16" fillId="0" borderId="0" xfId="6" applyNumberFormat="1" applyFont="1"/>
    <xf numFmtId="9" fontId="5" fillId="4" borderId="0" xfId="7" applyFont="1" applyFill="1"/>
    <xf numFmtId="43" fontId="4" fillId="0" borderId="0" xfId="11" applyNumberFormat="1" applyFont="1"/>
    <xf numFmtId="0" fontId="4" fillId="0" borderId="0" xfId="11" applyFont="1" applyAlignment="1">
      <alignment horizontal="left" indent="10"/>
    </xf>
    <xf numFmtId="0" fontId="16" fillId="0" borderId="0" xfId="11" applyFont="1"/>
    <xf numFmtId="169" fontId="19" fillId="0" borderId="0" xfId="7" applyNumberFormat="1" applyFont="1" applyFill="1"/>
    <xf numFmtId="0" fontId="19" fillId="0" borderId="0" xfId="11" applyFont="1"/>
    <xf numFmtId="169" fontId="19" fillId="0" borderId="0" xfId="7" applyNumberFormat="1" applyFont="1" applyFill="1" applyAlignment="1">
      <alignment horizontal="left"/>
    </xf>
    <xf numFmtId="9" fontId="19" fillId="0" borderId="0" xfId="7" applyFont="1" applyFill="1"/>
    <xf numFmtId="164" fontId="4" fillId="0" borderId="0" xfId="11" applyNumberFormat="1" applyFont="1"/>
    <xf numFmtId="164" fontId="4" fillId="4" borderId="0" xfId="6" applyNumberFormat="1" applyFont="1" applyFill="1"/>
    <xf numFmtId="0" fontId="5" fillId="0" borderId="0" xfId="11" applyFont="1"/>
    <xf numFmtId="164" fontId="5" fillId="4" borderId="0" xfId="6" applyNumberFormat="1" applyFont="1" applyFill="1"/>
    <xf numFmtId="0" fontId="4" fillId="0" borderId="0" xfId="11" applyFont="1" applyAlignment="1">
      <alignment horizontal="right"/>
    </xf>
    <xf numFmtId="9" fontId="4" fillId="4" borderId="0" xfId="9" applyFont="1" applyFill="1"/>
    <xf numFmtId="169" fontId="4" fillId="4" borderId="0" xfId="9" applyNumberFormat="1" applyFont="1" applyFill="1"/>
    <xf numFmtId="168" fontId="4" fillId="4" borderId="0" xfId="12" applyNumberFormat="1" applyFont="1" applyFill="1" applyAlignment="1">
      <alignment horizontal="left" indent="2"/>
    </xf>
    <xf numFmtId="168" fontId="4" fillId="4" borderId="0" xfId="11" applyNumberFormat="1" applyFont="1" applyFill="1"/>
    <xf numFmtId="164" fontId="6" fillId="0" borderId="0" xfId="6" applyNumberFormat="1" applyFont="1"/>
    <xf numFmtId="0" fontId="21" fillId="0" borderId="0" xfId="3" applyNumberFormat="1" applyFont="1" applyFill="1" applyBorder="1" applyAlignment="1" applyProtection="1">
      <alignment horizontal="center" wrapText="1"/>
    </xf>
    <xf numFmtId="0" fontId="22" fillId="0" borderId="0" xfId="0" applyFont="1"/>
    <xf numFmtId="0" fontId="23" fillId="0" borderId="0" xfId="0" applyFont="1"/>
    <xf numFmtId="0" fontId="6" fillId="0" borderId="6" xfId="0" applyFont="1" applyBorder="1" applyProtection="1">
      <protection locked="0"/>
    </xf>
    <xf numFmtId="0" fontId="22" fillId="0" borderId="0" xfId="0" applyFont="1" applyProtection="1">
      <protection locked="0"/>
    </xf>
    <xf numFmtId="0" fontId="6" fillId="0" borderId="7" xfId="0" applyFont="1" applyBorder="1" applyProtection="1">
      <protection locked="0"/>
    </xf>
    <xf numFmtId="49" fontId="24" fillId="0" borderId="13" xfId="0" applyNumberFormat="1" applyFont="1" applyBorder="1" applyProtection="1">
      <protection locked="0"/>
    </xf>
    <xf numFmtId="1" fontId="9" fillId="0" borderId="14" xfId="0" applyNumberFormat="1" applyFont="1" applyBorder="1" applyAlignment="1" applyProtection="1">
      <alignment horizontal="right" wrapText="1"/>
      <protection locked="0"/>
    </xf>
    <xf numFmtId="1" fontId="9" fillId="0" borderId="15" xfId="0" applyNumberFormat="1" applyFont="1" applyBorder="1" applyAlignment="1" applyProtection="1">
      <alignment horizontal="right" wrapText="1"/>
      <protection locked="0"/>
    </xf>
    <xf numFmtId="0" fontId="25" fillId="2" borderId="16" xfId="0" applyFont="1" applyFill="1" applyBorder="1" applyAlignment="1">
      <alignment horizontal="right" wrapText="1"/>
    </xf>
    <xf numFmtId="49" fontId="6" fillId="0" borderId="17" xfId="0" applyNumberFormat="1" applyFont="1" applyBorder="1" applyAlignment="1" applyProtection="1">
      <alignment wrapText="1"/>
      <protection locked="0"/>
    </xf>
    <xf numFmtId="3" fontId="6" fillId="0" borderId="18" xfId="0" applyNumberFormat="1" applyFont="1" applyBorder="1" applyAlignment="1" applyProtection="1">
      <alignment horizontal="right" wrapText="1"/>
      <protection locked="0"/>
    </xf>
    <xf numFmtId="3" fontId="6" fillId="0" borderId="19" xfId="0" applyNumberFormat="1" applyFont="1" applyBorder="1" applyAlignment="1" applyProtection="1">
      <alignment horizontal="right" wrapText="1"/>
      <protection locked="0"/>
    </xf>
    <xf numFmtId="49" fontId="9" fillId="0" borderId="20" xfId="0" applyNumberFormat="1" applyFont="1" applyBorder="1" applyAlignment="1" applyProtection="1">
      <alignment wrapText="1"/>
      <protection locked="0"/>
    </xf>
    <xf numFmtId="3" fontId="9" fillId="0" borderId="21" xfId="0" applyNumberFormat="1" applyFont="1" applyBorder="1" applyAlignment="1" applyProtection="1">
      <alignment horizontal="right" wrapText="1"/>
      <protection locked="0"/>
    </xf>
    <xf numFmtId="3" fontId="9" fillId="0" borderId="22" xfId="0" applyNumberFormat="1" applyFont="1" applyBorder="1" applyAlignment="1" applyProtection="1">
      <alignment horizontal="right" wrapText="1"/>
      <protection locked="0"/>
    </xf>
    <xf numFmtId="49" fontId="6" fillId="0" borderId="23" xfId="0" applyNumberFormat="1" applyFont="1" applyBorder="1" applyAlignment="1" applyProtection="1">
      <alignment wrapText="1"/>
      <protection locked="0"/>
    </xf>
    <xf numFmtId="3" fontId="6" fillId="0" borderId="14" xfId="0" applyNumberFormat="1" applyFont="1" applyBorder="1" applyAlignment="1" applyProtection="1">
      <alignment horizontal="right" wrapText="1"/>
      <protection locked="0"/>
    </xf>
    <xf numFmtId="1" fontId="6" fillId="0" borderId="15" xfId="0" applyNumberFormat="1" applyFont="1" applyBorder="1" applyAlignment="1" applyProtection="1">
      <alignment horizontal="right" wrapText="1"/>
      <protection locked="0"/>
    </xf>
    <xf numFmtId="1" fontId="6" fillId="0" borderId="18" xfId="0" applyNumberFormat="1" applyFont="1" applyBorder="1" applyAlignment="1" applyProtection="1">
      <alignment horizontal="right" wrapText="1"/>
      <protection locked="0"/>
    </xf>
    <xf numFmtId="1" fontId="6" fillId="0" borderId="19" xfId="0" applyNumberFormat="1" applyFont="1" applyBorder="1" applyAlignment="1" applyProtection="1">
      <alignment horizontal="right" wrapText="1"/>
      <protection locked="0"/>
    </xf>
    <xf numFmtId="3" fontId="6" fillId="0" borderId="15" xfId="0" applyNumberFormat="1" applyFont="1" applyBorder="1" applyAlignment="1" applyProtection="1">
      <alignment horizontal="right" wrapText="1"/>
      <protection locked="0"/>
    </xf>
    <xf numFmtId="3" fontId="9" fillId="0" borderId="14" xfId="0" applyNumberFormat="1" applyFont="1" applyBorder="1" applyAlignment="1" applyProtection="1">
      <alignment horizontal="right" wrapText="1"/>
      <protection locked="0"/>
    </xf>
    <xf numFmtId="3" fontId="9" fillId="0" borderId="15" xfId="0" applyNumberFormat="1" applyFont="1" applyBorder="1" applyAlignment="1" applyProtection="1">
      <alignment horizontal="right" wrapText="1"/>
      <protection locked="0"/>
    </xf>
    <xf numFmtId="49" fontId="9" fillId="0" borderId="24" xfId="0" applyNumberFormat="1" applyFont="1" applyBorder="1" applyAlignment="1" applyProtection="1">
      <alignment wrapText="1"/>
      <protection locked="0"/>
    </xf>
    <xf numFmtId="165" fontId="9" fillId="0" borderId="25" xfId="0" applyNumberFormat="1" applyFont="1" applyBorder="1" applyAlignment="1" applyProtection="1">
      <alignment horizontal="right" wrapText="1"/>
      <protection locked="0"/>
    </xf>
    <xf numFmtId="166" fontId="9" fillId="0" borderId="26" xfId="0" applyNumberFormat="1" applyFont="1" applyBorder="1" applyAlignment="1" applyProtection="1">
      <alignment horizontal="right" wrapText="1"/>
      <protection locked="0"/>
    </xf>
    <xf numFmtId="49" fontId="9" fillId="0" borderId="27" xfId="0" applyNumberFormat="1" applyFont="1" applyBorder="1" applyAlignment="1" applyProtection="1">
      <alignment wrapText="1"/>
      <protection locked="0"/>
    </xf>
    <xf numFmtId="1" fontId="9" fillId="0" borderId="25" xfId="0" applyNumberFormat="1" applyFont="1" applyBorder="1" applyAlignment="1" applyProtection="1">
      <alignment horizontal="right" wrapText="1"/>
      <protection locked="0"/>
    </xf>
    <xf numFmtId="1" fontId="9" fillId="0" borderId="26" xfId="0" applyNumberFormat="1" applyFont="1" applyBorder="1" applyAlignment="1" applyProtection="1">
      <alignment horizontal="right" wrapText="1"/>
      <protection locked="0"/>
    </xf>
    <xf numFmtId="166" fontId="9" fillId="0" borderId="25" xfId="0" applyNumberFormat="1" applyFont="1" applyBorder="1" applyAlignment="1" applyProtection="1">
      <alignment horizontal="right" wrapText="1"/>
      <protection locked="0"/>
    </xf>
    <xf numFmtId="0" fontId="6" fillId="0" borderId="14" xfId="0" applyFont="1" applyBorder="1"/>
    <xf numFmtId="0" fontId="22" fillId="0" borderId="14" xfId="0" applyFont="1" applyBorder="1"/>
    <xf numFmtId="3" fontId="22" fillId="0" borderId="0" xfId="0" applyNumberFormat="1" applyFont="1"/>
    <xf numFmtId="0" fontId="26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6" fillId="0" borderId="6" xfId="0" applyFont="1" applyBorder="1"/>
    <xf numFmtId="164" fontId="6" fillId="0" borderId="0" xfId="1" applyNumberFormat="1" applyFont="1" applyBorder="1" applyAlignment="1"/>
    <xf numFmtId="164" fontId="6" fillId="0" borderId="7" xfId="1" applyNumberFormat="1" applyFont="1" applyBorder="1" applyAlignment="1"/>
    <xf numFmtId="49" fontId="24" fillId="0" borderId="28" xfId="0" applyNumberFormat="1" applyFont="1" applyBorder="1" applyProtection="1">
      <protection locked="0"/>
    </xf>
    <xf numFmtId="167" fontId="9" fillId="0" borderId="0" xfId="1" quotePrefix="1" applyNumberFormat="1" applyFont="1" applyBorder="1" applyAlignment="1">
      <alignment horizontal="right"/>
    </xf>
    <xf numFmtId="167" fontId="9" fillId="0" borderId="0" xfId="1" applyNumberFormat="1" applyFont="1" applyBorder="1" applyAlignment="1">
      <alignment horizontal="right"/>
    </xf>
    <xf numFmtId="167" fontId="9" fillId="0" borderId="7" xfId="1" quotePrefix="1" applyNumberFormat="1" applyFont="1" applyBorder="1" applyAlignment="1">
      <alignment horizontal="right"/>
    </xf>
    <xf numFmtId="49" fontId="9" fillId="0" borderId="29" xfId="0" applyNumberFormat="1" applyFont="1" applyBorder="1" applyAlignment="1" applyProtection="1">
      <alignment wrapText="1"/>
      <protection locked="0"/>
    </xf>
    <xf numFmtId="0" fontId="6" fillId="0" borderId="30" xfId="0" applyFont="1" applyBorder="1"/>
    <xf numFmtId="0" fontId="6" fillId="0" borderId="31" xfId="0" applyFont="1" applyBorder="1"/>
    <xf numFmtId="164" fontId="6" fillId="0" borderId="0" xfId="1" applyNumberFormat="1" applyFont="1" applyFill="1" applyBorder="1" applyAlignment="1"/>
    <xf numFmtId="164" fontId="27" fillId="0" borderId="0" xfId="1" applyNumberFormat="1" applyFont="1" applyFill="1" applyBorder="1" applyAlignment="1"/>
    <xf numFmtId="164" fontId="27" fillId="0" borderId="7" xfId="1" applyNumberFormat="1" applyFont="1" applyBorder="1" applyAlignment="1"/>
    <xf numFmtId="164" fontId="6" fillId="0" borderId="0" xfId="0" applyNumberFormat="1" applyFont="1"/>
    <xf numFmtId="43" fontId="6" fillId="0" borderId="0" xfId="0" applyNumberFormat="1" applyFont="1"/>
    <xf numFmtId="0" fontId="6" fillId="0" borderId="32" xfId="0" applyFont="1" applyBorder="1"/>
    <xf numFmtId="164" fontId="6" fillId="0" borderId="1" xfId="1" applyNumberFormat="1" applyFont="1" applyBorder="1"/>
    <xf numFmtId="164" fontId="6" fillId="0" borderId="33" xfId="1" applyNumberFormat="1" applyFont="1" applyBorder="1"/>
    <xf numFmtId="0" fontId="6" fillId="0" borderId="34" xfId="0" applyFont="1" applyBorder="1"/>
    <xf numFmtId="0" fontId="9" fillId="0" borderId="8" xfId="0" applyFont="1" applyBorder="1"/>
    <xf numFmtId="164" fontId="9" fillId="0" borderId="2" xfId="1" applyNumberFormat="1" applyFont="1" applyBorder="1"/>
    <xf numFmtId="164" fontId="9" fillId="0" borderId="9" xfId="1" applyNumberFormat="1" applyFont="1" applyBorder="1"/>
    <xf numFmtId="0" fontId="9" fillId="0" borderId="6" xfId="0" applyFont="1" applyBorder="1"/>
    <xf numFmtId="0" fontId="9" fillId="0" borderId="35" xfId="0" applyFont="1" applyBorder="1"/>
    <xf numFmtId="164" fontId="9" fillId="0" borderId="36" xfId="1" applyNumberFormat="1" applyFont="1" applyBorder="1" applyAlignment="1"/>
    <xf numFmtId="164" fontId="9" fillId="0" borderId="37" xfId="1" applyNumberFormat="1" applyFont="1" applyBorder="1" applyAlignment="1"/>
    <xf numFmtId="164" fontId="9" fillId="0" borderId="0" xfId="0" applyNumberFormat="1" applyFont="1"/>
    <xf numFmtId="0" fontId="9" fillId="0" borderId="38" xfId="0" applyFont="1" applyBorder="1"/>
    <xf numFmtId="164" fontId="6" fillId="0" borderId="1" xfId="1" applyNumberFormat="1" applyFont="1" applyBorder="1" applyAlignment="1"/>
    <xf numFmtId="164" fontId="6" fillId="0" borderId="33" xfId="1" applyNumberFormat="1" applyFont="1" applyBorder="1" applyAlignment="1"/>
    <xf numFmtId="0" fontId="6" fillId="0" borderId="39" xfId="0" applyFont="1" applyBorder="1"/>
    <xf numFmtId="164" fontId="6" fillId="0" borderId="2" xfId="1" applyNumberFormat="1" applyFont="1" applyBorder="1" applyAlignment="1"/>
    <xf numFmtId="164" fontId="6" fillId="0" borderId="9" xfId="1" applyNumberFormat="1" applyFont="1" applyBorder="1" applyAlignment="1"/>
    <xf numFmtId="0" fontId="9" fillId="0" borderId="39" xfId="0" applyFont="1" applyBorder="1"/>
    <xf numFmtId="164" fontId="9" fillId="0" borderId="11" xfId="1" applyNumberFormat="1" applyFont="1" applyBorder="1" applyAlignment="1"/>
    <xf numFmtId="164" fontId="9" fillId="0" borderId="12" xfId="1" applyNumberFormat="1" applyFont="1" applyBorder="1" applyAlignment="1"/>
    <xf numFmtId="3" fontId="6" fillId="0" borderId="0" xfId="0" applyNumberFormat="1" applyFont="1"/>
    <xf numFmtId="0" fontId="4" fillId="4" borderId="40" xfId="0" applyNumberFormat="1" applyFont="1" applyFill="1" applyBorder="1"/>
    <xf numFmtId="0" fontId="29" fillId="0" borderId="0" xfId="13"/>
    <xf numFmtId="0" fontId="1" fillId="0" borderId="0" xfId="11"/>
    <xf numFmtId="169" fontId="0" fillId="0" borderId="0" xfId="7" applyNumberFormat="1" applyFont="1"/>
    <xf numFmtId="9" fontId="0" fillId="0" borderId="0" xfId="7" applyFont="1"/>
    <xf numFmtId="164" fontId="0" fillId="0" borderId="0" xfId="6" applyNumberFormat="1" applyFont="1"/>
    <xf numFmtId="0" fontId="30" fillId="0" borderId="0" xfId="11" applyFont="1"/>
    <xf numFmtId="169" fontId="31" fillId="0" borderId="0" xfId="7" applyNumberFormat="1" applyFont="1" applyFill="1"/>
    <xf numFmtId="9" fontId="31" fillId="0" borderId="0" xfId="7" applyFont="1" applyFill="1"/>
    <xf numFmtId="169" fontId="3" fillId="0" borderId="0" xfId="7" applyNumberFormat="1" applyFont="1" applyFill="1" applyAlignment="1">
      <alignment horizontal="left"/>
    </xf>
    <xf numFmtId="0" fontId="1" fillId="0" borderId="0" xfId="11" applyAlignment="1">
      <alignment horizontal="center"/>
    </xf>
    <xf numFmtId="169" fontId="28" fillId="4" borderId="0" xfId="7" applyNumberFormat="1" applyFont="1" applyFill="1" applyAlignment="1">
      <alignment horizontal="center"/>
    </xf>
    <xf numFmtId="169" fontId="0" fillId="0" borderId="0" xfId="7" applyNumberFormat="1" applyFont="1" applyAlignment="1">
      <alignment horizontal="center"/>
    </xf>
    <xf numFmtId="43" fontId="1" fillId="0" borderId="0" xfId="11" applyNumberFormat="1"/>
    <xf numFmtId="169" fontId="0" fillId="8" borderId="0" xfId="7" applyNumberFormat="1" applyFont="1" applyFill="1" applyAlignment="1">
      <alignment horizontal="center"/>
    </xf>
    <xf numFmtId="164" fontId="32" fillId="0" borderId="0" xfId="6" applyNumberFormat="1" applyFont="1"/>
    <xf numFmtId="9" fontId="0" fillId="0" borderId="40" xfId="7" applyFont="1" applyFill="1" applyBorder="1" applyAlignment="1">
      <alignment horizontal="center" wrapText="1"/>
    </xf>
    <xf numFmtId="164" fontId="0" fillId="0" borderId="40" xfId="6" applyNumberFormat="1" applyFont="1" applyBorder="1" applyAlignment="1">
      <alignment horizontal="center" wrapText="1"/>
    </xf>
    <xf numFmtId="0" fontId="1" fillId="0" borderId="40" xfId="11" applyBorder="1" applyAlignment="1">
      <alignment horizontal="center" wrapText="1"/>
    </xf>
    <xf numFmtId="9" fontId="28" fillId="0" borderId="0" xfId="7" applyFont="1"/>
    <xf numFmtId="0" fontId="33" fillId="0" borderId="0" xfId="11" applyFont="1"/>
    <xf numFmtId="10" fontId="1" fillId="0" borderId="0" xfId="11" applyNumberFormat="1"/>
    <xf numFmtId="168" fontId="1" fillId="4" borderId="0" xfId="11" applyNumberFormat="1" applyFill="1"/>
    <xf numFmtId="168" fontId="1" fillId="0" borderId="0" xfId="11" applyNumberFormat="1"/>
    <xf numFmtId="169" fontId="1" fillId="4" borderId="0" xfId="9" applyNumberFormat="1" applyFont="1" applyFill="1"/>
    <xf numFmtId="169" fontId="1" fillId="0" borderId="0" xfId="11" applyNumberFormat="1"/>
    <xf numFmtId="0" fontId="1" fillId="0" borderId="0" xfId="11" applyAlignment="1">
      <alignment horizontal="right"/>
    </xf>
    <xf numFmtId="164" fontId="1" fillId="0" borderId="0" xfId="11" applyNumberFormat="1"/>
    <xf numFmtId="164" fontId="28" fillId="4" borderId="0" xfId="6" applyNumberFormat="1" applyFont="1" applyFill="1"/>
    <xf numFmtId="0" fontId="28" fillId="0" borderId="0" xfId="11" applyFont="1"/>
    <xf numFmtId="164" fontId="0" fillId="4" borderId="0" xfId="6" applyNumberFormat="1" applyFont="1" applyFill="1"/>
    <xf numFmtId="0" fontId="3" fillId="0" borderId="0" xfId="4"/>
    <xf numFmtId="173" fontId="3" fillId="4" borderId="40" xfId="4" applyNumberFormat="1" applyFill="1" applyBorder="1"/>
    <xf numFmtId="2" fontId="3" fillId="0" borderId="0" xfId="4" applyNumberFormat="1"/>
    <xf numFmtId="0" fontId="4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3" fillId="4" borderId="40" xfId="4" applyFill="1" applyBorder="1"/>
    <xf numFmtId="0" fontId="4" fillId="0" borderId="0" xfId="4" quotePrefix="1" applyFont="1" applyAlignment="1">
      <alignment horizontal="left" vertical="center" indent="5"/>
    </xf>
    <xf numFmtId="2" fontId="3" fillId="4" borderId="40" xfId="4" applyNumberFormat="1" applyFill="1" applyBorder="1"/>
    <xf numFmtId="171" fontId="3" fillId="4" borderId="40" xfId="4" applyNumberFormat="1" applyFill="1" applyBorder="1"/>
    <xf numFmtId="0" fontId="3" fillId="0" borderId="0" xfId="4" applyAlignment="1">
      <alignment horizontal="center" vertical="center"/>
    </xf>
    <xf numFmtId="0" fontId="4" fillId="0" borderId="47" xfId="4" applyFont="1" applyBorder="1" applyAlignment="1">
      <alignment vertical="center" wrapText="1"/>
    </xf>
    <xf numFmtId="0" fontId="4" fillId="0" borderId="40" xfId="4" applyFont="1" applyBorder="1" applyAlignment="1">
      <alignment horizontal="center" vertical="center" wrapText="1"/>
    </xf>
    <xf numFmtId="0" fontId="4" fillId="0" borderId="48" xfId="4" applyFont="1" applyBorder="1" applyAlignment="1">
      <alignment vertical="center" wrapText="1"/>
    </xf>
    <xf numFmtId="0" fontId="4" fillId="0" borderId="40" xfId="4" applyFont="1" applyBorder="1" applyAlignment="1">
      <alignment vertical="center" wrapText="1"/>
    </xf>
    <xf numFmtId="6" fontId="3" fillId="0" borderId="40" xfId="4" applyNumberFormat="1" applyBorder="1" applyAlignment="1">
      <alignment horizontal="center" vertical="center"/>
    </xf>
    <xf numFmtId="9" fontId="4" fillId="0" borderId="40" xfId="4" applyNumberFormat="1" applyFont="1" applyBorder="1" applyAlignment="1">
      <alignment horizontal="center" vertical="center" wrapText="1"/>
    </xf>
    <xf numFmtId="6" fontId="3" fillId="0" borderId="0" xfId="4" applyNumberFormat="1"/>
    <xf numFmtId="0" fontId="36" fillId="0" borderId="0" xfId="4" applyFont="1"/>
    <xf numFmtId="0" fontId="4" fillId="3" borderId="49" xfId="4" applyFont="1" applyFill="1" applyBorder="1" applyAlignment="1">
      <alignment horizontal="center" vertical="center" wrapText="1"/>
    </xf>
    <xf numFmtId="0" fontId="4" fillId="3" borderId="1" xfId="4" applyFont="1" applyFill="1" applyBorder="1" applyAlignment="1">
      <alignment horizontal="center" vertical="center" wrapText="1"/>
    </xf>
    <xf numFmtId="0" fontId="4" fillId="3" borderId="50" xfId="4" applyFont="1" applyFill="1" applyBorder="1" applyAlignment="1">
      <alignment horizontal="center" vertical="center" wrapText="1"/>
    </xf>
    <xf numFmtId="0" fontId="3" fillId="3" borderId="51" xfId="4" applyFill="1" applyBorder="1" applyAlignment="1">
      <alignment horizontal="center"/>
    </xf>
    <xf numFmtId="0" fontId="4" fillId="3" borderId="52" xfId="4" applyFont="1" applyFill="1" applyBorder="1" applyAlignment="1">
      <alignment horizontal="center" vertical="center" wrapText="1"/>
    </xf>
    <xf numFmtId="0" fontId="4" fillId="3" borderId="0" xfId="4" applyFont="1" applyFill="1" applyAlignment="1">
      <alignment horizontal="center" vertical="center" wrapText="1"/>
    </xf>
    <xf numFmtId="0" fontId="4" fillId="3" borderId="53" xfId="4" applyFont="1" applyFill="1" applyBorder="1" applyAlignment="1">
      <alignment horizontal="center" vertical="center" wrapText="1"/>
    </xf>
    <xf numFmtId="0" fontId="3" fillId="3" borderId="54" xfId="4" applyFill="1" applyBorder="1" applyAlignment="1">
      <alignment horizontal="center" vertical="center"/>
    </xf>
    <xf numFmtId="0" fontId="4" fillId="3" borderId="55" xfId="4" applyFont="1" applyFill="1" applyBorder="1" applyAlignment="1">
      <alignment horizontal="center" vertical="center" wrapText="1"/>
    </xf>
    <xf numFmtId="0" fontId="4" fillId="3" borderId="56" xfId="4" applyFont="1" applyFill="1" applyBorder="1" applyAlignment="1">
      <alignment horizontal="center" vertical="center" wrapText="1"/>
    </xf>
    <xf numFmtId="0" fontId="4" fillId="3" borderId="57" xfId="4" applyFont="1" applyFill="1" applyBorder="1" applyAlignment="1">
      <alignment horizontal="center" vertical="center" wrapText="1"/>
    </xf>
    <xf numFmtId="0" fontId="3" fillId="3" borderId="58" xfId="4" applyFill="1" applyBorder="1" applyAlignment="1">
      <alignment horizontal="center" vertical="center"/>
    </xf>
    <xf numFmtId="0" fontId="3" fillId="0" borderId="0" xfId="4" applyAlignment="1">
      <alignment horizontal="left" vertical="center"/>
    </xf>
    <xf numFmtId="0" fontId="3" fillId="3" borderId="43" xfId="4" applyFill="1" applyBorder="1" applyAlignment="1">
      <alignment horizontal="center" vertical="center"/>
    </xf>
    <xf numFmtId="0" fontId="3" fillId="3" borderId="42" xfId="4" applyFill="1" applyBorder="1" applyAlignment="1">
      <alignment horizontal="center" vertical="center"/>
    </xf>
    <xf numFmtId="0" fontId="3" fillId="3" borderId="41" xfId="4" applyFill="1" applyBorder="1" applyAlignment="1">
      <alignment horizontal="center" vertical="center"/>
    </xf>
    <xf numFmtId="0" fontId="3" fillId="3" borderId="57" xfId="4" applyFill="1" applyBorder="1" applyAlignment="1">
      <alignment horizontal="center" vertical="center"/>
    </xf>
    <xf numFmtId="8" fontId="36" fillId="0" borderId="0" xfId="4" applyNumberFormat="1" applyFont="1"/>
    <xf numFmtId="8" fontId="3" fillId="0" borderId="0" xfId="4" applyNumberFormat="1"/>
    <xf numFmtId="10" fontId="0" fillId="0" borderId="0" xfId="9" applyNumberFormat="1" applyFont="1"/>
    <xf numFmtId="10" fontId="4" fillId="3" borderId="51" xfId="4" applyNumberFormat="1" applyFont="1" applyFill="1" applyBorder="1" applyAlignment="1">
      <alignment horizontal="center" vertical="center" wrapText="1"/>
    </xf>
    <xf numFmtId="0" fontId="4" fillId="3" borderId="51" xfId="4" applyFont="1" applyFill="1" applyBorder="1" applyAlignment="1">
      <alignment horizontal="center" vertical="center" wrapText="1"/>
    </xf>
    <xf numFmtId="6" fontId="3" fillId="3" borderId="50" xfId="4" applyNumberFormat="1" applyFill="1" applyBorder="1" applyAlignment="1">
      <alignment horizontal="center" vertical="center"/>
    </xf>
    <xf numFmtId="0" fontId="3" fillId="3" borderId="1" xfId="4" applyFill="1" applyBorder="1" applyAlignment="1">
      <alignment horizontal="center" vertical="center"/>
    </xf>
    <xf numFmtId="0" fontId="3" fillId="3" borderId="49" xfId="4" applyFill="1" applyBorder="1" applyAlignment="1">
      <alignment horizontal="center" vertical="center"/>
    </xf>
    <xf numFmtId="0" fontId="3" fillId="3" borderId="51" xfId="4" applyFill="1" applyBorder="1" applyAlignment="1">
      <alignment horizontal="center" vertical="center"/>
    </xf>
    <xf numFmtId="10" fontId="4" fillId="3" borderId="54" xfId="4" applyNumberFormat="1" applyFont="1" applyFill="1" applyBorder="1" applyAlignment="1">
      <alignment horizontal="center" vertical="center" wrapText="1"/>
    </xf>
    <xf numFmtId="0" fontId="4" fillId="3" borderId="54" xfId="4" applyFont="1" applyFill="1" applyBorder="1" applyAlignment="1">
      <alignment horizontal="center" vertical="center" wrapText="1"/>
    </xf>
    <xf numFmtId="6" fontId="3" fillId="3" borderId="53" xfId="4" applyNumberFormat="1" applyFill="1" applyBorder="1" applyAlignment="1">
      <alignment horizontal="center" vertical="center"/>
    </xf>
    <xf numFmtId="6" fontId="3" fillId="3" borderId="0" xfId="4" applyNumberFormat="1" applyFill="1" applyAlignment="1">
      <alignment horizontal="center" vertical="center"/>
    </xf>
    <xf numFmtId="0" fontId="3" fillId="3" borderId="52" xfId="4" applyFill="1" applyBorder="1" applyAlignment="1">
      <alignment horizontal="center" vertical="center"/>
    </xf>
    <xf numFmtId="10" fontId="4" fillId="3" borderId="58" xfId="4" applyNumberFormat="1" applyFont="1" applyFill="1" applyBorder="1" applyAlignment="1">
      <alignment horizontal="center" vertical="center" wrapText="1"/>
    </xf>
    <xf numFmtId="0" fontId="4" fillId="3" borderId="58" xfId="4" applyFont="1" applyFill="1" applyBorder="1" applyAlignment="1">
      <alignment horizontal="center" vertical="center" wrapText="1"/>
    </xf>
    <xf numFmtId="6" fontId="3" fillId="3" borderId="57" xfId="4" applyNumberFormat="1" applyFill="1" applyBorder="1" applyAlignment="1">
      <alignment horizontal="center" vertical="center"/>
    </xf>
    <xf numFmtId="6" fontId="3" fillId="3" borderId="56" xfId="4" applyNumberFormat="1" applyFill="1" applyBorder="1" applyAlignment="1">
      <alignment horizontal="center" vertical="center"/>
    </xf>
    <xf numFmtId="6" fontId="3" fillId="3" borderId="55" xfId="4" applyNumberFormat="1" applyFill="1" applyBorder="1" applyAlignment="1">
      <alignment horizontal="center" vertical="center"/>
    </xf>
    <xf numFmtId="9" fontId="3" fillId="3" borderId="52" xfId="4" applyNumberFormat="1" applyFill="1" applyBorder="1" applyAlignment="1">
      <alignment horizontal="center" vertical="center" wrapText="1"/>
    </xf>
    <xf numFmtId="0" fontId="4" fillId="3" borderId="40" xfId="4" applyFont="1" applyFill="1" applyBorder="1" applyAlignment="1">
      <alignment horizontal="center" vertical="center" wrapText="1"/>
    </xf>
    <xf numFmtId="0" fontId="3" fillId="3" borderId="40" xfId="4" applyFill="1" applyBorder="1" applyAlignment="1">
      <alignment horizontal="center" vertical="center"/>
    </xf>
    <xf numFmtId="0" fontId="4" fillId="0" borderId="48" xfId="0" applyFont="1" applyBorder="1"/>
    <xf numFmtId="0" fontId="4" fillId="0" borderId="9" xfId="0" applyFont="1" applyBorder="1"/>
    <xf numFmtId="0" fontId="4" fillId="0" borderId="2" xfId="0" applyFont="1" applyBorder="1"/>
    <xf numFmtId="0" fontId="4" fillId="0" borderId="8" xfId="0" applyFont="1" applyBorder="1"/>
    <xf numFmtId="0" fontId="4" fillId="0" borderId="7" xfId="0" applyFont="1" applyBorder="1"/>
    <xf numFmtId="0" fontId="4" fillId="0" borderId="6" xfId="0" applyFont="1" applyBorder="1"/>
    <xf numFmtId="171" fontId="4" fillId="0" borderId="0" xfId="0" applyNumberFormat="1" applyFont="1"/>
    <xf numFmtId="9" fontId="4" fillId="0" borderId="0" xfId="0" applyNumberFormat="1" applyFont="1"/>
    <xf numFmtId="3" fontId="4" fillId="0" borderId="0" xfId="0" applyNumberFormat="1" applyFont="1"/>
    <xf numFmtId="0" fontId="4" fillId="0" borderId="5" xfId="0" applyFont="1" applyBorder="1"/>
    <xf numFmtId="0" fontId="4" fillId="0" borderId="4" xfId="0" applyFont="1" applyBorder="1"/>
    <xf numFmtId="0" fontId="4" fillId="0" borderId="3" xfId="0" applyFont="1" applyBorder="1"/>
    <xf numFmtId="0" fontId="4" fillId="0" borderId="0" xfId="0" applyFont="1" applyAlignment="1">
      <alignment horizontal="left" vertical="center" indent="5"/>
    </xf>
    <xf numFmtId="0" fontId="4" fillId="0" borderId="6" xfId="0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164" fontId="0" fillId="0" borderId="41" xfId="6" applyNumberFormat="1" applyFont="1" applyBorder="1" applyAlignment="1">
      <alignment horizontal="center" wrapText="1"/>
    </xf>
    <xf numFmtId="164" fontId="0" fillId="0" borderId="43" xfId="6" applyNumberFormat="1" applyFont="1" applyBorder="1" applyAlignment="1">
      <alignment horizontal="center" wrapText="1"/>
    </xf>
    <xf numFmtId="0" fontId="35" fillId="0" borderId="44" xfId="11" applyFont="1" applyBorder="1" applyAlignment="1">
      <alignment horizontal="center"/>
    </xf>
    <xf numFmtId="0" fontId="35" fillId="0" borderId="45" xfId="11" applyFont="1" applyBorder="1" applyAlignment="1">
      <alignment horizontal="center"/>
    </xf>
    <xf numFmtId="0" fontId="35" fillId="0" borderId="46" xfId="11" applyFont="1" applyBorder="1" applyAlignment="1">
      <alignment horizontal="center"/>
    </xf>
    <xf numFmtId="0" fontId="1" fillId="0" borderId="41" xfId="11" applyBorder="1" applyAlignment="1">
      <alignment horizontal="center"/>
    </xf>
    <xf numFmtId="0" fontId="1" fillId="0" borderId="42" xfId="11" applyBorder="1" applyAlignment="1">
      <alignment horizontal="center"/>
    </xf>
    <xf numFmtId="0" fontId="1" fillId="0" borderId="43" xfId="11" applyBorder="1" applyAlignment="1">
      <alignment horizontal="center"/>
    </xf>
    <xf numFmtId="0" fontId="34" fillId="0" borderId="44" xfId="11" applyFont="1" applyBorder="1" applyAlignment="1">
      <alignment horizontal="center"/>
    </xf>
    <xf numFmtId="0" fontId="34" fillId="0" borderId="45" xfId="11" applyFont="1" applyBorder="1" applyAlignment="1">
      <alignment horizontal="center"/>
    </xf>
    <xf numFmtId="0" fontId="34" fillId="0" borderId="46" xfId="11" applyFont="1" applyBorder="1" applyAlignment="1">
      <alignment horizontal="center"/>
    </xf>
    <xf numFmtId="0" fontId="3" fillId="3" borderId="43" xfId="4" applyFill="1" applyBorder="1" applyAlignment="1">
      <alignment horizontal="center" vertical="center"/>
    </xf>
    <xf numFmtId="0" fontId="3" fillId="3" borderId="40" xfId="4" applyFill="1" applyBorder="1" applyAlignment="1">
      <alignment horizontal="center" vertical="center"/>
    </xf>
    <xf numFmtId="0" fontId="3" fillId="0" borderId="41" xfId="4" applyBorder="1" applyAlignment="1">
      <alignment horizontal="center" vertical="center"/>
    </xf>
    <xf numFmtId="0" fontId="3" fillId="0" borderId="42" xfId="4" applyBorder="1" applyAlignment="1">
      <alignment horizontal="center" vertical="center"/>
    </xf>
    <xf numFmtId="0" fontId="3" fillId="0" borderId="43" xfId="4" applyBorder="1" applyAlignment="1">
      <alignment horizontal="center" vertical="center"/>
    </xf>
    <xf numFmtId="164" fontId="4" fillId="0" borderId="41" xfId="6" applyNumberFormat="1" applyFont="1" applyBorder="1" applyAlignment="1">
      <alignment horizontal="center" wrapText="1"/>
    </xf>
    <xf numFmtId="164" fontId="4" fillId="0" borderId="43" xfId="6" applyNumberFormat="1" applyFont="1" applyBorder="1" applyAlignment="1">
      <alignment horizontal="center" wrapText="1"/>
    </xf>
    <xf numFmtId="0" fontId="20" fillId="0" borderId="44" xfId="11" applyFont="1" applyBorder="1" applyAlignment="1">
      <alignment horizontal="center"/>
    </xf>
    <xf numFmtId="0" fontId="20" fillId="0" borderId="45" xfId="11" applyFont="1" applyBorder="1" applyAlignment="1">
      <alignment horizontal="center"/>
    </xf>
    <xf numFmtId="0" fontId="20" fillId="0" borderId="46" xfId="11" applyFont="1" applyBorder="1" applyAlignment="1">
      <alignment horizontal="center"/>
    </xf>
    <xf numFmtId="0" fontId="4" fillId="0" borderId="41" xfId="11" applyFont="1" applyBorder="1" applyAlignment="1">
      <alignment horizontal="center"/>
    </xf>
    <xf numFmtId="0" fontId="4" fillId="0" borderId="42" xfId="11" applyFont="1" applyBorder="1" applyAlignment="1">
      <alignment horizontal="center"/>
    </xf>
    <xf numFmtId="0" fontId="4" fillId="0" borderId="43" xfId="11" applyFont="1" applyBorder="1" applyAlignment="1">
      <alignment horizontal="center"/>
    </xf>
    <xf numFmtId="0" fontId="9" fillId="0" borderId="3" xfId="0" applyFont="1" applyBorder="1" applyAlignment="1" applyProtection="1">
      <alignment horizontal="center" wrapText="1"/>
      <protection locked="0"/>
    </xf>
    <xf numFmtId="0" fontId="9" fillId="0" borderId="4" xfId="0" applyFont="1" applyBorder="1" applyAlignment="1" applyProtection="1">
      <alignment horizontal="center" wrapText="1"/>
      <protection locked="0"/>
    </xf>
    <xf numFmtId="0" fontId="9" fillId="0" borderId="5" xfId="0" applyFont="1" applyBorder="1" applyAlignment="1" applyProtection="1">
      <alignment horizontal="center" wrapText="1"/>
      <protection locked="0"/>
    </xf>
    <xf numFmtId="0" fontId="9" fillId="0" borderId="10" xfId="0" applyFont="1" applyBorder="1" applyAlignment="1" applyProtection="1">
      <alignment horizontal="center" wrapText="1"/>
      <protection locked="0"/>
    </xf>
    <xf numFmtId="0" fontId="9" fillId="0" borderId="11" xfId="0" applyFont="1" applyBorder="1" applyAlignment="1" applyProtection="1">
      <alignment horizontal="center" wrapText="1"/>
      <protection locked="0"/>
    </xf>
    <xf numFmtId="0" fontId="9" fillId="0" borderId="12" xfId="0" applyFont="1" applyBorder="1" applyAlignment="1" applyProtection="1">
      <alignment horizontal="center" wrapText="1"/>
      <protection locked="0"/>
    </xf>
  </cellXfs>
  <cellStyles count="14">
    <cellStyle name="Comma" xfId="1" builtinId="3"/>
    <cellStyle name="Comma 2" xfId="12" xr:uid="{0D2B4618-F3ED-45D9-9A48-032E2469C7AD}"/>
    <cellStyle name="Comma 8" xfId="6" xr:uid="{E3C343EE-0DE0-47A1-9476-CAA00CC03583}"/>
    <cellStyle name="Comma 8 2" xfId="10" xr:uid="{27226900-90B1-4FB6-BF79-CEB75ED8A492}"/>
    <cellStyle name="Hyperlink" xfId="3" builtinId="8"/>
    <cellStyle name="Normal" xfId="0" builtinId="0"/>
    <cellStyle name="Normal 2" xfId="4" xr:uid="{EE60E458-E094-4F04-9994-4412E49E7130}"/>
    <cellStyle name="Normal 3" xfId="13" xr:uid="{10F2F706-29A2-4FB5-AF40-68E0BF46BFEC}"/>
    <cellStyle name="Normal 5" xfId="11" xr:uid="{E6D43F56-C830-4E5A-801E-B55325E34378}"/>
    <cellStyle name="Normal 6" xfId="5" xr:uid="{D01D22A7-9F98-405E-A6F0-10A51ABE8E0F}"/>
    <cellStyle name="Normal 6 2" xfId="8" xr:uid="{2F353813-D43E-4F2D-9468-58BAC02B19E9}"/>
    <cellStyle name="Percent" xfId="2" builtinId="5"/>
    <cellStyle name="Percent 2" xfId="9" xr:uid="{7FD28957-0F9D-4ACB-B23D-6C5A28AA44C7}"/>
    <cellStyle name="Percent 8" xfId="7" xr:uid="{417E65C6-CF40-4854-A986-3E8990306E1B}"/>
  </cellStyles>
  <dxfs count="0"/>
  <tableStyles count="0" defaultTableStyle="TableStyleMedium2" defaultPivotStyle="PivotStyleLight16"/>
  <colors>
    <mruColors>
      <color rgb="FF0000FF"/>
      <color rgb="FFFF99FF"/>
      <color rgb="FFFF33CC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t11\Desktop\ERM%20F2022\Grading%20Rubric%20Template%202022%20INV%20Fall%20Q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rwon\Downloads\BigBen_Financials-2020%20updated_1.26.20%20ERMCor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4f826691a47be37/_Volunteer/Financials_2021/2021%20SL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Qxt"/>
      <sheetName val="Calculations"/>
      <sheetName val="Syllabus List"/>
      <sheetName val="Core List"/>
    </sheetNames>
    <sheetDataSet>
      <sheetData sheetId="0"/>
      <sheetData sheetId="1">
        <row r="9">
          <cell r="B9" t="str">
            <v>INV-2</v>
          </cell>
        </row>
        <row r="10">
          <cell r="B10" t="str">
            <v>INV-3</v>
          </cell>
        </row>
        <row r="11">
          <cell r="B11" t="e">
            <v>#N/A</v>
          </cell>
        </row>
        <row r="12">
          <cell r="B12" t="e">
            <v>#N/A</v>
          </cell>
        </row>
        <row r="13">
          <cell r="B13" t="e">
            <v>#N/A</v>
          </cell>
        </row>
        <row r="14">
          <cell r="B14" t="e">
            <v>#N/A</v>
          </cell>
        </row>
        <row r="15">
          <cell r="B15" t="e">
            <v>#N/A</v>
          </cell>
        </row>
        <row r="16">
          <cell r="B16" t="e">
            <v>#N/A</v>
          </cell>
        </row>
        <row r="17">
          <cell r="B17" t="e">
            <v>#N/A</v>
          </cell>
        </row>
        <row r="18">
          <cell r="B18" t="e">
            <v>#N/A</v>
          </cell>
        </row>
      </sheetData>
      <sheetData sheetId="2"/>
      <sheetData sheetId="3">
        <row r="4">
          <cell r="B4" t="str">
            <v>A New Approach to Managing Operational Risk, Ch. 8 (LO 1)</v>
          </cell>
        </row>
        <row r="5">
          <cell r="B5" t="str">
            <v>Corporate Pension Risk Mgmt and Corporate Finance:  Bridging the Gap between theory and Practice in Pension Risk Management (LO 1)</v>
          </cell>
        </row>
        <row r="6">
          <cell r="B6" t="str">
            <v>COSO KRI Paper (LO 1)</v>
          </cell>
        </row>
        <row r="7">
          <cell r="B7" t="str">
            <v>Economic Scenario Generators: A Practical Guide, p. 7-17 (pp. 97-112 background only) (LO 1)</v>
          </cell>
        </row>
        <row r="8">
          <cell r="B8" t="str">
            <v>Embedding Cyber Risk in Risk Management: An Insurer’s Perspective (pp. 12-15 of Cybersecurity: Impact on Insurance Business and Operations) (LO 1)</v>
          </cell>
        </row>
        <row r="9">
          <cell r="B9" t="str">
            <v>ERM-101-12: Measurement and Modeling of Dependencies in Economic Capital (Ch 3-5) (LO 1)</v>
          </cell>
        </row>
        <row r="10">
          <cell r="B10" t="str">
            <v>ERM-104-12: Study Note on Parameter Risk, Venter and Sahasrabuddhe (Except Section 3) (LO 1)</v>
          </cell>
        </row>
        <row r="11">
          <cell r="B11" t="str">
            <v>ERM-106-12: Economic Capital-Practical Considerations-Milliman (LO 1)</v>
          </cell>
        </row>
        <row r="12">
          <cell r="B12" t="str">
            <v>ERM-107-12: Strategic Risk Management Practice, Anderson and Schroder, 2010 Ch. 7  Strategic Risk Analysis (LO 1)</v>
          </cell>
        </row>
        <row r="13">
          <cell r="B13" t="str">
            <v>ERM-110-12: Derivatives: Practice and Principles, Recommendations 9-24 and Section III (LO 1)</v>
          </cell>
        </row>
        <row r="14">
          <cell r="B14" t="str">
            <v>ERM-119-14: Aggregation of risks and Allocation of Capital (Sections 4-7 Excluding 6.3) (LO 1)</v>
          </cell>
        </row>
        <row r="15">
          <cell r="B15" t="str">
            <v>ERM-120-14: IAA Note on Stress Testing and Scenario Analysis (pp. 1-6, 14-17 and Page 19-25 ) (LO 1)</v>
          </cell>
        </row>
        <row r="16">
          <cell r="B16" t="str">
            <v>ERM-124-15: Counterparty Credit Risk, First Edition, Jon Gregory, Chapter 2: Defining Counterparty Credit Risk (LO 1)</v>
          </cell>
        </row>
        <row r="17">
          <cell r="B17" t="str">
            <v>ERM-128-17: The Breadth and Scope of the Global Reinsurance Market and the Critical Role Such Market Plays in Supporting Insurance in the United States, Ch. III, IV, and VI (LO 1)</v>
          </cell>
        </row>
        <row r="18">
          <cell r="B18" t="str">
            <v>ERM-130-18: AAA Model Governance Practice Note  (LO 1)</v>
          </cell>
        </row>
        <row r="19">
          <cell r="B19" t="str">
            <v>ERM-131-18: Leveraging COSO Across The Three Lines Of Defenses (LO 1)</v>
          </cell>
        </row>
        <row r="20">
          <cell r="B20" t="str">
            <v>ERM-133-19: Emerging Risks and Enterprise Risk Management (pp. 2-6) (LO 1)</v>
          </cell>
        </row>
        <row r="21">
          <cell r="B21" t="str">
            <v>ERM-134-21: Group Insurance Chapter 39 Risk Based Capital Formulas (LO 1)</v>
          </cell>
        </row>
        <row r="22">
          <cell r="B22" t="str">
            <v>ERM-135-20: Risk Management and the Rating Process for Insurance Companies by A.M. Best (LO 1)</v>
          </cell>
        </row>
        <row r="23">
          <cell r="B23" t="str">
            <v>ERM-136-20: Managing Liquidity Risk: Industry practices and recommendations for CROs (excluding section 4)  (LO 1)</v>
          </cell>
        </row>
        <row r="24">
          <cell r="B24" t="str">
            <v>ERM-137-20: ORSA and the Regulator by AAA (LO 1)</v>
          </cell>
        </row>
        <row r="25">
          <cell r="B25" t="str">
            <v>ERM-138-20: Quantitative Enterprise Risk Management by Mary Hardy, Chapter 6: Extreme Value Theories (LO 1)</v>
          </cell>
        </row>
        <row r="26">
          <cell r="B26" t="str">
            <v>ERM-139-20: Quantitative Enterprise Risk Management by Mary Hardy, Chapter 7: Copulas (LO 1)</v>
          </cell>
        </row>
        <row r="27">
          <cell r="B27" t="str">
            <v>ERM-140-20: Risk Adjustments for Insurance Contracts under IFRS 17: Chapter 3: Risk Adjustment Techniques &amp; Chapter 7: Validation Of Risk Adjustments (LO 1)</v>
          </cell>
        </row>
        <row r="28">
          <cell r="B28" t="str">
            <v>ERM-141-20: Managing Investment Portfolios, Maginn, John L. &amp; Tuttle, Donald L., 3rd Edition, 2007  Ch. 9: Risk Management (section 5) (LO 1)</v>
          </cell>
        </row>
        <row r="29">
          <cell r="B29" t="str">
            <v>ERM-142-20: Data Quality is the Biggest Challenge by Moody (LO 1)</v>
          </cell>
        </row>
        <row r="30">
          <cell r="B30" t="str">
            <v>ERM-143-20: Internal Controls Toolkit, Doxey, Ch. 1, pp. 11-17 &amp; 27-35 (LO 1)</v>
          </cell>
        </row>
        <row r="31">
          <cell r="B31" t="str">
            <v>ERM-144-20: IAA Risk Book - Chapter 13: Asset Liability Management Techniques and Practices for Insurance Companies (LO 1)</v>
          </cell>
        </row>
        <row r="32">
          <cell r="B32" t="str">
            <v>ERM-145-21: IAA Paper: Importance of Climate-Related Risks for Actuaries (Pages 2-14) (LO 1)</v>
          </cell>
        </row>
        <row r="33">
          <cell r="B33" t="str">
            <v>ERM-146-21: Covid-19: implications for insurer risk management and the insurability of pandemic risk (LO 1)</v>
          </cell>
        </row>
        <row r="34">
          <cell r="B34" t="str">
            <v>ERM-147-21: Working with Inherent and Residual Risk (LO 1)</v>
          </cell>
        </row>
        <row r="35">
          <cell r="B35" t="str">
            <v>ERM-702-12: IAA Note on ERM for Capital and Solvency Purposes in the Insurance Industry, Pages 9–38 (LO 1)</v>
          </cell>
        </row>
        <row r="36">
          <cell r="B36" t="str">
            <v>ERM-811-15: Agency Theory And Asymmetric Information (fe_s14-09_agency_theory.pdf) (LO 1)</v>
          </cell>
        </row>
        <row r="37">
          <cell r="B37" t="str">
            <v>ERM-819-19 Exchange Rate Risk Measurement and Management (LO 1)</v>
          </cell>
        </row>
        <row r="38">
          <cell r="B38" t="str">
            <v>Financial Enterprise Risk Management, Sweeting, 2017 Ch. 16  Responses to Risk (LO 1)</v>
          </cell>
        </row>
        <row r="39">
          <cell r="B39" t="str">
            <v>Financial Enterprise Risk Management, Sweeting, 2017, Ch. 14  Quantifying Particular Risks (LO 1)</v>
          </cell>
        </row>
        <row r="40">
          <cell r="B40" t="str">
            <v>Financial Enterprise Risk Management, Sweeting, 2017, Ch. 8  Risk Identification (LO 1)</v>
          </cell>
        </row>
        <row r="41">
          <cell r="B41" t="str">
            <v>Financial Enterprise Risk Management, Sweeting, 2017, Ch. 9 Some Useful Statistics (Background Only) (LO 1)</v>
          </cell>
        </row>
        <row r="42">
          <cell r="B42" t="str">
            <v>Modeling Tail Behavior with Extreme Value Theory, Risk Management, Sept 2009 (LO 1)</v>
          </cell>
        </row>
        <row r="43">
          <cell r="B43" t="str">
            <v>National Risk Management A Practical ERM Approach for Federal Governments, pp. 11-22 (LO 1)</v>
          </cell>
        </row>
        <row r="44">
          <cell r="B44" t="str">
            <v>Preparing for Political Risk When you Don't Know Where it will Come From (with the 3 expanded "pop outs" in the article) (LO 1)</v>
          </cell>
        </row>
        <row r="45">
          <cell r="B45" t="str">
            <v>Regulatory Risk and North American Insurance Organizations (sections 6.1-6.14 and section 7) (LO 1)</v>
          </cell>
        </row>
        <row r="46">
          <cell r="B46" t="str">
            <v>Risk Appetite: Linkage with Strategic Planning Report  (LO 1)</v>
          </cell>
        </row>
        <row r="47">
          <cell r="B47" t="str">
            <v>Value-at- Risk, Third Edition, The New Benchmark for Managing Financial Risk,  Jorion Ch. 12  Monte Carlo Methods (LO 1)</v>
          </cell>
        </row>
        <row r="48">
          <cell r="B48" t="str">
            <v>Value-at- Risk, Third Edition, The New Benchmark for Managing Financial Risk,  Jorion Ch. 13  Liquidity Risk (Except section 13.4) (LO 1)</v>
          </cell>
        </row>
        <row r="49">
          <cell r="B49" t="str">
            <v>Value-at- Risk, Third Edition, The New Benchmark for Managing Financial Risk,  Jorion Ch. 18  Credit Risk Management (LO 1)</v>
          </cell>
        </row>
        <row r="50">
          <cell r="B50" t="str">
            <v>Value-at- Risk, Third Edition, The New Benchmark for Managing Financial Risk,  Jorion Ch. 7  Portfolio Risk: Analytical Methods (LO 1)</v>
          </cell>
        </row>
        <row r="51">
          <cell r="B51" t="str">
            <v>Value-at- Risk, Third Edition, The New Benchmark for Managing Financial Risk,  Jorion Ch. 9  Forecasting Risk and Correlations (LO 1)</v>
          </cell>
        </row>
        <row r="52">
          <cell r="B52" t="str">
            <v>A New Approach to Managing Operational Risk, Ch. 8 (LO 2)</v>
          </cell>
        </row>
        <row r="53">
          <cell r="B53" t="str">
            <v>Corporate Pension Risk Mgmt and Corporate Finance:  Bridging the Gap between theory and Practice in Pension Risk Management (LO 2)</v>
          </cell>
        </row>
        <row r="54">
          <cell r="B54" t="str">
            <v>COSO KRI Paper (LO 2)</v>
          </cell>
        </row>
        <row r="55">
          <cell r="B55" t="str">
            <v>Economic Scenario Generators: A Practical Guide, p. 7-17 (pp. 97-112 background only) (LO 2)</v>
          </cell>
        </row>
        <row r="56">
          <cell r="B56" t="str">
            <v>Embedding Cyber Risk in Risk Management: An Insurer’s Perspective (pp. 12-15 of Cybersecurity: Impact on Insurance Business and Operations) (LO 2)</v>
          </cell>
        </row>
        <row r="57">
          <cell r="B57" t="str">
            <v>ERM-101-12: Measurement and Modeling of Dependencies in Economic Capital (Ch 3-5) (LO 2)</v>
          </cell>
        </row>
        <row r="58">
          <cell r="B58" t="str">
            <v>ERM-104-12: Study Note on Parameter Risk, Venter and Sahasrabuddhe (Except Section 3) (LO 2)</v>
          </cell>
        </row>
        <row r="59">
          <cell r="B59" t="str">
            <v>ERM-106-12: Economic Capital-Practical Considerations-Milliman (LO 2)</v>
          </cell>
        </row>
        <row r="60">
          <cell r="B60" t="str">
            <v>ERM-107-12: Strategic Risk Management Practice, Anderson and Schroder, 2010 Ch. 7  Strategic Risk Analysis (LO 2)</v>
          </cell>
        </row>
        <row r="61">
          <cell r="B61" t="str">
            <v>ERM-110-12: Derivatives: Practice and Principles, Recommendations 9-24 and Section III (LO 2)</v>
          </cell>
        </row>
        <row r="62">
          <cell r="B62" t="str">
            <v>ERM-119-14: Aggregation of risks and Allocation of Capital (Sections 4-7 Excluding 6.3) (LO 2)</v>
          </cell>
        </row>
        <row r="63">
          <cell r="B63" t="str">
            <v>ERM-120-14: IAA Note on Stress Testing and Scenario Analysis (pp. 1-6, 14-17 and Page 19-25 ) (LO 2)</v>
          </cell>
        </row>
        <row r="64">
          <cell r="B64" t="str">
            <v>ERM-124-15: Counterparty Credit Risk, First Edition, Jon Gregory, Chapter 2: Defining Counterparty Credit Risk (LO 2)</v>
          </cell>
        </row>
        <row r="65">
          <cell r="B65" t="str">
            <v>ERM-128-17: The Breadth and Scope of the Global Reinsurance Market and the Critical Role Such Market Plays in Supporting Insurance in the United States, Ch. III, IV, and VI (LO 2)</v>
          </cell>
        </row>
        <row r="66">
          <cell r="B66" t="str">
            <v>ERM-130-18: AAA Model Governance Practice Note  (LO 2)</v>
          </cell>
        </row>
        <row r="67">
          <cell r="B67" t="str">
            <v>ERM-131-18: Leveraging COSO Across The Three Lines Of Defenses (LO 2)</v>
          </cell>
        </row>
        <row r="68">
          <cell r="B68" t="str">
            <v>ERM-133-19: Emerging Risks and Enterprise Risk Management (pp. 2-6) (LO 2)</v>
          </cell>
        </row>
        <row r="69">
          <cell r="B69" t="str">
            <v>ERM-134-21: Group Insurance Chapter 39 Risk Based Capital Formulas (LO 2)</v>
          </cell>
        </row>
        <row r="70">
          <cell r="B70" t="str">
            <v>ERM-135-20: Risk Management and the Rating Process for Insurance Companies by A.M. Best (LO 2)</v>
          </cell>
        </row>
        <row r="71">
          <cell r="B71" t="str">
            <v>ERM-136-20: Managing Liquidity Risk: Industry practices and recommendations for CROs (excluding section 4)  (LO 2)</v>
          </cell>
        </row>
        <row r="72">
          <cell r="B72" t="str">
            <v>ERM-137-20: ORSA and the Regulator by AAA (LO 2)</v>
          </cell>
        </row>
        <row r="73">
          <cell r="B73" t="str">
            <v>ERM-138-20: Quantitative Enterprise Risk Management by Mary Hardy, Chapter 6: Extreme Value Theories (LO 2)</v>
          </cell>
        </row>
        <row r="74">
          <cell r="B74" t="str">
            <v>ERM-139-20: Quantitative Enterprise Risk Management by Mary Hardy, Chapter 7: Copulas (LO 2)</v>
          </cell>
        </row>
        <row r="75">
          <cell r="B75" t="str">
            <v>ERM-140-20: Risk Adjustments for Insurance Contracts under IFRS 17: Chapter 3: Risk Adjustment Techniques &amp; Chapter 7: Validation Of Risk Adjustments (LO 2)</v>
          </cell>
        </row>
        <row r="76">
          <cell r="B76" t="str">
            <v>ERM-141-20: Managing Investment Portfolios, Maginn, John L. &amp; Tuttle, Donald L., 3rd Edition, 2007  Ch. 9: Risk Management (section 5) (LO 2)</v>
          </cell>
        </row>
        <row r="77">
          <cell r="B77" t="str">
            <v>ERM-142-20: Data Quality is the Biggest Challenge by Moody (LO 2)</v>
          </cell>
        </row>
        <row r="78">
          <cell r="B78" t="str">
            <v>ERM-143-20: Internal Controls Toolkit, Doxey, Ch. 1, pp. 11-17 &amp; 27-35 (LO 2)</v>
          </cell>
        </row>
        <row r="79">
          <cell r="B79" t="str">
            <v>ERM-144-20: IAA Risk Book - Chapter 13: Asset Liability Management Techniques and Practices for Insurance Companies (LO 2)</v>
          </cell>
        </row>
        <row r="80">
          <cell r="B80" t="str">
            <v>ERM-145-21: IAA Paper: Importance of Climate-Related Risks for Actuaries (Pages 2-14) (LO 2)</v>
          </cell>
        </row>
        <row r="81">
          <cell r="B81" t="str">
            <v>ERM-146-21: Covid-19: implications for insurer risk management and the insurability of pandemic risk (LO 2)</v>
          </cell>
        </row>
        <row r="82">
          <cell r="B82" t="str">
            <v>ERM-147-21: Working with Inherent and Residual Risk (LO 2)</v>
          </cell>
        </row>
        <row r="83">
          <cell r="B83" t="str">
            <v>ERM-702-12: IAA Note on ERM for Capital and Solvency Purposes in the Insurance Industry, Pages 9–38 (LO 2)</v>
          </cell>
        </row>
        <row r="84">
          <cell r="B84" t="str">
            <v>ERM-811-15: Agency Theory And Asymmetric Information (fe_s14-09_agency_theory.pdf) (LO 2)</v>
          </cell>
        </row>
        <row r="85">
          <cell r="B85" t="str">
            <v>ERM-819-19 Exchange Rate Risk Measurement and Management (LO 2)</v>
          </cell>
        </row>
        <row r="86">
          <cell r="B86" t="str">
            <v>Financial Enterprise Risk Management, Sweeting, 2017 Ch. 16  Responses to Risk (LO 2)</v>
          </cell>
        </row>
        <row r="87">
          <cell r="B87" t="str">
            <v>Financial Enterprise Risk Management, Sweeting, 2017, Ch. 14  Quantifying Particular Risks (LO 2)</v>
          </cell>
        </row>
        <row r="88">
          <cell r="B88" t="str">
            <v>Financial Enterprise Risk Management, Sweeting, 2017, Ch. 8  Risk Identification (LO 2)</v>
          </cell>
        </row>
        <row r="89">
          <cell r="B89" t="str">
            <v>Financial Enterprise Risk Management, Sweeting, 2017, Ch. 9 Some Useful Statistics (Background Only) (LO 2)</v>
          </cell>
        </row>
        <row r="90">
          <cell r="B90" t="str">
            <v>Modeling Tail Behavior with Extreme Value Theory, Risk Management, Sept 2009 (LO 2)</v>
          </cell>
        </row>
        <row r="91">
          <cell r="B91" t="str">
            <v>National Risk Management A Practical ERM Approach for Federal Governments, pp. 11-22 (LO 2)</v>
          </cell>
        </row>
        <row r="92">
          <cell r="B92" t="str">
            <v>Preparing for Political Risk When you Don't Know Where it will Come From (with the 3 expanded "pop outs" in the article) (LO 2)</v>
          </cell>
        </row>
        <row r="93">
          <cell r="B93" t="str">
            <v>Regulatory Risk and North American Insurance Organizations (sections 6.1-6.14 and section 7) (LO 2)</v>
          </cell>
        </row>
        <row r="94">
          <cell r="B94" t="str">
            <v>Risk Appetite: Linkage with Strategic Planning Report  (LO 2)</v>
          </cell>
        </row>
        <row r="95">
          <cell r="B95" t="str">
            <v>Value-at- Risk, Third Edition, The New Benchmark for Managing Financial Risk,  Jorion Ch. 12  Monte Carlo Methods (LO 2)</v>
          </cell>
        </row>
        <row r="96">
          <cell r="B96" t="str">
            <v>Value-at- Risk, Third Edition, The New Benchmark for Managing Financial Risk,  Jorion Ch. 13  Liquidity Risk (Except section 13.4) (LO 2)</v>
          </cell>
        </row>
        <row r="97">
          <cell r="B97" t="str">
            <v>Value-at- Risk, Third Edition, The New Benchmark for Managing Financial Risk,  Jorion Ch. 18  Credit Risk Management (LO 2)</v>
          </cell>
        </row>
        <row r="98">
          <cell r="B98" t="str">
            <v>Value-at- Risk, Third Edition, The New Benchmark for Managing Financial Risk,  Jorion Ch. 7  Portfolio Risk: Analytical Methods (LO 2)</v>
          </cell>
        </row>
        <row r="99">
          <cell r="B99" t="str">
            <v>Value-at- Risk, Third Edition, The New Benchmark for Managing Financial Risk,  Jorion Ch. 9  Forecasting Risk and Correlations (LO 2)</v>
          </cell>
        </row>
        <row r="100">
          <cell r="B100" t="str">
            <v>A New Approach to Managing Operational Risk, Ch. 8 (LO 3)</v>
          </cell>
        </row>
        <row r="101">
          <cell r="B101" t="str">
            <v>Corporate Pension Risk Mgmt and Corporate Finance:  Bridging the Gap between theory and Practice in Pension Risk Management (LO 3)</v>
          </cell>
        </row>
        <row r="102">
          <cell r="B102" t="str">
            <v>COSO KRI Paper (LO 3)</v>
          </cell>
        </row>
        <row r="103">
          <cell r="B103" t="str">
            <v>Economic Scenario Generators: A Practical Guide, p. 7-17 (pp. 97-112 background only) (LO 3)</v>
          </cell>
        </row>
        <row r="104">
          <cell r="B104" t="str">
            <v>Embedding Cyber Risk in Risk Management: An Insurer’s Perspective (pp. 12-15 of Cybersecurity: Impact on Insurance Business and Operations) (LO 3)</v>
          </cell>
        </row>
        <row r="105">
          <cell r="B105" t="str">
            <v>ERM-101-12: Measurement and Modeling of Dependencies in Economic Capital (Ch 3-5) (LO 3)</v>
          </cell>
        </row>
        <row r="106">
          <cell r="B106" t="str">
            <v>ERM-104-12: Study Note on Parameter Risk, Venter and Sahasrabuddhe (Except Section 3) (LO 3)</v>
          </cell>
        </row>
        <row r="107">
          <cell r="B107" t="str">
            <v>ERM-106-12: Economic Capital-Practical Considerations-Milliman (LO 3)</v>
          </cell>
        </row>
        <row r="108">
          <cell r="B108" t="str">
            <v>ERM-107-12: Strategic Risk Management Practice, Anderson and Schroder, 2010 Ch. 7  Strategic Risk Analysis (LO 3)</v>
          </cell>
        </row>
        <row r="109">
          <cell r="B109" t="str">
            <v>ERM-110-12: Derivatives: Practice and Principles, Recommendations 9-24 and Section III (LO 3)</v>
          </cell>
        </row>
        <row r="110">
          <cell r="B110" t="str">
            <v>ERM-119-14: Aggregation of risks and Allocation of Capital (Sections 4-7 Excluding 6.3) (LO 3)</v>
          </cell>
        </row>
        <row r="111">
          <cell r="B111" t="str">
            <v>ERM-120-14: IAA Note on Stress Testing and Scenario Analysis (pp. 1-6, 14-17 and Page 19-25 ) (LO 3)</v>
          </cell>
        </row>
        <row r="112">
          <cell r="B112" t="str">
            <v>ERM-124-15: Counterparty Credit Risk, First Edition, Jon Gregory, Chapter 2: Defining Counterparty Credit Risk (LO 3)</v>
          </cell>
        </row>
        <row r="113">
          <cell r="B113" t="str">
            <v>ERM-128-17: The Breadth and Scope of the Global Reinsurance Market and the Critical Role Such Market Plays in Supporting Insurance in the United States, Ch. III, IV, and VI (LO 3)</v>
          </cell>
        </row>
        <row r="114">
          <cell r="B114" t="str">
            <v>ERM-130-18: AAA Model Governance Practice Note  (LO 3)</v>
          </cell>
        </row>
        <row r="115">
          <cell r="B115" t="str">
            <v>ERM-131-18: Leveraging COSO Across The Three Lines Of Defenses (LO 3)</v>
          </cell>
        </row>
        <row r="116">
          <cell r="B116" t="str">
            <v>ERM-133-19: Emerging Risks and Enterprise Risk Management (pp. 2-6) (LO 3)</v>
          </cell>
        </row>
        <row r="117">
          <cell r="B117" t="str">
            <v>ERM-134-21: Group Insurance Chapter 39 Risk Based Capital Formulas (LO 3)</v>
          </cell>
        </row>
        <row r="118">
          <cell r="B118" t="str">
            <v>ERM-135-20: Risk Management and the Rating Process for Insurance Companies by A.M. Best (LO 3)</v>
          </cell>
        </row>
        <row r="119">
          <cell r="B119" t="str">
            <v>ERM-136-20: Managing Liquidity Risk: Industry practices and recommendations for CROs (excluding section 4)  (LO 3)</v>
          </cell>
        </row>
        <row r="120">
          <cell r="B120" t="str">
            <v>ERM-137-20: ORSA and the Regulator by AAA (LO 3)</v>
          </cell>
        </row>
        <row r="121">
          <cell r="B121" t="str">
            <v>ERM-138-20: Quantitative Enterprise Risk Management by Mary Hardy, Chapter 6: Extreme Value Theories (LO 3)</v>
          </cell>
        </row>
        <row r="122">
          <cell r="B122" t="str">
            <v>ERM-139-20: Quantitative Enterprise Risk Management by Mary Hardy, Chapter 7: Copulas (LO 3)</v>
          </cell>
        </row>
        <row r="123">
          <cell r="B123" t="str">
            <v>ERM-140-20: Risk Adjustments for Insurance Contracts under IFRS 17: Chapter 3: Risk Adjustment Techniques &amp; Chapter 7: Validation Of Risk Adjustments (LO 3)</v>
          </cell>
        </row>
        <row r="124">
          <cell r="B124" t="str">
            <v>ERM-141-20: Managing Investment Portfolios, Maginn, John L. &amp; Tuttle, Donald L., 3rd Edition, 2007  Ch. 9: Risk Management (section 5) (LO 3)</v>
          </cell>
        </row>
        <row r="125">
          <cell r="B125" t="str">
            <v>ERM-142-20: Data Quality is the Biggest Challenge by Moody (LO 3)</v>
          </cell>
        </row>
        <row r="126">
          <cell r="B126" t="str">
            <v>ERM-143-20: Internal Controls Toolkit, Doxey, Ch. 1, pp. 11-17 &amp; 27-35 (LO 3)</v>
          </cell>
        </row>
        <row r="127">
          <cell r="B127" t="str">
            <v>ERM-144-20: IAA Risk Book - Chapter 13: Asset Liability Management Techniques and Practices for Insurance Companies (LO 3)</v>
          </cell>
        </row>
        <row r="128">
          <cell r="B128" t="str">
            <v>ERM-145-21: IAA Paper: Importance of Climate-Related Risks for Actuaries (Pages 2-14) (LO 3)</v>
          </cell>
        </row>
        <row r="129">
          <cell r="B129" t="str">
            <v>ERM-146-21: Covid-19: implications for insurer risk management and the insurability of pandemic risk (LO 3)</v>
          </cell>
        </row>
        <row r="130">
          <cell r="B130" t="str">
            <v>ERM-147-21: Working with Inherent and Residual Risk (LO 3)</v>
          </cell>
        </row>
        <row r="131">
          <cell r="B131" t="str">
            <v>ERM-702-12: IAA Note on ERM for Capital and Solvency Purposes in the Insurance Industry, Pages 9–38 (LO 3)</v>
          </cell>
        </row>
        <row r="132">
          <cell r="B132" t="str">
            <v>ERM-811-15: Agency Theory And Asymmetric Information (fe_s14-09_agency_theory.pdf) (LO 3)</v>
          </cell>
        </row>
        <row r="133">
          <cell r="B133" t="str">
            <v>ERM-819-19 Exchange Rate Risk Measurement and Management (LO 3)</v>
          </cell>
        </row>
        <row r="134">
          <cell r="B134" t="str">
            <v>Financial Enterprise Risk Management, Sweeting, 2017 Ch. 16  Responses to Risk (LO 3)</v>
          </cell>
        </row>
        <row r="135">
          <cell r="B135" t="str">
            <v>Financial Enterprise Risk Management, Sweeting, 2017, Ch. 14  Quantifying Particular Risks (LO 3)</v>
          </cell>
        </row>
        <row r="136">
          <cell r="B136" t="str">
            <v>Financial Enterprise Risk Management, Sweeting, 2017, Ch. 8  Risk Identification (LO 3)</v>
          </cell>
        </row>
        <row r="137">
          <cell r="B137" t="str">
            <v>Financial Enterprise Risk Management, Sweeting, 2017, Ch. 9 Some Useful Statistics (Background Only) (LO 3)</v>
          </cell>
        </row>
        <row r="138">
          <cell r="B138" t="str">
            <v>Modeling Tail Behavior with Extreme Value Theory, Risk Management, Sept 2009 (LO 3)</v>
          </cell>
        </row>
        <row r="139">
          <cell r="B139" t="str">
            <v>National Risk Management A Practical ERM Approach for Federal Governments, pp. 11-22 (LO 3)</v>
          </cell>
        </row>
        <row r="140">
          <cell r="B140" t="str">
            <v>Preparing for Political Risk When you Don't Know Where it will Come From (with the 3 expanded "pop outs" in the article) (LO 3)</v>
          </cell>
        </row>
        <row r="141">
          <cell r="B141" t="str">
            <v>Regulatory Risk and North American Insurance Organizations (sections 6.1-6.14 and section 7) (LO 3)</v>
          </cell>
        </row>
        <row r="142">
          <cell r="B142" t="str">
            <v>Risk Appetite: Linkage with Strategic Planning Report  (LO 3)</v>
          </cell>
        </row>
        <row r="143">
          <cell r="B143" t="str">
            <v>Value-at- Risk, Third Edition, The New Benchmark for Managing Financial Risk,  Jorion Ch. 12  Monte Carlo Methods (LO 3)</v>
          </cell>
        </row>
        <row r="144">
          <cell r="B144" t="str">
            <v>Value-at- Risk, Third Edition, The New Benchmark for Managing Financial Risk,  Jorion Ch. 13  Liquidity Risk (Except section 13.4) (LO 3)</v>
          </cell>
        </row>
        <row r="145">
          <cell r="B145" t="str">
            <v>Value-at- Risk, Third Edition, The New Benchmark for Managing Financial Risk,  Jorion Ch. 18  Credit Risk Management (LO 3)</v>
          </cell>
        </row>
        <row r="146">
          <cell r="B146" t="str">
            <v>Value-at- Risk, Third Edition, The New Benchmark for Managing Financial Risk,  Jorion Ch. 7  Portfolio Risk: Analytical Methods (LO 3)</v>
          </cell>
        </row>
        <row r="147">
          <cell r="B147" t="str">
            <v>Value-at- Risk, Third Edition, The New Benchmark for Managing Financial Risk,  Jorion Ch. 9  Forecasting Risk and Correlations (LO 3)</v>
          </cell>
        </row>
        <row r="148">
          <cell r="B148" t="str">
            <v>A New Approach to Managing Operational Risk, Ch. 8 (LO 4)</v>
          </cell>
        </row>
        <row r="149">
          <cell r="B149" t="str">
            <v>Corporate Pension Risk Mgmt and Corporate Finance:  Bridging the Gap between theory and Practice in Pension Risk Management (LO 4)</v>
          </cell>
        </row>
        <row r="150">
          <cell r="B150" t="str">
            <v>COSO KRI Paper (LO 4)</v>
          </cell>
        </row>
        <row r="151">
          <cell r="B151" t="str">
            <v>Economic Scenario Generators: A Practical Guide, p. 7-17 (pp. 97-112 background only) (LO 4)</v>
          </cell>
        </row>
        <row r="152">
          <cell r="B152" t="str">
            <v>Embedding Cyber Risk in Risk Management: An Insurer’s Perspective (pp. 12-15 of Cybersecurity: Impact on Insurance Business and Operations) (LO 4)</v>
          </cell>
        </row>
        <row r="153">
          <cell r="B153" t="str">
            <v>ERM-101-12: Measurement and Modeling of Dependencies in Economic Capital (Ch 3-5) (LO 4)</v>
          </cell>
        </row>
        <row r="154">
          <cell r="B154" t="str">
            <v>ERM-104-12: Study Note on Parameter Risk, Venter and Sahasrabuddhe (Except Section 3) (LO 4)</v>
          </cell>
        </row>
        <row r="155">
          <cell r="B155" t="str">
            <v>ERM-106-12: Economic Capital-Practical Considerations-Milliman (LO 4)</v>
          </cell>
        </row>
        <row r="156">
          <cell r="B156" t="str">
            <v>ERM-107-12: Strategic Risk Management Practice, Anderson and Schroder, 2010 Ch. 7  Strategic Risk Analysis (LO 4)</v>
          </cell>
        </row>
        <row r="157">
          <cell r="B157" t="str">
            <v>ERM-110-12: Derivatives: Practice and Principles, Recommendations 9-24 and Section III (LO 4)</v>
          </cell>
        </row>
        <row r="158">
          <cell r="B158" t="str">
            <v>ERM-119-14: Aggregation of risks and Allocation of Capital (Sections 4-7 Excluding 6.3) (LO 4)</v>
          </cell>
        </row>
        <row r="159">
          <cell r="B159" t="str">
            <v>ERM-120-14: IAA Note on Stress Testing and Scenario Analysis (pp. 1-6, 14-17 and Page 19-25 ) (LO 4)</v>
          </cell>
        </row>
        <row r="160">
          <cell r="B160" t="str">
            <v>ERM-124-15: Counterparty Credit Risk, First Edition, Jon Gregory, Chapter 2: Defining Counterparty Credit Risk (LO 4)</v>
          </cell>
        </row>
        <row r="161">
          <cell r="B161" t="str">
            <v>ERM-128-17: The Breadth and Scope of the Global Reinsurance Market and the Critical Role Such Market Plays in Supporting Insurance in the United States, Ch. III, IV, and VI (LO 4)</v>
          </cell>
        </row>
        <row r="162">
          <cell r="B162" t="str">
            <v>ERM-130-18: AAA Model Governance Practice Note  (LO 4)</v>
          </cell>
        </row>
        <row r="163">
          <cell r="B163" t="str">
            <v>ERM-131-18: Leveraging COSO Across The Three Lines Of Defenses (LO 4)</v>
          </cell>
        </row>
        <row r="164">
          <cell r="B164" t="str">
            <v>ERM-133-19: Emerging Risks and Enterprise Risk Management (pp. 2-6) (LO 4)</v>
          </cell>
        </row>
        <row r="165">
          <cell r="B165" t="str">
            <v>ERM-134-21: Group Insurance Chapter 39 Risk Based Capital Formulas (LO 4)</v>
          </cell>
        </row>
        <row r="166">
          <cell r="B166" t="str">
            <v>ERM-135-20: Risk Management and the Rating Process for Insurance Companies by A.M. Best (LO 4)</v>
          </cell>
        </row>
        <row r="167">
          <cell r="B167" t="str">
            <v>ERM-136-20: Managing Liquidity Risk: Industry practices and recommendations for CROs (excluding section 4)  (LO 4)</v>
          </cell>
        </row>
        <row r="168">
          <cell r="B168" t="str">
            <v>ERM-137-20: ORSA and the Regulator by AAA (LO 4)</v>
          </cell>
        </row>
        <row r="169">
          <cell r="B169" t="str">
            <v>ERM-138-20: Quantitative Enterprise Risk Management by Mary Hardy, Chapter 6: Extreme Value Theories (LO 4)</v>
          </cell>
        </row>
        <row r="170">
          <cell r="B170" t="str">
            <v>ERM-139-20: Quantitative Enterprise Risk Management by Mary Hardy, Chapter 7: Copulas (LO 4)</v>
          </cell>
        </row>
        <row r="171">
          <cell r="B171" t="str">
            <v>ERM-140-20: Risk Adjustments for Insurance Contracts under IFRS 17: Chapter 3: Risk Adjustment Techniques &amp; Chapter 7: Validation Of Risk Adjustments (LO 4)</v>
          </cell>
        </row>
        <row r="172">
          <cell r="B172" t="str">
            <v>ERM-141-20: Managing Investment Portfolios, Maginn, John L. &amp; Tuttle, Donald L., 3rd Edition, 2007  Ch. 9: Risk Management (section 5) (LO 4)</v>
          </cell>
        </row>
        <row r="173">
          <cell r="B173" t="str">
            <v>ERM-142-20: Data Quality is the Biggest Challenge by Moody (LO 4)</v>
          </cell>
        </row>
        <row r="174">
          <cell r="B174" t="str">
            <v>ERM-143-20: Internal Controls Toolkit, Doxey, Ch. 1, pp. 11-17 &amp; 27-35 (LO 4)</v>
          </cell>
        </row>
        <row r="175">
          <cell r="B175" t="str">
            <v>ERM-144-20: IAA Risk Book - Chapter 13: Asset Liability Management Techniques and Practices for Insurance Companies (LO 4)</v>
          </cell>
        </row>
        <row r="176">
          <cell r="B176" t="str">
            <v>ERM-145-21: IAA Paper: Importance of Climate-Related Risks for Actuaries (Pages 2-14) (LO 4)</v>
          </cell>
        </row>
        <row r="177">
          <cell r="B177" t="str">
            <v>ERM-146-21: Covid-19: implications for insurer risk management and the insurability of pandemic risk (LO 4)</v>
          </cell>
        </row>
        <row r="178">
          <cell r="B178" t="str">
            <v>ERM-147-21: Working with Inherent and Residual Risk (LO 4)</v>
          </cell>
        </row>
        <row r="179">
          <cell r="B179" t="str">
            <v>ERM-702-12: IAA Note on ERM for Capital and Solvency Purposes in the Insurance Industry, Pages 9–38 (LO 4)</v>
          </cell>
        </row>
        <row r="180">
          <cell r="B180" t="str">
            <v>ERM-811-15: Agency Theory And Asymmetric Information (fe_s14-09_agency_theory.pdf) (LO 4)</v>
          </cell>
        </row>
        <row r="181">
          <cell r="B181" t="str">
            <v>ERM-819-19 Exchange Rate Risk Measurement and Management (LO 4)</v>
          </cell>
        </row>
        <row r="182">
          <cell r="B182" t="str">
            <v>Financial Enterprise Risk Management, Sweeting, 2017 Ch. 16  Responses to Risk (LO 4)</v>
          </cell>
        </row>
        <row r="183">
          <cell r="B183" t="str">
            <v>Financial Enterprise Risk Management, Sweeting, 2017, Ch. 14  Quantifying Particular Risks (LO 4)</v>
          </cell>
        </row>
        <row r="184">
          <cell r="B184" t="str">
            <v>Financial Enterprise Risk Management, Sweeting, 2017, Ch. 8  Risk Identification (LO 4)</v>
          </cell>
        </row>
        <row r="185">
          <cell r="B185" t="str">
            <v>Financial Enterprise Risk Management, Sweeting, 2017, Ch. 9 Some Useful Statistics (Background Only) (LO 4)</v>
          </cell>
        </row>
        <row r="186">
          <cell r="B186" t="str">
            <v>Modeling Tail Behavior with Extreme Value Theory, Risk Management, Sept 2009 (LO 4)</v>
          </cell>
        </row>
        <row r="187">
          <cell r="B187" t="str">
            <v>National Risk Management A Practical ERM Approach for Federal Governments, pp. 11-22 (LO 4)</v>
          </cell>
        </row>
        <row r="188">
          <cell r="B188" t="str">
            <v>Preparing for Political Risk When you Don't Know Where it will Come From (with the 3 expanded "pop outs" in the article) (LO 4)</v>
          </cell>
        </row>
        <row r="189">
          <cell r="B189" t="str">
            <v>Regulatory Risk and North American Insurance Organizations (sections 6.1-6.14 and section 7) (LO 4)</v>
          </cell>
        </row>
        <row r="190">
          <cell r="B190" t="str">
            <v>Risk Appetite: Linkage with Strategic Planning Report  (LO 4)</v>
          </cell>
        </row>
        <row r="191">
          <cell r="B191" t="str">
            <v>Value-at- Risk, Third Edition, The New Benchmark for Managing Financial Risk,  Jorion Ch. 12  Monte Carlo Methods (LO 4)</v>
          </cell>
        </row>
        <row r="192">
          <cell r="B192" t="str">
            <v>Value-at- Risk, Third Edition, The New Benchmark for Managing Financial Risk,  Jorion Ch. 13  Liquidity Risk (Except section 13.4) (LO 4)</v>
          </cell>
        </row>
        <row r="193">
          <cell r="B193" t="str">
            <v>Value-at- Risk, Third Edition, The New Benchmark for Managing Financial Risk,  Jorion Ch. 18  Credit Risk Management (LO 4)</v>
          </cell>
        </row>
        <row r="194">
          <cell r="B194" t="str">
            <v>Value-at- Risk, Third Edition, The New Benchmark for Managing Financial Risk,  Jorion Ch. 7  Portfolio Risk: Analytical Methods (LO 4)</v>
          </cell>
        </row>
        <row r="195">
          <cell r="B195" t="str">
            <v>Value-at- Risk, Third Edition, The New Benchmark for Managing Financial Risk,  Jorion Ch. 9  Forecasting Risk and Correlations (LO 4)</v>
          </cell>
        </row>
        <row r="196">
          <cell r="B196" t="str">
            <v>A New Approach to Managing Operational Risk, Ch. 8 (LO 5)</v>
          </cell>
        </row>
        <row r="197">
          <cell r="B197" t="str">
            <v>Corporate Pension Risk Mgmt and Corporate Finance:  Bridging the Gap between theory and Practice in Pension Risk Management (LO 5)</v>
          </cell>
        </row>
        <row r="198">
          <cell r="B198" t="str">
            <v>COSO KRI Paper (LO 5)</v>
          </cell>
        </row>
        <row r="199">
          <cell r="B199" t="str">
            <v>Economic Scenario Generators: A Practical Guide, p. 7-17 (pp. 97-112 background only) (LO 5)</v>
          </cell>
        </row>
        <row r="200">
          <cell r="B200" t="str">
            <v>Embedding Cyber Risk in Risk Management: An Insurer’s Perspective (pp. 12-15 of Cybersecurity: Impact on Insurance Business and Operations) (LO 5)</v>
          </cell>
        </row>
        <row r="201">
          <cell r="B201" t="str">
            <v>ERM-101-12: Measurement and Modeling of Dependencies in Economic Capital (Ch 3-5) (LO 5)</v>
          </cell>
        </row>
        <row r="202">
          <cell r="B202" t="str">
            <v>ERM-104-12: Study Note on Parameter Risk, Venter and Sahasrabuddhe (Except Section 3) (LO 5)</v>
          </cell>
        </row>
        <row r="203">
          <cell r="B203" t="str">
            <v>ERM-106-12: Economic Capital-Practical Considerations-Milliman (LO 5)</v>
          </cell>
        </row>
        <row r="204">
          <cell r="B204" t="str">
            <v>ERM-107-12: Strategic Risk Management Practice, Anderson and Schroder, 2010 Ch. 7  Strategic Risk Analysis (LO 5)</v>
          </cell>
        </row>
        <row r="205">
          <cell r="B205" t="str">
            <v>ERM-110-12: Derivatives: Practice and Principles, Recommendations 9-24 and Section III (LO 5)</v>
          </cell>
        </row>
        <row r="206">
          <cell r="B206" t="str">
            <v>ERM-119-14: Aggregation of risks and Allocation of Capital (Sections 4-7 Excluding 6.3) (LO 5)</v>
          </cell>
        </row>
        <row r="207">
          <cell r="B207" t="str">
            <v>ERM-120-14: IAA Note on Stress Testing and Scenario Analysis (pp. 1-6, 14-17 and Page 19-25 ) (LO 5)</v>
          </cell>
        </row>
        <row r="208">
          <cell r="B208" t="str">
            <v>ERM-124-15: Counterparty Credit Risk, First Edition, Jon Gregory, Chapter 2: Defining Counterparty Credit Risk (LO 5)</v>
          </cell>
        </row>
        <row r="209">
          <cell r="B209" t="str">
            <v>ERM-128-17: The Breadth and Scope of the Global Reinsurance Market and the Critical Role Such Market Plays in Supporting Insurance in the United States, Ch. III, IV, and VI (LO 5)</v>
          </cell>
        </row>
        <row r="210">
          <cell r="B210" t="str">
            <v>ERM-130-18: AAA Model Governance Practice Note  (LO 5)</v>
          </cell>
        </row>
        <row r="211">
          <cell r="B211" t="str">
            <v>ERM-131-18: Leveraging COSO Across The Three Lines Of Defenses (LO 5)</v>
          </cell>
        </row>
        <row r="212">
          <cell r="B212" t="str">
            <v>ERM-133-19: Emerging Risks and Enterprise Risk Management (pp. 2-6) (LO 5)</v>
          </cell>
        </row>
        <row r="213">
          <cell r="B213" t="str">
            <v>ERM-134-21: Group Insurance Chapter 39 Risk Based Capital Formulas (LO 5)</v>
          </cell>
        </row>
        <row r="214">
          <cell r="B214" t="str">
            <v>ERM-135-20: Risk Management and the Rating Process for Insurance Companies by A.M. Best (LO 5)</v>
          </cell>
        </row>
        <row r="215">
          <cell r="B215" t="str">
            <v>ERM-136-20: Managing Liquidity Risk: Industry practices and recommendations for CROs (excluding section 4)  (LO 5)</v>
          </cell>
        </row>
        <row r="216">
          <cell r="B216" t="str">
            <v>ERM-137-20: ORSA and the Regulator by AAA (LO 5)</v>
          </cell>
        </row>
        <row r="217">
          <cell r="B217" t="str">
            <v>ERM-138-20: Quantitative Enterprise Risk Management by Mary Hardy, Chapter 6: Extreme Value Theories (LO 5)</v>
          </cell>
        </row>
        <row r="218">
          <cell r="B218" t="str">
            <v>ERM-139-20: Quantitative Enterprise Risk Management by Mary Hardy, Chapter 7: Copulas (LO 5)</v>
          </cell>
        </row>
        <row r="219">
          <cell r="B219" t="str">
            <v>ERM-140-20: Risk Adjustments for Insurance Contracts under IFRS 17: Chapter 3: Risk Adjustment Techniques &amp; Chapter 7: Validation Of Risk Adjustments (LO 5)</v>
          </cell>
        </row>
        <row r="220">
          <cell r="B220" t="str">
            <v>ERM-141-20: Managing Investment Portfolios, Maginn, John L. &amp; Tuttle, Donald L., 3rd Edition, 2007  Ch. 9: Risk Management (section 5) (LO 5)</v>
          </cell>
        </row>
        <row r="221">
          <cell r="B221" t="str">
            <v>ERM-142-20: Data Quality is the Biggest Challenge by Moody (LO 5)</v>
          </cell>
        </row>
        <row r="222">
          <cell r="B222" t="str">
            <v>ERM-143-20: Internal Controls Toolkit, Doxey, Ch. 1, pp. 11-17 &amp; 27-35 (LO 5)</v>
          </cell>
        </row>
        <row r="223">
          <cell r="B223" t="str">
            <v>ERM-144-20: IAA Risk Book - Chapter 13: Asset Liability Management Techniques and Practices for Insurance Companies (LO 5)</v>
          </cell>
        </row>
        <row r="224">
          <cell r="B224" t="str">
            <v>ERM-145-21: IAA Paper: Importance of Climate-Related Risks for Actuaries (Pages 2-14) (LO 5)</v>
          </cell>
        </row>
        <row r="225">
          <cell r="B225" t="str">
            <v>ERM-146-21: Covid-19: implications for insurer risk management and the insurability of pandemic risk (LO 5)</v>
          </cell>
        </row>
        <row r="226">
          <cell r="B226" t="str">
            <v>ERM-147-21: Working with Inherent and Residual Risk (LO 5)</v>
          </cell>
        </row>
        <row r="227">
          <cell r="B227" t="str">
            <v>ERM-702-12: IAA Note on ERM for Capital and Solvency Purposes in the Insurance Industry, Pages 9–38 (LO 5)</v>
          </cell>
        </row>
        <row r="228">
          <cell r="B228" t="str">
            <v>ERM-811-15: Agency Theory And Asymmetric Information (fe_s14-09_agency_theory.pdf) (LO 5)</v>
          </cell>
        </row>
        <row r="229">
          <cell r="B229" t="str">
            <v>ERM-819-19 Exchange Rate Risk Measurement and Management (LO 5)</v>
          </cell>
        </row>
        <row r="230">
          <cell r="B230" t="str">
            <v>Financial Enterprise Risk Management, Sweeting, 2017 Ch. 16  Responses to Risk (LO 5)</v>
          </cell>
        </row>
        <row r="231">
          <cell r="B231" t="str">
            <v>Financial Enterprise Risk Management, Sweeting, 2017, Ch. 14  Quantifying Particular Risks (LO 5)</v>
          </cell>
        </row>
        <row r="232">
          <cell r="B232" t="str">
            <v>Financial Enterprise Risk Management, Sweeting, 2017, Ch. 8  Risk Identification (LO 5)</v>
          </cell>
        </row>
        <row r="233">
          <cell r="B233" t="str">
            <v>Financial Enterprise Risk Management, Sweeting, 2017, Ch. 9 Some Useful Statistics (Background Only) (LO 5)</v>
          </cell>
        </row>
        <row r="234">
          <cell r="B234" t="str">
            <v>Modeling Tail Behavior with Extreme Value Theory, Risk Management, Sept 2009 (LO 5)</v>
          </cell>
        </row>
        <row r="235">
          <cell r="B235" t="str">
            <v>National Risk Management A Practical ERM Approach for Federal Governments, pp. 11-22 (LO 5)</v>
          </cell>
        </row>
        <row r="236">
          <cell r="B236" t="str">
            <v>Preparing for Political Risk When you Don't Know Where it will Come From (with the 3 expanded "pop outs" in the article) (LO 5)</v>
          </cell>
        </row>
        <row r="237">
          <cell r="B237" t="str">
            <v>Regulatory Risk and North American Insurance Organizations (sections 6.1-6.14 and section 7) (LO 5)</v>
          </cell>
        </row>
        <row r="238">
          <cell r="B238" t="str">
            <v>Risk Appetite: Linkage with Strategic Planning Report  (LO 5)</v>
          </cell>
        </row>
        <row r="239">
          <cell r="B239" t="str">
            <v>Value-at- Risk, Third Edition, The New Benchmark for Managing Financial Risk,  Jorion Ch. 12  Monte Carlo Methods (LO 5)</v>
          </cell>
        </row>
        <row r="240">
          <cell r="B240" t="str">
            <v>Value-at- Risk, Third Edition, The New Benchmark for Managing Financial Risk,  Jorion Ch. 13  Liquidity Risk (Except section 13.4) (LO 5)</v>
          </cell>
        </row>
        <row r="241">
          <cell r="B241" t="str">
            <v>Value-at- Risk, Third Edition, The New Benchmark for Managing Financial Risk,  Jorion Ch. 18  Credit Risk Management (LO 5)</v>
          </cell>
        </row>
        <row r="242">
          <cell r="B242" t="str">
            <v>Value-at- Risk, Third Edition, The New Benchmark for Managing Financial Risk,  Jorion Ch. 7  Portfolio Risk: Analytical Methods (LO 5)</v>
          </cell>
        </row>
        <row r="243">
          <cell r="B243" t="str">
            <v>Value-at- Risk, Third Edition, The New Benchmark for Managing Financial Risk,  Jorion Ch. 9  Forecasting Risk and Correlations (LO 5)</v>
          </cell>
        </row>
        <row r="244">
          <cell r="B244" t="str">
            <v>A New Approach to Managing Operational Risk, Ch. 8 (LO 6)</v>
          </cell>
        </row>
        <row r="245">
          <cell r="B245" t="str">
            <v>Corporate Pension Risk Mgmt and Corporate Finance:  Bridging the Gap between theory and Practice in Pension Risk Management (LO 6)</v>
          </cell>
        </row>
        <row r="246">
          <cell r="B246" t="str">
            <v>COSO KRI Paper (LO 6)</v>
          </cell>
        </row>
        <row r="247">
          <cell r="B247" t="str">
            <v>Economic Scenario Generators: A Practical Guide, p. 7-17 (pp. 97-112 background only) (LO 6)</v>
          </cell>
        </row>
        <row r="248">
          <cell r="B248" t="str">
            <v>Embedding Cyber Risk in Risk Management: An Insurer’s Perspective (pp. 12-15 of Cybersecurity: Impact on Insurance Business and Operations) (LO 6)</v>
          </cell>
        </row>
        <row r="249">
          <cell r="B249" t="str">
            <v>ERM-101-12: Measurement and Modeling of Dependencies in Economic Capital (Ch 3-5) (LO 6)</v>
          </cell>
        </row>
        <row r="250">
          <cell r="B250" t="str">
            <v>ERM-104-12: Study Note on Parameter Risk, Venter and Sahasrabuddhe (Except Section 3) (LO 6)</v>
          </cell>
        </row>
        <row r="251">
          <cell r="B251" t="str">
            <v>ERM-106-12: Economic Capital-Practical Considerations-Milliman (LO 6)</v>
          </cell>
        </row>
        <row r="252">
          <cell r="B252" t="str">
            <v>ERM-107-12: Strategic Risk Management Practice, Anderson and Schroder, 2010 Ch. 7  Strategic Risk Analysis (LO 6)</v>
          </cell>
        </row>
        <row r="253">
          <cell r="B253" t="str">
            <v>ERM-110-12: Derivatives: Practice and Principles, Recommendations 9-24 and Section III (LO 6)</v>
          </cell>
        </row>
        <row r="254">
          <cell r="B254" t="str">
            <v>ERM-119-14: Aggregation of risks and Allocation of Capital (Sections 4-7 Excluding 6.3) (LO 6)</v>
          </cell>
        </row>
        <row r="255">
          <cell r="B255" t="str">
            <v>ERM-120-14: IAA Note on Stress Testing and Scenario Analysis (pp. 1-6, 14-17 and Page 19-25 ) (LO 6)</v>
          </cell>
        </row>
        <row r="256">
          <cell r="B256" t="str">
            <v>ERM-124-15: Counterparty Credit Risk, First Edition, Jon Gregory, Chapter 2: Defining Counterparty Credit Risk (LO 6)</v>
          </cell>
        </row>
        <row r="257">
          <cell r="B257" t="str">
            <v>ERM-128-17: The Breadth and Scope of the Global Reinsurance Market and the Critical Role Such Market Plays in Supporting Insurance in the United States, Ch. III, IV, and VI (LO 6)</v>
          </cell>
        </row>
        <row r="258">
          <cell r="B258" t="str">
            <v>ERM-130-18: AAA Model Governance Practice Note  (LO 6)</v>
          </cell>
        </row>
        <row r="259">
          <cell r="B259" t="str">
            <v>ERM-131-18: Leveraging COSO Across The Three Lines Of Defenses (LO 6)</v>
          </cell>
        </row>
        <row r="260">
          <cell r="B260" t="str">
            <v>ERM-133-19: Emerging Risks and Enterprise Risk Management (pp. 2-6) (LO 6)</v>
          </cell>
        </row>
        <row r="261">
          <cell r="B261" t="str">
            <v>ERM-134-21: Group Insurance Chapter 39 Risk Based Capital Formulas (LO 6)</v>
          </cell>
        </row>
        <row r="262">
          <cell r="B262" t="str">
            <v>ERM-135-20: Risk Management and the Rating Process for Insurance Companies by A.M. Best (LO 6)</v>
          </cell>
        </row>
        <row r="263">
          <cell r="B263" t="str">
            <v>ERM-136-20: Managing Liquidity Risk: Industry practices and recommendations for CROs (excluding section 4)  (LO 6)</v>
          </cell>
        </row>
        <row r="264">
          <cell r="B264" t="str">
            <v>ERM-137-20: ORSA and the Regulator by AAA (LO 6)</v>
          </cell>
        </row>
        <row r="265">
          <cell r="B265" t="str">
            <v>ERM-138-20: Quantitative Enterprise Risk Management by Mary Hardy, Chapter 6: Extreme Value Theories (LO 6)</v>
          </cell>
        </row>
        <row r="266">
          <cell r="B266" t="str">
            <v>ERM-139-20: Quantitative Enterprise Risk Management by Mary Hardy, Chapter 7: Copulas (LO 6)</v>
          </cell>
        </row>
        <row r="267">
          <cell r="B267" t="str">
            <v>ERM-140-20: Risk Adjustments for Insurance Contracts under IFRS 17: Chapter 3: Risk Adjustment Techniques &amp; Chapter 7: Validation Of Risk Adjustments (LO 6)</v>
          </cell>
        </row>
        <row r="268">
          <cell r="B268" t="str">
            <v>ERM-141-20: Managing Investment Portfolios, Maginn, John L. &amp; Tuttle, Donald L., 3rd Edition, 2007  Ch. 9: Risk Management (section 5) (LO 6)</v>
          </cell>
        </row>
        <row r="269">
          <cell r="B269" t="str">
            <v>ERM-142-20: Data Quality is the Biggest Challenge by Moody (LO 6)</v>
          </cell>
        </row>
        <row r="270">
          <cell r="B270" t="str">
            <v>ERM-143-20: Internal Controls Toolkit, Doxey, Ch. 1, pp. 11-17 &amp; 27-35 (LO 6)</v>
          </cell>
        </row>
        <row r="271">
          <cell r="B271" t="str">
            <v>ERM-144-20: IAA Risk Book - Chapter 13: Asset Liability Management Techniques and Practices for Insurance Companies (LO 6)</v>
          </cell>
        </row>
        <row r="272">
          <cell r="B272" t="str">
            <v>ERM-145-21: IAA Paper: Importance of Climate-Related Risks for Actuaries (Pages 2-14) (LO 6)</v>
          </cell>
        </row>
        <row r="273">
          <cell r="B273" t="str">
            <v>ERM-146-21: Covid-19: implications for insurer risk management and the insurability of pandemic risk (LO 6)</v>
          </cell>
        </row>
        <row r="274">
          <cell r="B274" t="str">
            <v>ERM-147-21: Working with Inherent and Residual Risk (LO 6)</v>
          </cell>
        </row>
        <row r="275">
          <cell r="B275" t="str">
            <v>ERM-702-12: IAA Note on ERM for Capital and Solvency Purposes in the Insurance Industry, Pages 9–38 (LO 6)</v>
          </cell>
        </row>
        <row r="276">
          <cell r="B276" t="str">
            <v>ERM-811-15: Agency Theory And Asymmetric Information (fe_s14-09_agency_theory.pdf) (LO 6)</v>
          </cell>
        </row>
        <row r="277">
          <cell r="B277" t="str">
            <v>ERM-819-19 Exchange Rate Risk Measurement and Management (LO 6)</v>
          </cell>
        </row>
        <row r="278">
          <cell r="B278" t="str">
            <v>Financial Enterprise Risk Management, Sweeting, 2017 Ch. 16  Responses to Risk (LO 6)</v>
          </cell>
        </row>
        <row r="279">
          <cell r="B279" t="str">
            <v>Financial Enterprise Risk Management, Sweeting, 2017, Ch. 14  Quantifying Particular Risks (LO 6)</v>
          </cell>
        </row>
        <row r="280">
          <cell r="B280" t="str">
            <v>Financial Enterprise Risk Management, Sweeting, 2017, Ch. 8  Risk Identification (LO 6)</v>
          </cell>
        </row>
        <row r="281">
          <cell r="B281" t="str">
            <v>Financial Enterprise Risk Management, Sweeting, 2017, Ch. 9 Some Useful Statistics (Background Only) (LO 6)</v>
          </cell>
        </row>
        <row r="282">
          <cell r="B282" t="str">
            <v>Modeling Tail Behavior with Extreme Value Theory, Risk Management, Sept 2009 (LO 6)</v>
          </cell>
        </row>
        <row r="283">
          <cell r="B283" t="str">
            <v>National Risk Management A Practical ERM Approach for Federal Governments, pp. 11-22 (LO 6)</v>
          </cell>
        </row>
        <row r="284">
          <cell r="B284" t="str">
            <v>Preparing for Political Risk When you Don't Know Where it will Come From (with the 3 expanded "pop outs" in the article) (LO 6)</v>
          </cell>
        </row>
        <row r="285">
          <cell r="B285" t="str">
            <v>Regulatory Risk and North American Insurance Organizations (sections 6.1-6.14 and section 7) (LO 6)</v>
          </cell>
        </row>
        <row r="286">
          <cell r="B286" t="str">
            <v>Risk Appetite: Linkage with Strategic Planning Report  (LO 6)</v>
          </cell>
        </row>
        <row r="287">
          <cell r="B287" t="str">
            <v>Value-at- Risk, Third Edition, The New Benchmark for Managing Financial Risk,  Jorion Ch. 12  Monte Carlo Methods (LO 6)</v>
          </cell>
        </row>
        <row r="288">
          <cell r="B288" t="str">
            <v>Value-at- Risk, Third Edition, The New Benchmark for Managing Financial Risk,  Jorion Ch. 13  Liquidity Risk (Except section 13.4) (LO 6)</v>
          </cell>
        </row>
        <row r="289">
          <cell r="B289" t="str">
            <v>Value-at- Risk, Third Edition, The New Benchmark for Managing Financial Risk,  Jorion Ch. 18  Credit Risk Management (LO 6)</v>
          </cell>
        </row>
        <row r="290">
          <cell r="B290" t="str">
            <v>Value-at- Risk, Third Edition, The New Benchmark for Managing Financial Risk,  Jorion Ch. 7  Portfolio Risk: Analytical Methods (LO 6)</v>
          </cell>
        </row>
        <row r="291">
          <cell r="B291" t="str">
            <v>Value-at- Risk, Third Edition, The New Benchmark for Managing Financial Risk,  Jorion Ch. 9  Forecasting Risk and Correlations (LO 6)</v>
          </cell>
        </row>
        <row r="292">
          <cell r="B292" t="str">
            <v>ERM-414-17: A Tale of Two Formulas (GC)</v>
          </cell>
        </row>
        <row r="293">
          <cell r="B293" t="str">
            <v>ERM-811-15: Agency Theory And Asymmetric Information (GC)</v>
          </cell>
        </row>
        <row r="294">
          <cell r="B294" t="str">
            <v>ERM-812-15: Valuation for Mergers and Acquisitions, Ch. 1 (GC)</v>
          </cell>
        </row>
        <row r="295">
          <cell r="B295" t="str">
            <v>ERM-814-15: Cognitive Bias and their Implications on the Financial Market (GC)</v>
          </cell>
        </row>
        <row r="296">
          <cell r="B296" t="str">
            <v>ERM-817-17: Speech by SEC Staff: The Role of Compliance and Ethics in Risk Management (GC)</v>
          </cell>
        </row>
        <row r="297">
          <cell r="B297" t="str">
            <v>ERM-819-19: Exchange Rate Risk Measurement and Management (GC)</v>
          </cell>
        </row>
        <row r="298">
          <cell r="B298" t="str">
            <v>ERM-820-19: CRO Forum Concept Paper on a Proposed Categorisation Methodology of Cyber Risk, Jun 2016 (GC)</v>
          </cell>
        </row>
        <row r="299">
          <cell r="B299" t="str">
            <v>ERM-822-20: Non-Financial Risk Convergence and Integration (GC)</v>
          </cell>
        </row>
        <row r="300">
          <cell r="B300" t="str">
            <v>ERM-823-21: The Role of Human Resource Management in Risk Management (GC)</v>
          </cell>
        </row>
        <row r="301">
          <cell r="B301" t="str">
            <v>ERM-824-21: Strategic Crisis Management: A Basis for Renewal and Crisis Prevention (GC)</v>
          </cell>
        </row>
        <row r="302">
          <cell r="B302" t="str">
            <v>ERM:825-21: Understanding and Managing the IT Risk Landscape (excluding Section 3.7 &amp; Appendices) (GC)</v>
          </cell>
        </row>
        <row r="303">
          <cell r="B303" t="str">
            <v>ERM-826-21: Machine Decisions: Governance of AI and Big Data Analytics (GC)</v>
          </cell>
        </row>
        <row r="304">
          <cell r="B304" t="str">
            <v>ERM-827-21: SEC Staff Accounting Bulletin: No. 99 – Materiality (excluding footnotes) (GC)</v>
          </cell>
        </row>
        <row r="305">
          <cell r="B305" t="str">
            <v>ERM-828-21: Developing a Business Continuity Strategy for a Post-Pandemic World</v>
          </cell>
        </row>
        <row r="306">
          <cell r="B306" t="str">
            <v>Incentive Compensation/Risk Management – Integration Incentive Alignment and Risk Mitigation (GC)</v>
          </cell>
        </row>
        <row r="307">
          <cell r="B307" t="str">
            <v>A New Approach for Managing Operational Risk, sections 5-7, 9 &amp; 10 (GC)</v>
          </cell>
        </row>
        <row r="308">
          <cell r="B308" t="str">
            <v>Regulatory Risk and North American Insurance Organizations (sections 6.1-6.14 and section 7) (GC)</v>
          </cell>
        </row>
        <row r="309">
          <cell r="B309" t="str">
            <v>Risk Aggregation and Diversification, excluding Appendices (GC)</v>
          </cell>
        </row>
        <row r="310">
          <cell r="B310" t="str">
            <v>Integration of Risk Management Into Strategic Planning (GC)</v>
          </cell>
        </row>
        <row r="311">
          <cell r="B311" t="str">
            <v>Malz Chapter 12 Section 3.1: Defining Leverage Risk (GC)</v>
          </cell>
        </row>
        <row r="312">
          <cell r="B312" t="str">
            <v>The Role in Internal Audit in Enterprise Risk Management (GC)</v>
          </cell>
        </row>
        <row r="313">
          <cell r="B313" t="str">
            <v>Preparing for Political Risk When you Don't Know Where it will Come From (GC)</v>
          </cell>
        </row>
        <row r="314">
          <cell r="B314" t="str">
            <v>Group Insurance, Skwire, 8th Edition, Chapter 44: Enterprise Risk Management for Group Health Insurers (GH)</v>
          </cell>
        </row>
        <row r="315">
          <cell r="B315" t="str">
            <v>ERM-513-13: Extending the Insurance ERM Criteria to the Health Insurance Sector (GH)</v>
          </cell>
        </row>
        <row r="316">
          <cell r="B316" t="str">
            <v>ERM-521-17: Risk Transfer Formula for Individual and Small Group Markets Under the Affordable Care Act (GH)</v>
          </cell>
        </row>
        <row r="317">
          <cell r="B317" t="str">
            <v>ERM-522-17: Risk Selection Threatens Quality of Care for Certain Patients: Lessons from Europe's Health Insurance Exchanges (GH)</v>
          </cell>
        </row>
        <row r="318">
          <cell r="B318" t="str">
            <v>ERM-523-18: Why are so many co-ops failing? (GH)</v>
          </cell>
        </row>
        <row r="319">
          <cell r="B319" t="str">
            <v>ERM-524-18: Life, Health and Annuity Reinsurance (GH)</v>
          </cell>
        </row>
        <row r="320">
          <cell r="B320" t="str">
            <v>ERM-526-19: The Risks of Pricing New Insurance Products: The Case of Long-Term Care (GH)</v>
          </cell>
        </row>
        <row r="321">
          <cell r="B321" t="str">
            <v>ERM-528-20: Assessing the Health-Care Risk: The Clinical-VaR, a Key Indicator for Sound Management (GH)</v>
          </cell>
        </row>
        <row r="322">
          <cell r="B322" t="str">
            <v>ERM-529-20: RBC Calculation Examples (GH)</v>
          </cell>
        </row>
        <row r="323">
          <cell r="B323" t="str">
            <v>ERM-532-21: Shared Savings Model Risk in the MSSP Program (GH)</v>
          </cell>
        </row>
        <row r="324">
          <cell r="B324" t="str">
            <v>ERM-533-21: Building a Successful Value-Based Payer Contracting Strategy (GH)</v>
          </cell>
        </row>
        <row r="325">
          <cell r="B325" t="str">
            <v>ERM-534-21: What is Value-Based Healthcare? (GH)</v>
          </cell>
        </row>
        <row r="326">
          <cell r="B326" t="str">
            <v>ASOP 46: Risk Evaluation in Enterprise Risk Management (GH)</v>
          </cell>
        </row>
        <row r="327">
          <cell r="B327" t="str">
            <v>ASOP 47: Risk Treatment in Enterprise Risk Management (GH)</v>
          </cell>
        </row>
        <row r="328">
          <cell r="B328" t="str">
            <v>ASOP 55: Capital Adequacy Assessment (GH)</v>
          </cell>
        </row>
        <row r="329">
          <cell r="B329" t="str">
            <v>ASOP 56: Modeling (excluding Appendices) (GH)</v>
          </cell>
        </row>
        <row r="330">
          <cell r="B330" t="str">
            <v>Risk &amp; Mitigation for Health Insurance Companies (GH)</v>
          </cell>
        </row>
        <row r="331">
          <cell r="B331" t="str">
            <v>Time to Update your Trend Process?, Health Watch (GH)</v>
          </cell>
        </row>
        <row r="332">
          <cell r="B332" t="str">
            <v>Large Group Medical Insurance Reserves, Liabilities, and Actuarial Assets, AAA Public Policy Practice Note (GH)</v>
          </cell>
        </row>
        <row r="333">
          <cell r="B333" t="str">
            <v>Top Health Industry Issues of 2021, PWC (GH)</v>
          </cell>
        </row>
        <row r="334">
          <cell r="B334" t="str">
            <v>How have health spending and utilization changed during the coronavirus pandemic? (GH)</v>
          </cell>
        </row>
        <row r="335">
          <cell r="B335" t="str">
            <v>ERM-708-13: Natural Catastrophe Loss Modeling (GI)</v>
          </cell>
        </row>
        <row r="336">
          <cell r="B336" t="str">
            <v>ERM-712-16: Catastrophe Modeling: Guidance for Non-Catastrophe Modellers (GI)</v>
          </cell>
        </row>
        <row r="337">
          <cell r="B337" t="str">
            <v>ERM-714-18: U.S. Property-Casualty: Underwriting Cycle Modeling and Risk Benchmarks, Section 2, pp 92-103 (GI)</v>
          </cell>
        </row>
        <row r="338">
          <cell r="B338" t="str">
            <v>ERM-721-21: Understanding BCAR for U.S. Property/Casualty Insurers (excluding Appendices) (GI)</v>
          </cell>
        </row>
        <row r="339">
          <cell r="B339" t="str">
            <v>ERM-724-21: Failures and Near Misses in Insurance: Overview of the Causes and Early Identification, sections 1, 2, 5 &amp; 6 only (GI)</v>
          </cell>
        </row>
        <row r="340">
          <cell r="B340" t="str">
            <v>CIA Research Paper on Quantification of Variability in P&amp;C Liabilities, excluding appendicies (GI)</v>
          </cell>
        </row>
        <row r="341">
          <cell r="B341" t="str">
            <v>Risk-Adjusted Performance Measurement for P&amp;C Insurers, CAS (excluding Appendix B) (GI)</v>
          </cell>
        </row>
        <row r="342">
          <cell r="B342" t="str">
            <v>The Actuary &amp; Enterprise Risk Management: Integrating Reserve Variability, CAS, E-Forum, Summer 2016 (GI)</v>
          </cell>
        </row>
        <row r="343">
          <cell r="B343" t="str">
            <v>Top 10 Trends in Property and Casualty Insurance, 2021 (GI)</v>
          </cell>
        </row>
        <row r="344">
          <cell r="B344" t="str">
            <v>Developing a Risk Appetite Framework of a General Insurance business, Sections 3,4,5 and Appendix B (GI)</v>
          </cell>
        </row>
        <row r="345">
          <cell r="B345" t="str">
            <v>Practical Guide to Climate Change for General Insurance Practitioners (GI)</v>
          </cell>
        </row>
        <row r="346">
          <cell r="B346" t="str">
            <v>Cyber Risk is Opportunity by Michael Solomon (GI)</v>
          </cell>
        </row>
        <row r="347">
          <cell r="B347" t="str">
            <v>SOA Research Brief Impact of COVID-19, pages 57-61 (GI)</v>
          </cell>
        </row>
        <row r="348">
          <cell r="B348" t="str">
            <v>ERM-331-17: Quantifying the Mortality-Longevity Offset (ILA)</v>
          </cell>
        </row>
        <row r="349">
          <cell r="B349" t="str">
            <v>ERM-401-12: Mapping of Life Insurance Risks (ILA)</v>
          </cell>
        </row>
        <row r="350">
          <cell r="B350" t="str">
            <v>ERM-405-14: Secondary Guarantee Universal Life - Practical Considerations (excluding sections 1, 2, and 7) (ILA)</v>
          </cell>
        </row>
        <row r="351">
          <cell r="B351" t="str">
            <v>ERM-408-14: The Captive Triangle: Where Life Insurers' Reserve and Capital Requirements Disappear (pp. 1-11) (ILA)</v>
          </cell>
        </row>
        <row r="352">
          <cell r="B352" t="str">
            <v>ERM-409-14: A Brief Primer on Financial Reinsurance (ILA)</v>
          </cell>
        </row>
        <row r="353">
          <cell r="B353" t="str">
            <v>ERM-410-14: Coinsurance and its Variants (ILA)</v>
          </cell>
        </row>
        <row r="354">
          <cell r="B354" t="str">
            <v>ERM-412-17: Surrenders in the Life Insurance Industry, Geneva Assoc (through Section 4) (ILA)</v>
          </cell>
        </row>
        <row r="355">
          <cell r="B355" t="str">
            <v>ERM-413-17: Hedging for Liabilities in Life Insurance Companies (ILA)</v>
          </cell>
        </row>
        <row r="356">
          <cell r="B356" t="str">
            <v>ERM-414-17: A Tale of Two Formulas (ILA)</v>
          </cell>
        </row>
        <row r="357">
          <cell r="B357" t="str">
            <v>ERM-415-17: Strategic Risk Management in Insurance: Navigating the Rough Waters Ahead, Deloitte (ILA)</v>
          </cell>
        </row>
        <row r="358">
          <cell r="B358" t="str">
            <v>ERM-418-19: Low Interest Rates and the Implications on Life Insurers (ILA)</v>
          </cell>
        </row>
        <row r="359">
          <cell r="B359" t="str">
            <v>ERM-420-20: Variable Annuity Volatility Management: An Era of Risk Control, pp 1-27 (ILA)</v>
          </cell>
        </row>
        <row r="360">
          <cell r="B360" t="str">
            <v>ERM-421-20: The Specter of Antiselection (ILA)</v>
          </cell>
        </row>
        <row r="361">
          <cell r="B361" t="str">
            <v>ERM-422-20: Mortality Improvement: Understanding the Past and Framing the Future (ILA)</v>
          </cell>
        </row>
        <row r="362">
          <cell r="B362" t="str">
            <v>Life Insurance for the Digital Age: An End-to-End View (ILA)</v>
          </cell>
        </row>
        <row r="363">
          <cell r="B363" t="str">
            <v>Modeling of Policyholder Behavior for Life Insurance and Annuity Products, pp 7-15 &amp; 68-80 (ILA)</v>
          </cell>
        </row>
        <row r="364">
          <cell r="B364" t="str">
            <v>Hybrid Annuities: A Growth Story (ILA)</v>
          </cell>
        </row>
        <row r="365">
          <cell r="B365" t="str">
            <v>Earnings Emergence: Insurance Accounting Under Multiple Financial Reporting Bases (ILA)</v>
          </cell>
        </row>
        <row r="366">
          <cell r="B366" t="str">
            <v>An Overview of Population Models of Epidemics (ILA)</v>
          </cell>
        </row>
        <row r="367">
          <cell r="B367" t="str">
            <v>Value at Risk, Jorion, Chapter 8, Multivariate Models (INV)</v>
          </cell>
        </row>
        <row r="368">
          <cell r="B368" t="str">
            <v>Value at Risk, Jorion, Chapter 11, VAR Mapping (INV)</v>
          </cell>
        </row>
        <row r="369">
          <cell r="B369" t="str">
            <v>Value at Risk, Jorion, Chapter 17, VAR and Risk Budgeting in Investment Management (excluding 17.3 and 17.4) (INV)</v>
          </cell>
        </row>
        <row r="370">
          <cell r="B370" t="str">
            <v>The Top Ten Operational Risks: A Survival Guide for Investment Management Firms and Hedge Funds (INV)</v>
          </cell>
        </row>
        <row r="371">
          <cell r="B371" t="str">
            <v>ERM-613-17: Managing Investment Portfolios, Maginn and Tuttle 3rd Edition, Chapter 6, Sections 4-5 only (INV)</v>
          </cell>
        </row>
        <row r="372">
          <cell r="B372" t="str">
            <v>ERM-615-19: The Devil is in the Tails: Actuarial Mathematics and the Subprime Mortgage Crisis (INV)</v>
          </cell>
        </row>
        <row r="373">
          <cell r="B373" t="str">
            <v>ERM-617-19: Chapter 17 (pp 365-377) of Options, Futures, and Other Derivatives (INV)</v>
          </cell>
        </row>
        <row r="374">
          <cell r="B374" t="str">
            <v>ERM-617-19: Chapter 19 (pp 397-425) of Options, Futures, and Other Derivatives (INV)</v>
          </cell>
        </row>
        <row r="375">
          <cell r="B375" t="str">
            <v>ERM-617-19: Chapter 29 (pp 670-686) of Options, Futures, and Other Derivatives (INV)</v>
          </cell>
        </row>
        <row r="376">
          <cell r="B376" t="str">
            <v>ERM-618-20: Chapter 9, section 6 of Managing Investment Portfolios (INV)</v>
          </cell>
        </row>
        <row r="377">
          <cell r="B377" t="str">
            <v>ERM-619-20: Correlation: Pitfalls and Alternatives (INV)</v>
          </cell>
        </row>
        <row r="378">
          <cell r="B378" t="str">
            <v>ERM-620-21: The Evolution of LDI and Role of a Completion Manager (INV)</v>
          </cell>
        </row>
        <row r="379">
          <cell r="B379" t="str">
            <v>ERM-621-21: Liability Driven Investment Explained (INV)</v>
          </cell>
        </row>
        <row r="380">
          <cell r="B380" t="str">
            <v>ERM-321-14: LDI Evolution:  Implementing Dynamic Asset Allocation Strategies that Respond to Changes in Funded Status (RET)</v>
          </cell>
        </row>
        <row r="381">
          <cell r="B381" t="str">
            <v>ERM-327-17: Pension Funding Strategy (Aon) (RET)</v>
          </cell>
        </row>
        <row r="382">
          <cell r="B382" t="str">
            <v>ERM-330-17: Liability Relative Investing I (RET)</v>
          </cell>
        </row>
        <row r="383">
          <cell r="B383" t="str">
            <v>ERM-332-20: Longevity Risk Management (RET)</v>
          </cell>
        </row>
        <row r="384">
          <cell r="B384" t="str">
            <v>ERM-621-21: Liability Driven Investment Explained (RET)</v>
          </cell>
        </row>
        <row r="385">
          <cell r="B385" t="str">
            <v>Pension Risk Transfer, 2014, pp. 1-46 (pp. 7-10 background only) (RET)</v>
          </cell>
        </row>
        <row r="386">
          <cell r="B386" t="str">
            <v>Corporate Pension Risk Management and Corporate Finance: Bridging the Gap between Theory and Practice in Pension Risk Management (RET)</v>
          </cell>
        </row>
        <row r="387">
          <cell r="B387" t="str">
            <v>Embedded Options in Pension Plans, ch 6-10 (RET)</v>
          </cell>
        </row>
        <row r="388">
          <cell r="B388" t="str">
            <v>Quantifying Defined Contribution Risk, Risk Management, Mar 2009 (RET)</v>
          </cell>
        </row>
        <row r="389">
          <cell r="B389" t="str">
            <v>Academy of Actuaries ASOP 51 Practice Note (RET)</v>
          </cell>
        </row>
        <row r="390">
          <cell r="B390" t="str">
            <v>Beyond the ARC - Innovative Funding Strategies from the Public Sector (RET)</v>
          </cell>
        </row>
        <row r="393">
          <cell r="A393" t="str">
            <v>LO_1 A</v>
          </cell>
        </row>
        <row r="394">
          <cell r="A394" t="str">
            <v>LO_1 B</v>
          </cell>
          <cell r="C394" t="str">
            <v>Retrieval</v>
          </cell>
        </row>
        <row r="395">
          <cell r="A395" t="str">
            <v>LO_1 C</v>
          </cell>
          <cell r="C395" t="str">
            <v>Comprehension</v>
          </cell>
        </row>
        <row r="396">
          <cell r="A396" t="str">
            <v>LO_1 D</v>
          </cell>
          <cell r="C396" t="str">
            <v>Analysis</v>
          </cell>
        </row>
        <row r="397">
          <cell r="A397" t="str">
            <v>LO_1 E</v>
          </cell>
          <cell r="C397" t="str">
            <v>Knowledge Utilization</v>
          </cell>
        </row>
        <row r="398">
          <cell r="A398" t="str">
            <v>LO_2 A</v>
          </cell>
        </row>
        <row r="399">
          <cell r="A399" t="str">
            <v>LO_2 B</v>
          </cell>
        </row>
        <row r="400">
          <cell r="A400" t="str">
            <v>LO_2 C</v>
          </cell>
        </row>
        <row r="401">
          <cell r="A401" t="str">
            <v>LO_3 A</v>
          </cell>
          <cell r="B401" t="str">
            <v>Look for different wording that conveys the same thing</v>
          </cell>
        </row>
        <row r="402">
          <cell r="A402" t="str">
            <v>LO_3 B</v>
          </cell>
          <cell r="B402" t="str">
            <v>Other relevant points with coherent explanation that are not re-wording the above -- max 1 point (still subject to maximums indicated above)</v>
          </cell>
        </row>
        <row r="403">
          <cell r="A403" t="str">
            <v>LO_3 C</v>
          </cell>
          <cell r="B403" t="str">
            <v>If key words are listed, but no explanation is given, 0 points</v>
          </cell>
        </row>
        <row r="404">
          <cell r="A404" t="str">
            <v>LO_3 D</v>
          </cell>
          <cell r="B404" t="str">
            <v>If the explanation is rushed or difficult to follow, assess whether the candidate appears to understand the issue from what they have written</v>
          </cell>
        </row>
        <row r="405">
          <cell r="A405" t="str">
            <v>LO_3 E</v>
          </cell>
          <cell r="B405" t="str">
            <v>Avoid double counting two ways of saying the same thing.</v>
          </cell>
        </row>
        <row r="406">
          <cell r="A406" t="str">
            <v>LO_3 F</v>
          </cell>
          <cell r="B406" t="str">
            <v>If two items are combined in a single bullet, award 2 points if the explanations are adequate</v>
          </cell>
        </row>
        <row r="407">
          <cell r="A407" t="str">
            <v>LO_3 G</v>
          </cell>
          <cell r="B407" t="str">
            <v>If one item is spread over several bullets, award 1 point.</v>
          </cell>
        </row>
        <row r="408">
          <cell r="A408" t="str">
            <v>LO_4 A</v>
          </cell>
          <cell r="B408" t="str">
            <v>Calculation: Candidates who get the right answer, with a reasonably clear process, award full credit.</v>
          </cell>
        </row>
        <row r="409">
          <cell r="A409" t="str">
            <v>LO_4 B</v>
          </cell>
          <cell r="B409" t="str">
            <v>Calculation: Candidates who get the right answer but lack clarity should receive substantial credit</v>
          </cell>
        </row>
        <row r="410">
          <cell r="A410" t="str">
            <v>LO_4 C</v>
          </cell>
          <cell r="B410" t="str">
            <v>Calculation: Candidates who get the wrong answer should get partial credit for any correct elements that are substantive to the calculation</v>
          </cell>
        </row>
        <row r="411">
          <cell r="A411" t="str">
            <v>LO_5 A</v>
          </cell>
        </row>
        <row r="412">
          <cell r="A412" t="str">
            <v>LO_5 B</v>
          </cell>
        </row>
        <row r="413">
          <cell r="A413" t="str">
            <v>LO_5 C</v>
          </cell>
        </row>
        <row r="414">
          <cell r="A414" t="str">
            <v>LO_5 D</v>
          </cell>
        </row>
        <row r="415">
          <cell r="A415" t="str">
            <v>LO_5 E</v>
          </cell>
        </row>
        <row r="416">
          <cell r="A416" t="str">
            <v>LO_5 F</v>
          </cell>
        </row>
        <row r="417">
          <cell r="A417" t="str">
            <v>LO_5 G</v>
          </cell>
        </row>
        <row r="418">
          <cell r="A418" t="str">
            <v>LO_5 H</v>
          </cell>
        </row>
        <row r="419">
          <cell r="A419" t="str">
            <v>LO_5 I</v>
          </cell>
        </row>
        <row r="420">
          <cell r="A420" t="str">
            <v>LO_6 A</v>
          </cell>
        </row>
        <row r="421">
          <cell r="A421" t="str">
            <v>LO_6 B</v>
          </cell>
        </row>
        <row r="422">
          <cell r="A422" t="str">
            <v>LO_6 C</v>
          </cell>
        </row>
        <row r="423">
          <cell r="A423" t="str">
            <v>LO_6 D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Income_Stmt"/>
      <sheetName val="Balance_Sheet"/>
      <sheetName val="Value at Risk"/>
      <sheetName val="Economic Capital"/>
      <sheetName val="Liability Maturity"/>
      <sheetName val="Asset Maturity"/>
      <sheetName val="Engagement"/>
      <sheetName val="Income_Stmt for FD"/>
      <sheetName val="Balance_Sheet for FD"/>
      <sheetName val="DB_IS"/>
      <sheetName val="DB_BS"/>
      <sheetName val="DB_CF"/>
      <sheetName val="DB_EC"/>
      <sheetName val="DB_VaR"/>
      <sheetName val="DB_Asset Maturity"/>
      <sheetName val="DB Liab Maturity"/>
      <sheetName val="Sheet4"/>
      <sheetName val="earnings_per_common_share"/>
    </sheetNames>
    <sheetDataSet>
      <sheetData sheetId="0">
        <row r="2">
          <cell r="B2">
            <v>37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s"/>
      <sheetName val="CaseStudy"/>
      <sheetName val="Total"/>
      <sheetName val="Term"/>
      <sheetName val="UL"/>
      <sheetName val="VA"/>
      <sheetName val="SPIA"/>
      <sheetName val="Corp"/>
      <sheetName val="SurplusNote"/>
      <sheetName val="Asset Table"/>
      <sheetName val="RatingAgency"/>
      <sheetName val="Term_Tot"/>
      <sheetName val="UL_Tot"/>
      <sheetName val="VA_Tot"/>
      <sheetName val="SPIA_Tot"/>
      <sheetName val="Changes"/>
    </sheetNames>
    <sheetDataSet>
      <sheetData sheetId="0" refreshError="1">
        <row r="4">
          <cell r="B4">
            <v>2016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2F2DA-6F47-4A1D-885E-56953A4B1EAB}">
  <sheetPr>
    <tabColor rgb="FF0000FF"/>
  </sheetPr>
  <dimension ref="A1"/>
  <sheetViews>
    <sheetView workbookViewId="0"/>
  </sheetViews>
  <sheetFormatPr defaultColWidth="8.88671875" defaultRowHeight="13.8" x14ac:dyDescent="0.25"/>
  <cols>
    <col min="1" max="16384" width="8.88671875" style="21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8B72E-D4F9-428A-A4CA-F2D2A9E0DF0B}">
  <sheetPr>
    <tabColor rgb="FFFFC000"/>
  </sheetPr>
  <dimension ref="A1"/>
  <sheetViews>
    <sheetView zoomScaleNormal="100" workbookViewId="0"/>
  </sheetViews>
  <sheetFormatPr defaultColWidth="8.88671875" defaultRowHeight="13.8" x14ac:dyDescent="0.25"/>
  <cols>
    <col min="1" max="16384" width="8.88671875" style="21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C0507-8903-49F6-8113-684E4AC2D9C5}">
  <sheetPr>
    <tabColor rgb="FFFFC000"/>
  </sheetPr>
  <dimension ref="A1:AZ27"/>
  <sheetViews>
    <sheetView zoomScaleNormal="100" workbookViewId="0"/>
  </sheetViews>
  <sheetFormatPr defaultColWidth="11.44140625" defaultRowHeight="13.8" x14ac:dyDescent="0.25"/>
  <cols>
    <col min="1" max="1" width="61.33203125" style="17" customWidth="1"/>
    <col min="2" max="3" width="12.6640625" style="82" customWidth="1"/>
    <col min="4" max="4" width="12.6640625" style="17" customWidth="1"/>
    <col min="5" max="16384" width="11.44140625" style="17"/>
  </cols>
  <sheetData>
    <row r="1" spans="1:52" ht="14.4" thickBot="1" x14ac:dyDescent="0.3">
      <c r="A1" s="81"/>
    </row>
    <row r="2" spans="1:52" s="83" customFormat="1" ht="14.4" thickBot="1" x14ac:dyDescent="0.3">
      <c r="A2" s="286" t="s">
        <v>128</v>
      </c>
      <c r="B2" s="287"/>
      <c r="C2" s="287"/>
      <c r="D2" s="288"/>
    </row>
    <row r="3" spans="1:52" s="83" customFormat="1" ht="14.4" thickBot="1" x14ac:dyDescent="0.3">
      <c r="A3" s="289" t="s">
        <v>58</v>
      </c>
      <c r="B3" s="290"/>
      <c r="C3" s="290"/>
      <c r="D3" s="291"/>
    </row>
    <row r="4" spans="1:52" x14ac:dyDescent="0.25">
      <c r="A4" s="84"/>
      <c r="B4" s="85"/>
      <c r="C4" s="85"/>
      <c r="D4" s="86"/>
    </row>
    <row r="5" spans="1:52" ht="14.4" thickBot="1" x14ac:dyDescent="0.3">
      <c r="A5" s="87" t="s">
        <v>59</v>
      </c>
      <c r="B5" s="88">
        <v>2021</v>
      </c>
      <c r="C5" s="88">
        <v>2020</v>
      </c>
      <c r="D5" s="89">
        <v>2019</v>
      </c>
      <c r="AZ5" s="90"/>
    </row>
    <row r="6" spans="1:52" ht="14.4" thickBot="1" x14ac:dyDescent="0.3">
      <c r="A6" s="91" t="s">
        <v>60</v>
      </c>
      <c r="B6" s="92">
        <v>692.8648648648649</v>
      </c>
      <c r="C6" s="93">
        <v>701.81081081081084</v>
      </c>
      <c r="D6" s="93">
        <v>675.70270270270271</v>
      </c>
      <c r="AZ6" s="90"/>
    </row>
    <row r="7" spans="1:52" x14ac:dyDescent="0.25">
      <c r="A7" s="91" t="s">
        <v>61</v>
      </c>
      <c r="B7" s="92">
        <v>295.37837837837839</v>
      </c>
      <c r="C7" s="93">
        <v>272.59459459459458</v>
      </c>
      <c r="D7" s="93">
        <v>289.97297297297297</v>
      </c>
    </row>
    <row r="8" spans="1:52" s="14" customFormat="1" ht="18" customHeight="1" thickBot="1" x14ac:dyDescent="0.3">
      <c r="A8" s="94" t="s">
        <v>62</v>
      </c>
      <c r="B8" s="95">
        <v>397.48648648648651</v>
      </c>
      <c r="C8" s="96">
        <v>429.21621621621625</v>
      </c>
      <c r="D8" s="96">
        <v>385.72972972972974</v>
      </c>
    </row>
    <row r="9" spans="1:52" x14ac:dyDescent="0.25">
      <c r="A9" s="97" t="s">
        <v>63</v>
      </c>
      <c r="B9" s="98">
        <v>37.378378378378379</v>
      </c>
      <c r="C9" s="99">
        <v>25.837837837837839</v>
      </c>
      <c r="D9" s="99">
        <v>30.648648648648649</v>
      </c>
    </row>
    <row r="10" spans="1:52" s="14" customFormat="1" ht="14.4" thickBot="1" x14ac:dyDescent="0.3">
      <c r="A10" s="94" t="s">
        <v>64</v>
      </c>
      <c r="B10" s="95">
        <v>360.10810810810813</v>
      </c>
      <c r="C10" s="96">
        <v>403.37837837837844</v>
      </c>
      <c r="D10" s="96">
        <v>355.08108108108109</v>
      </c>
    </row>
    <row r="11" spans="1:52" x14ac:dyDescent="0.25">
      <c r="A11" s="97" t="s">
        <v>65</v>
      </c>
      <c r="B11" s="92">
        <v>317.40540540540542</v>
      </c>
      <c r="C11" s="93">
        <v>345</v>
      </c>
      <c r="D11" s="93">
        <v>335.37837837837839</v>
      </c>
    </row>
    <row r="12" spans="1:52" ht="27.6" x14ac:dyDescent="0.25">
      <c r="A12" s="91" t="s">
        <v>66</v>
      </c>
      <c r="B12" s="92">
        <v>37.864864864864863</v>
      </c>
      <c r="C12" s="93">
        <v>103.83783783783784</v>
      </c>
      <c r="D12" s="93">
        <v>116.18918918918919</v>
      </c>
    </row>
    <row r="13" spans="1:52" x14ac:dyDescent="0.25">
      <c r="A13" s="91" t="s">
        <v>67</v>
      </c>
      <c r="B13" s="100">
        <v>17.648648648648649</v>
      </c>
      <c r="C13" s="101">
        <v>5.4864864864864868</v>
      </c>
      <c r="D13" s="101">
        <v>6.5405405405405403</v>
      </c>
    </row>
    <row r="14" spans="1:52" x14ac:dyDescent="0.25">
      <c r="A14" s="91" t="s">
        <v>68</v>
      </c>
      <c r="B14" s="100">
        <v>12.297297297297296</v>
      </c>
      <c r="C14" s="101">
        <v>4.4324324324324325</v>
      </c>
      <c r="D14" s="101">
        <v>16.72972972972973</v>
      </c>
    </row>
    <row r="15" spans="1:52" x14ac:dyDescent="0.25">
      <c r="A15" s="91" t="s">
        <v>69</v>
      </c>
      <c r="B15" s="92">
        <v>28.45945945945946</v>
      </c>
      <c r="C15" s="101">
        <v>18.081081081081081</v>
      </c>
      <c r="D15" s="101">
        <v>2.9189189189189189</v>
      </c>
    </row>
    <row r="16" spans="1:52" s="14" customFormat="1" ht="14.4" thickBot="1" x14ac:dyDescent="0.3">
      <c r="A16" s="94" t="s">
        <v>70</v>
      </c>
      <c r="B16" s="95">
        <v>413.67567567567568</v>
      </c>
      <c r="C16" s="96">
        <v>476.83783783783787</v>
      </c>
      <c r="D16" s="96">
        <v>477.75675675675677</v>
      </c>
    </row>
    <row r="17" spans="1:4" x14ac:dyDescent="0.25">
      <c r="A17" s="97" t="s">
        <v>71</v>
      </c>
      <c r="B17" s="98">
        <v>320.91891891891891</v>
      </c>
      <c r="C17" s="102">
        <v>359.27027027027026</v>
      </c>
      <c r="D17" s="102">
        <v>338.16216216216219</v>
      </c>
    </row>
    <row r="18" spans="1:4" x14ac:dyDescent="0.25">
      <c r="A18" s="91" t="s">
        <v>72</v>
      </c>
      <c r="B18" s="92">
        <v>427.7837837837838</v>
      </c>
      <c r="C18" s="93">
        <v>510.48648648648646</v>
      </c>
      <c r="D18" s="93">
        <v>403.8648648648649</v>
      </c>
    </row>
    <row r="19" spans="1:4" x14ac:dyDescent="0.25">
      <c r="A19" s="91" t="s">
        <v>73</v>
      </c>
      <c r="B19" s="92">
        <v>33.945945945945944</v>
      </c>
      <c r="C19" s="93">
        <v>156.1081081081081</v>
      </c>
      <c r="D19" s="93">
        <v>3</v>
      </c>
    </row>
    <row r="20" spans="1:4" x14ac:dyDescent="0.25">
      <c r="A20" s="91" t="s">
        <v>74</v>
      </c>
      <c r="B20" s="100">
        <v>13.081081081081081</v>
      </c>
      <c r="C20" s="101">
        <v>19.189189189189189</v>
      </c>
      <c r="D20" s="101">
        <v>3.5945945945945947</v>
      </c>
    </row>
    <row r="21" spans="1:4" s="14" customFormat="1" ht="14.4" thickBot="1" x14ac:dyDescent="0.3">
      <c r="A21" s="94" t="s">
        <v>75</v>
      </c>
      <c r="B21" s="103">
        <v>795.72972972972968</v>
      </c>
      <c r="C21" s="104">
        <v>1045.0540540540539</v>
      </c>
      <c r="D21" s="104">
        <v>748.62162162162167</v>
      </c>
    </row>
    <row r="22" spans="1:4" s="14" customFormat="1" ht="14.4" thickBot="1" x14ac:dyDescent="0.3">
      <c r="A22" s="105" t="s">
        <v>76</v>
      </c>
      <c r="B22" s="106">
        <v>-21.945945945945937</v>
      </c>
      <c r="C22" s="107">
        <v>-164.8378378378377</v>
      </c>
      <c r="D22" s="107">
        <v>84.216216216216253</v>
      </c>
    </row>
    <row r="23" spans="1:4" s="14" customFormat="1" ht="14.4" thickBot="1" x14ac:dyDescent="0.3">
      <c r="A23" s="108" t="s">
        <v>77</v>
      </c>
      <c r="B23" s="109">
        <v>14.756756756756756</v>
      </c>
      <c r="C23" s="110">
        <v>18.243243243243242</v>
      </c>
      <c r="D23" s="110">
        <v>38.513513513513516</v>
      </c>
    </row>
    <row r="24" spans="1:4" s="14" customFormat="1" ht="14.4" thickBot="1" x14ac:dyDescent="0.3">
      <c r="A24" s="108" t="s">
        <v>78</v>
      </c>
      <c r="B24" s="111">
        <v>-36.702702702702695</v>
      </c>
      <c r="C24" s="107">
        <v>-183.08108108108092</v>
      </c>
      <c r="D24" s="107">
        <v>45.702702702702737</v>
      </c>
    </row>
    <row r="25" spans="1:4" x14ac:dyDescent="0.25">
      <c r="A25" s="112"/>
      <c r="B25" s="113"/>
      <c r="C25" s="113"/>
      <c r="D25" s="112"/>
    </row>
    <row r="27" spans="1:4" x14ac:dyDescent="0.25">
      <c r="B27" s="114" t="s">
        <v>79</v>
      </c>
    </row>
  </sheetData>
  <mergeCells count="2">
    <mergeCell ref="A2:D2"/>
    <mergeCell ref="A3:D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E2CAC-7F9E-4ABC-A0F3-D3A7DA973923}">
  <sheetPr>
    <tabColor rgb="FFFFC000"/>
  </sheetPr>
  <dimension ref="A1:AFW65"/>
  <sheetViews>
    <sheetView zoomScaleNormal="100" workbookViewId="0"/>
  </sheetViews>
  <sheetFormatPr defaultColWidth="9.33203125" defaultRowHeight="13.8" x14ac:dyDescent="0.25"/>
  <cols>
    <col min="1" max="1" width="77.6640625" style="17" bestFit="1" customWidth="1"/>
    <col min="2" max="2" width="14.44140625" style="123" customWidth="1"/>
    <col min="3" max="3" width="2.44140625" style="123" customWidth="1"/>
    <col min="4" max="4" width="14.44140625" style="123" customWidth="1"/>
    <col min="5" max="16384" width="9.33203125" style="17"/>
  </cols>
  <sheetData>
    <row r="1" spans="1:855" s="14" customFormat="1" ht="14.4" thickBot="1" x14ac:dyDescent="0.3"/>
    <row r="2" spans="1:855" ht="14.4" thickBot="1" x14ac:dyDescent="0.3">
      <c r="A2" s="286" t="s">
        <v>128</v>
      </c>
      <c r="B2" s="287"/>
      <c r="C2" s="287"/>
      <c r="D2" s="288"/>
    </row>
    <row r="3" spans="1:855" ht="14.4" thickBot="1" x14ac:dyDescent="0.3">
      <c r="A3" s="119" t="s">
        <v>80</v>
      </c>
      <c r="B3" s="120"/>
      <c r="C3" s="120"/>
      <c r="D3" s="121"/>
    </row>
    <row r="4" spans="1:855" x14ac:dyDescent="0.25">
      <c r="A4" s="122"/>
      <c r="D4" s="124"/>
    </row>
    <row r="5" spans="1:855" x14ac:dyDescent="0.25">
      <c r="A5" s="125" t="s">
        <v>59</v>
      </c>
      <c r="B5" s="126" t="s">
        <v>129</v>
      </c>
      <c r="C5" s="127"/>
      <c r="D5" s="128" t="s">
        <v>127</v>
      </c>
    </row>
    <row r="6" spans="1:855" s="130" customFormat="1" x14ac:dyDescent="0.25">
      <c r="A6" s="129" t="s">
        <v>81</v>
      </c>
      <c r="D6" s="131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</row>
    <row r="7" spans="1:855" x14ac:dyDescent="0.25">
      <c r="A7" s="122" t="s">
        <v>82</v>
      </c>
      <c r="B7" s="132">
        <v>4901.72972972973</v>
      </c>
      <c r="D7" s="124">
        <v>2620</v>
      </c>
    </row>
    <row r="8" spans="1:855" x14ac:dyDescent="0.25">
      <c r="A8" s="122" t="s">
        <v>83</v>
      </c>
      <c r="B8" s="132">
        <v>313.67567567567568</v>
      </c>
      <c r="D8" s="124">
        <v>347.08108108108109</v>
      </c>
    </row>
    <row r="9" spans="1:855" x14ac:dyDescent="0.25">
      <c r="A9" s="122" t="s">
        <v>84</v>
      </c>
      <c r="B9" s="132">
        <v>440.18918918918916</v>
      </c>
      <c r="D9" s="124">
        <v>606.91891891891896</v>
      </c>
    </row>
    <row r="10" spans="1:855" x14ac:dyDescent="0.25">
      <c r="A10" s="122" t="s">
        <v>85</v>
      </c>
      <c r="B10" s="132">
        <v>542.72972972972968</v>
      </c>
      <c r="D10" s="124">
        <v>906.94594594594594</v>
      </c>
    </row>
    <row r="11" spans="1:855" x14ac:dyDescent="0.25">
      <c r="A11" s="122" t="s">
        <v>86</v>
      </c>
      <c r="B11" s="132"/>
      <c r="D11" s="124"/>
    </row>
    <row r="12" spans="1:855" x14ac:dyDescent="0.25">
      <c r="A12" s="122" t="s">
        <v>87</v>
      </c>
      <c r="B12" s="132">
        <v>4622.8108108108108</v>
      </c>
      <c r="D12" s="124">
        <v>5298.2432432432433</v>
      </c>
    </row>
    <row r="13" spans="1:855" x14ac:dyDescent="0.25">
      <c r="A13" s="122" t="s">
        <v>88</v>
      </c>
      <c r="B13" s="132">
        <v>13112.162162162162</v>
      </c>
      <c r="D13" s="124">
        <v>13934.972972972973</v>
      </c>
    </row>
    <row r="14" spans="1:855" ht="15.6" x14ac:dyDescent="0.4">
      <c r="A14" s="122" t="s">
        <v>89</v>
      </c>
      <c r="B14" s="133">
        <v>2367.2162162162163</v>
      </c>
      <c r="D14" s="134">
        <v>2952.7837837837837</v>
      </c>
    </row>
    <row r="15" spans="1:855" x14ac:dyDescent="0.25">
      <c r="A15" s="122" t="s">
        <v>90</v>
      </c>
      <c r="B15" s="132">
        <v>20102.18918918919</v>
      </c>
      <c r="D15" s="124">
        <v>22186</v>
      </c>
    </row>
    <row r="16" spans="1:855" x14ac:dyDescent="0.25">
      <c r="A16" s="122" t="s">
        <v>91</v>
      </c>
      <c r="B16" s="132">
        <v>1519.6756756756756</v>
      </c>
      <c r="D16" s="124">
        <v>1988.7297297297298</v>
      </c>
    </row>
    <row r="17" spans="1:855" x14ac:dyDescent="0.25">
      <c r="A17" s="122" t="s">
        <v>92</v>
      </c>
      <c r="B17" s="132">
        <v>27.756756756756758</v>
      </c>
      <c r="D17" s="124">
        <v>27.378378378378379</v>
      </c>
      <c r="G17" s="135"/>
    </row>
    <row r="18" spans="1:855" x14ac:dyDescent="0.25">
      <c r="A18" s="122" t="s">
        <v>93</v>
      </c>
      <c r="B18" s="132">
        <v>11051.594594594595</v>
      </c>
      <c r="D18" s="124">
        <v>11560.783783783783</v>
      </c>
      <c r="F18" s="135"/>
    </row>
    <row r="19" spans="1:855" x14ac:dyDescent="0.25">
      <c r="A19" s="122" t="s">
        <v>94</v>
      </c>
      <c r="B19" s="132">
        <v>86.648648648648646</v>
      </c>
      <c r="D19" s="124">
        <v>0</v>
      </c>
      <c r="F19" s="135"/>
    </row>
    <row r="20" spans="1:855" x14ac:dyDescent="0.25">
      <c r="A20" s="122" t="s">
        <v>95</v>
      </c>
      <c r="B20" s="132">
        <v>75.78378378378379</v>
      </c>
      <c r="D20" s="124">
        <v>76.918918918918919</v>
      </c>
    </row>
    <row r="21" spans="1:855" x14ac:dyDescent="0.25">
      <c r="A21" s="122" t="s">
        <v>96</v>
      </c>
      <c r="B21" s="132">
        <v>242.75675675675674</v>
      </c>
      <c r="D21" s="124">
        <v>272.37837837837839</v>
      </c>
    </row>
    <row r="22" spans="1:855" x14ac:dyDescent="0.25">
      <c r="A22" s="122" t="s">
        <v>97</v>
      </c>
      <c r="B22" s="132">
        <v>3406.6216216216217</v>
      </c>
      <c r="D22" s="124">
        <v>3192.8918918918921</v>
      </c>
    </row>
    <row r="23" spans="1:855" x14ac:dyDescent="0.25">
      <c r="A23" s="122" t="s">
        <v>98</v>
      </c>
      <c r="B23" s="132">
        <v>42.135135135135137</v>
      </c>
      <c r="D23" s="124">
        <v>34.729729729729726</v>
      </c>
      <c r="E23" s="136"/>
    </row>
    <row r="24" spans="1:855" s="140" customFormat="1" ht="14.4" thickBot="1" x14ac:dyDescent="0.3">
      <c r="A24" s="137" t="s">
        <v>99</v>
      </c>
      <c r="B24" s="138">
        <v>234.21621621621622</v>
      </c>
      <c r="C24" s="123"/>
      <c r="D24" s="139">
        <v>209.78378378378378</v>
      </c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  <c r="VK24" s="17"/>
      <c r="VL24" s="17"/>
      <c r="VM24" s="17"/>
      <c r="VN24" s="17"/>
      <c r="VO24" s="17"/>
      <c r="VP24" s="17"/>
      <c r="VQ24" s="17"/>
      <c r="VR24" s="17"/>
      <c r="VS24" s="17"/>
      <c r="VT24" s="17"/>
      <c r="VU24" s="17"/>
      <c r="VV24" s="17"/>
      <c r="VW24" s="17"/>
      <c r="VX24" s="17"/>
      <c r="VY24" s="17"/>
      <c r="VZ24" s="17"/>
      <c r="WA24" s="17"/>
      <c r="WB24" s="17"/>
      <c r="WC24" s="17"/>
      <c r="WD24" s="17"/>
      <c r="WE24" s="17"/>
      <c r="WF24" s="17"/>
      <c r="WG24" s="17"/>
      <c r="WH24" s="17"/>
      <c r="WI24" s="17"/>
      <c r="WJ24" s="17"/>
      <c r="WK24" s="17"/>
      <c r="WL24" s="17"/>
      <c r="WM24" s="17"/>
      <c r="WN24" s="17"/>
      <c r="WO24" s="17"/>
      <c r="WP24" s="17"/>
      <c r="WQ24" s="17"/>
      <c r="WR24" s="17"/>
      <c r="WS24" s="17"/>
      <c r="WT24" s="17"/>
      <c r="WU24" s="17"/>
      <c r="WV24" s="17"/>
      <c r="WW24" s="17"/>
      <c r="WX24" s="17"/>
      <c r="WY24" s="17"/>
      <c r="WZ24" s="17"/>
      <c r="XA24" s="17"/>
      <c r="XB24" s="17"/>
      <c r="XC24" s="17"/>
      <c r="XD24" s="17"/>
      <c r="XE24" s="17"/>
      <c r="XF24" s="17"/>
      <c r="XG24" s="17"/>
      <c r="XH24" s="17"/>
      <c r="XI24" s="17"/>
      <c r="XJ24" s="17"/>
      <c r="XK24" s="17"/>
      <c r="XL24" s="17"/>
      <c r="XM24" s="17"/>
      <c r="XN24" s="17"/>
      <c r="XO24" s="17"/>
      <c r="XP24" s="17"/>
      <c r="XQ24" s="17"/>
      <c r="XR24" s="17"/>
      <c r="XS24" s="17"/>
      <c r="XT24" s="17"/>
      <c r="XU24" s="17"/>
      <c r="XV24" s="17"/>
      <c r="XW24" s="17"/>
      <c r="XX24" s="17"/>
      <c r="XY24" s="17"/>
      <c r="XZ24" s="17"/>
      <c r="YA24" s="17"/>
      <c r="YB24" s="17"/>
      <c r="YC24" s="17"/>
      <c r="YD24" s="17"/>
      <c r="YE24" s="17"/>
      <c r="YF24" s="17"/>
      <c r="YG24" s="17"/>
      <c r="YH24" s="17"/>
      <c r="YI24" s="17"/>
      <c r="YJ24" s="17"/>
      <c r="YK24" s="17"/>
      <c r="YL24" s="17"/>
      <c r="YM24" s="17"/>
      <c r="YN24" s="17"/>
      <c r="YO24" s="17"/>
      <c r="YP24" s="17"/>
      <c r="YQ24" s="17"/>
      <c r="YR24" s="17"/>
      <c r="YS24" s="17"/>
      <c r="YT24" s="17"/>
      <c r="YU24" s="17"/>
      <c r="YV24" s="17"/>
      <c r="YW24" s="17"/>
      <c r="YX24" s="17"/>
      <c r="YY24" s="17"/>
      <c r="YZ24" s="17"/>
      <c r="ZA24" s="17"/>
      <c r="ZB24" s="17"/>
      <c r="ZC24" s="17"/>
      <c r="ZD24" s="17"/>
      <c r="ZE24" s="17"/>
      <c r="ZF24" s="17"/>
      <c r="ZG24" s="17"/>
      <c r="ZH24" s="17"/>
      <c r="ZI24" s="17"/>
      <c r="ZJ24" s="17"/>
      <c r="ZK24" s="17"/>
      <c r="ZL24" s="17"/>
      <c r="ZM24" s="17"/>
      <c r="ZN24" s="17"/>
      <c r="ZO24" s="17"/>
      <c r="ZP24" s="17"/>
      <c r="ZQ24" s="17"/>
      <c r="ZR24" s="17"/>
      <c r="ZS24" s="17"/>
      <c r="ZT24" s="17"/>
      <c r="ZU24" s="17"/>
      <c r="ZV24" s="17"/>
      <c r="ZW24" s="17"/>
      <c r="ZX24" s="17"/>
      <c r="ZY24" s="17"/>
      <c r="ZZ24" s="17"/>
      <c r="AAA24" s="17"/>
      <c r="AAB24" s="17"/>
      <c r="AAC24" s="17"/>
      <c r="AAD24" s="17"/>
      <c r="AAE24" s="17"/>
      <c r="AAF24" s="17"/>
      <c r="AAG24" s="17"/>
      <c r="AAH24" s="17"/>
      <c r="AAI24" s="17"/>
      <c r="AAJ24" s="17"/>
      <c r="AAK24" s="17"/>
      <c r="AAL24" s="17"/>
      <c r="AAM24" s="17"/>
      <c r="AAN24" s="17"/>
      <c r="AAO24" s="17"/>
      <c r="AAP24" s="17"/>
      <c r="AAQ24" s="17"/>
      <c r="AAR24" s="17"/>
      <c r="AAS24" s="17"/>
      <c r="AAT24" s="17"/>
      <c r="AAU24" s="17"/>
      <c r="AAV24" s="17"/>
      <c r="AAW24" s="17"/>
      <c r="AAX24" s="17"/>
      <c r="AAY24" s="17"/>
      <c r="AAZ24" s="17"/>
      <c r="ABA24" s="17"/>
      <c r="ABB24" s="17"/>
      <c r="ABC24" s="17"/>
      <c r="ABD24" s="17"/>
      <c r="ABE24" s="17"/>
      <c r="ABF24" s="17"/>
      <c r="ABG24" s="17"/>
      <c r="ABH24" s="17"/>
      <c r="ABI24" s="17"/>
      <c r="ABJ24" s="17"/>
      <c r="ABK24" s="17"/>
      <c r="ABL24" s="17"/>
      <c r="ABM24" s="17"/>
      <c r="ABN24" s="17"/>
      <c r="ABO24" s="17"/>
      <c r="ABP24" s="17"/>
      <c r="ABQ24" s="17"/>
      <c r="ABR24" s="17"/>
      <c r="ABS24" s="17"/>
      <c r="ABT24" s="17"/>
      <c r="ABU24" s="17"/>
      <c r="ABV24" s="17"/>
      <c r="ABW24" s="17"/>
      <c r="ABX24" s="17"/>
      <c r="ABY24" s="17"/>
      <c r="ABZ24" s="17"/>
      <c r="ACA24" s="17"/>
      <c r="ACB24" s="17"/>
      <c r="ACC24" s="17"/>
      <c r="ACD24" s="17"/>
      <c r="ACE24" s="17"/>
      <c r="ACF24" s="17"/>
      <c r="ACG24" s="17"/>
      <c r="ACH24" s="17"/>
      <c r="ACI24" s="17"/>
      <c r="ACJ24" s="17"/>
      <c r="ACK24" s="17"/>
      <c r="ACL24" s="17"/>
      <c r="ACM24" s="17"/>
      <c r="ACN24" s="17"/>
      <c r="ACO24" s="17"/>
      <c r="ACP24" s="17"/>
      <c r="ACQ24" s="17"/>
      <c r="ACR24" s="17"/>
      <c r="ACS24" s="17"/>
      <c r="ACT24" s="17"/>
      <c r="ACU24" s="17"/>
      <c r="ACV24" s="17"/>
      <c r="ACW24" s="17"/>
      <c r="ACX24" s="17"/>
      <c r="ACY24" s="17"/>
      <c r="ACZ24" s="17"/>
      <c r="ADA24" s="17"/>
      <c r="ADB24" s="17"/>
      <c r="ADC24" s="17"/>
      <c r="ADD24" s="17"/>
      <c r="ADE24" s="17"/>
      <c r="ADF24" s="17"/>
      <c r="ADG24" s="17"/>
      <c r="ADH24" s="17"/>
      <c r="ADI24" s="17"/>
      <c r="ADJ24" s="17"/>
      <c r="ADK24" s="17"/>
      <c r="ADL24" s="17"/>
      <c r="ADM24" s="17"/>
      <c r="ADN24" s="17"/>
      <c r="ADO24" s="17"/>
      <c r="ADP24" s="17"/>
      <c r="ADQ24" s="17"/>
      <c r="ADR24" s="17"/>
      <c r="ADS24" s="17"/>
      <c r="ADT24" s="17"/>
      <c r="ADU24" s="17"/>
      <c r="ADV24" s="17"/>
      <c r="ADW24" s="17"/>
      <c r="ADX24" s="17"/>
      <c r="ADY24" s="17"/>
      <c r="ADZ24" s="17"/>
      <c r="AEA24" s="17"/>
      <c r="AEB24" s="17"/>
      <c r="AEC24" s="17"/>
      <c r="AED24" s="17"/>
      <c r="AEE24" s="17"/>
      <c r="AEF24" s="17"/>
      <c r="AEG24" s="17"/>
      <c r="AEH24" s="17"/>
      <c r="AEI24" s="17"/>
      <c r="AEJ24" s="17"/>
      <c r="AEK24" s="17"/>
      <c r="AEL24" s="17"/>
      <c r="AEM24" s="17"/>
      <c r="AEN24" s="17"/>
      <c r="AEO24" s="17"/>
      <c r="AEP24" s="17"/>
      <c r="AEQ24" s="17"/>
      <c r="AER24" s="17"/>
      <c r="AES24" s="17"/>
      <c r="AET24" s="17"/>
      <c r="AEU24" s="17"/>
      <c r="AEV24" s="17"/>
      <c r="AEW24" s="17"/>
      <c r="AEX24" s="17"/>
      <c r="AEY24" s="17"/>
      <c r="AEZ24" s="17"/>
      <c r="AFA24" s="17"/>
      <c r="AFB24" s="17"/>
      <c r="AFC24" s="17"/>
      <c r="AFD24" s="17"/>
      <c r="AFE24" s="17"/>
      <c r="AFF24" s="17"/>
      <c r="AFG24" s="17"/>
      <c r="AFH24" s="17"/>
      <c r="AFI24" s="17"/>
      <c r="AFJ24" s="17"/>
      <c r="AFK24" s="17"/>
      <c r="AFL24" s="17"/>
      <c r="AFM24" s="17"/>
      <c r="AFN24" s="17"/>
      <c r="AFO24" s="17"/>
      <c r="AFP24" s="17"/>
      <c r="AFQ24" s="17"/>
      <c r="AFR24" s="17"/>
      <c r="AFS24" s="17"/>
      <c r="AFT24" s="17"/>
      <c r="AFU24" s="17"/>
      <c r="AFV24" s="17"/>
      <c r="AFW24" s="17"/>
    </row>
    <row r="25" spans="1:855" s="140" customFormat="1" ht="14.4" thickBot="1" x14ac:dyDescent="0.3">
      <c r="A25" s="141" t="s">
        <v>100</v>
      </c>
      <c r="B25" s="142">
        <v>42987.702702702707</v>
      </c>
      <c r="C25" s="142"/>
      <c r="D25" s="143">
        <v>44030.54054054054</v>
      </c>
      <c r="E25" s="17"/>
      <c r="F25" s="17"/>
      <c r="G25" s="135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  <c r="VK25" s="17"/>
      <c r="VL25" s="17"/>
      <c r="VM25" s="17"/>
      <c r="VN25" s="17"/>
      <c r="VO25" s="17"/>
      <c r="VP25" s="17"/>
      <c r="VQ25" s="17"/>
      <c r="VR25" s="17"/>
      <c r="VS25" s="17"/>
      <c r="VT25" s="17"/>
      <c r="VU25" s="17"/>
      <c r="VV25" s="17"/>
      <c r="VW25" s="17"/>
      <c r="VX25" s="17"/>
      <c r="VY25" s="17"/>
      <c r="VZ25" s="17"/>
      <c r="WA25" s="17"/>
      <c r="WB25" s="17"/>
      <c r="WC25" s="17"/>
      <c r="WD25" s="17"/>
      <c r="WE25" s="17"/>
      <c r="WF25" s="17"/>
      <c r="WG25" s="17"/>
      <c r="WH25" s="17"/>
      <c r="WI25" s="17"/>
      <c r="WJ25" s="17"/>
      <c r="WK25" s="17"/>
      <c r="WL25" s="17"/>
      <c r="WM25" s="17"/>
      <c r="WN25" s="17"/>
      <c r="WO25" s="17"/>
      <c r="WP25" s="17"/>
      <c r="WQ25" s="17"/>
      <c r="WR25" s="17"/>
      <c r="WS25" s="17"/>
      <c r="WT25" s="17"/>
      <c r="WU25" s="17"/>
      <c r="WV25" s="17"/>
      <c r="WW25" s="17"/>
      <c r="WX25" s="17"/>
      <c r="WY25" s="17"/>
      <c r="WZ25" s="17"/>
      <c r="XA25" s="17"/>
      <c r="XB25" s="17"/>
      <c r="XC25" s="17"/>
      <c r="XD25" s="17"/>
      <c r="XE25" s="17"/>
      <c r="XF25" s="17"/>
      <c r="XG25" s="17"/>
      <c r="XH25" s="17"/>
      <c r="XI25" s="17"/>
      <c r="XJ25" s="17"/>
      <c r="XK25" s="17"/>
      <c r="XL25" s="17"/>
      <c r="XM25" s="17"/>
      <c r="XN25" s="17"/>
      <c r="XO25" s="17"/>
      <c r="XP25" s="17"/>
      <c r="XQ25" s="17"/>
      <c r="XR25" s="17"/>
      <c r="XS25" s="17"/>
      <c r="XT25" s="17"/>
      <c r="XU25" s="17"/>
      <c r="XV25" s="17"/>
      <c r="XW25" s="17"/>
      <c r="XX25" s="17"/>
      <c r="XY25" s="17"/>
      <c r="XZ25" s="17"/>
      <c r="YA25" s="17"/>
      <c r="YB25" s="17"/>
      <c r="YC25" s="17"/>
      <c r="YD25" s="17"/>
      <c r="YE25" s="17"/>
      <c r="YF25" s="17"/>
      <c r="YG25" s="17"/>
      <c r="YH25" s="17"/>
      <c r="YI25" s="17"/>
      <c r="YJ25" s="17"/>
      <c r="YK25" s="17"/>
      <c r="YL25" s="17"/>
      <c r="YM25" s="17"/>
      <c r="YN25" s="17"/>
      <c r="YO25" s="17"/>
      <c r="YP25" s="17"/>
      <c r="YQ25" s="17"/>
      <c r="YR25" s="17"/>
      <c r="YS25" s="17"/>
      <c r="YT25" s="17"/>
      <c r="YU25" s="17"/>
      <c r="YV25" s="17"/>
      <c r="YW25" s="17"/>
      <c r="YX25" s="17"/>
      <c r="YY25" s="17"/>
      <c r="YZ25" s="17"/>
      <c r="ZA25" s="17"/>
      <c r="ZB25" s="17"/>
      <c r="ZC25" s="17"/>
      <c r="ZD25" s="17"/>
      <c r="ZE25" s="17"/>
      <c r="ZF25" s="17"/>
      <c r="ZG25" s="17"/>
      <c r="ZH25" s="17"/>
      <c r="ZI25" s="17"/>
      <c r="ZJ25" s="17"/>
      <c r="ZK25" s="17"/>
      <c r="ZL25" s="17"/>
      <c r="ZM25" s="17"/>
      <c r="ZN25" s="17"/>
      <c r="ZO25" s="17"/>
      <c r="ZP25" s="17"/>
      <c r="ZQ25" s="17"/>
      <c r="ZR25" s="17"/>
      <c r="ZS25" s="17"/>
      <c r="ZT25" s="17"/>
      <c r="ZU25" s="17"/>
      <c r="ZV25" s="17"/>
      <c r="ZW25" s="17"/>
      <c r="ZX25" s="17"/>
      <c r="ZY25" s="17"/>
      <c r="ZZ25" s="17"/>
      <c r="AAA25" s="17"/>
      <c r="AAB25" s="17"/>
      <c r="AAC25" s="17"/>
      <c r="AAD25" s="17"/>
      <c r="AAE25" s="17"/>
      <c r="AAF25" s="17"/>
      <c r="AAG25" s="17"/>
      <c r="AAH25" s="17"/>
      <c r="AAI25" s="17"/>
      <c r="AAJ25" s="17"/>
      <c r="AAK25" s="17"/>
      <c r="AAL25" s="17"/>
      <c r="AAM25" s="17"/>
      <c r="AAN25" s="17"/>
      <c r="AAO25" s="17"/>
      <c r="AAP25" s="17"/>
      <c r="AAQ25" s="17"/>
      <c r="AAR25" s="17"/>
      <c r="AAS25" s="17"/>
      <c r="AAT25" s="17"/>
      <c r="AAU25" s="17"/>
      <c r="AAV25" s="17"/>
      <c r="AAW25" s="17"/>
      <c r="AAX25" s="17"/>
      <c r="AAY25" s="17"/>
      <c r="AAZ25" s="17"/>
      <c r="ABA25" s="17"/>
      <c r="ABB25" s="17"/>
      <c r="ABC25" s="17"/>
      <c r="ABD25" s="17"/>
      <c r="ABE25" s="17"/>
      <c r="ABF25" s="17"/>
      <c r="ABG25" s="17"/>
      <c r="ABH25" s="17"/>
      <c r="ABI25" s="17"/>
      <c r="ABJ25" s="17"/>
      <c r="ABK25" s="17"/>
      <c r="ABL25" s="17"/>
      <c r="ABM25" s="17"/>
      <c r="ABN25" s="17"/>
      <c r="ABO25" s="17"/>
      <c r="ABP25" s="17"/>
      <c r="ABQ25" s="17"/>
      <c r="ABR25" s="17"/>
      <c r="ABS25" s="17"/>
      <c r="ABT25" s="17"/>
      <c r="ABU25" s="17"/>
      <c r="ABV25" s="17"/>
      <c r="ABW25" s="17"/>
      <c r="ABX25" s="17"/>
      <c r="ABY25" s="17"/>
      <c r="ABZ25" s="17"/>
      <c r="ACA25" s="17"/>
      <c r="ACB25" s="17"/>
      <c r="ACC25" s="17"/>
      <c r="ACD25" s="17"/>
      <c r="ACE25" s="17"/>
      <c r="ACF25" s="17"/>
      <c r="ACG25" s="17"/>
      <c r="ACH25" s="17"/>
      <c r="ACI25" s="17"/>
      <c r="ACJ25" s="17"/>
      <c r="ACK25" s="17"/>
      <c r="ACL25" s="17"/>
      <c r="ACM25" s="17"/>
      <c r="ACN25" s="17"/>
      <c r="ACO25" s="17"/>
      <c r="ACP25" s="17"/>
      <c r="ACQ25" s="17"/>
      <c r="ACR25" s="17"/>
      <c r="ACS25" s="17"/>
      <c r="ACT25" s="17"/>
      <c r="ACU25" s="17"/>
      <c r="ACV25" s="17"/>
      <c r="ACW25" s="17"/>
      <c r="ACX25" s="17"/>
      <c r="ACY25" s="17"/>
      <c r="ACZ25" s="17"/>
      <c r="ADA25" s="17"/>
      <c r="ADB25" s="17"/>
      <c r="ADC25" s="17"/>
      <c r="ADD25" s="17"/>
      <c r="ADE25" s="17"/>
      <c r="ADF25" s="17"/>
      <c r="ADG25" s="17"/>
      <c r="ADH25" s="17"/>
      <c r="ADI25" s="17"/>
      <c r="ADJ25" s="17"/>
      <c r="ADK25" s="17"/>
      <c r="ADL25" s="17"/>
      <c r="ADM25" s="17"/>
      <c r="ADN25" s="17"/>
      <c r="ADO25" s="17"/>
      <c r="ADP25" s="17"/>
      <c r="ADQ25" s="17"/>
      <c r="ADR25" s="17"/>
      <c r="ADS25" s="17"/>
      <c r="ADT25" s="17"/>
      <c r="ADU25" s="17"/>
      <c r="ADV25" s="17"/>
      <c r="ADW25" s="17"/>
      <c r="ADX25" s="17"/>
      <c r="ADY25" s="17"/>
      <c r="ADZ25" s="17"/>
      <c r="AEA25" s="17"/>
      <c r="AEB25" s="17"/>
      <c r="AEC25" s="17"/>
      <c r="AED25" s="17"/>
      <c r="AEE25" s="17"/>
      <c r="AEF25" s="17"/>
      <c r="AEG25" s="17"/>
      <c r="AEH25" s="17"/>
      <c r="AEI25" s="17"/>
      <c r="AEJ25" s="17"/>
      <c r="AEK25" s="17"/>
      <c r="AEL25" s="17"/>
      <c r="AEM25" s="17"/>
      <c r="AEN25" s="17"/>
      <c r="AEO25" s="17"/>
      <c r="AEP25" s="17"/>
      <c r="AEQ25" s="17"/>
      <c r="AER25" s="17"/>
      <c r="AES25" s="17"/>
      <c r="AET25" s="17"/>
      <c r="AEU25" s="17"/>
      <c r="AEV25" s="17"/>
      <c r="AEW25" s="17"/>
      <c r="AEX25" s="17"/>
      <c r="AEY25" s="17"/>
      <c r="AEZ25" s="17"/>
      <c r="AFA25" s="17"/>
      <c r="AFB25" s="17"/>
      <c r="AFC25" s="17"/>
      <c r="AFD25" s="17"/>
      <c r="AFE25" s="17"/>
      <c r="AFF25" s="17"/>
      <c r="AFG25" s="17"/>
      <c r="AFH25" s="17"/>
      <c r="AFI25" s="17"/>
      <c r="AFJ25" s="17"/>
      <c r="AFK25" s="17"/>
      <c r="AFL25" s="17"/>
      <c r="AFM25" s="17"/>
      <c r="AFN25" s="17"/>
      <c r="AFO25" s="17"/>
      <c r="AFP25" s="17"/>
      <c r="AFQ25" s="17"/>
      <c r="AFR25" s="17"/>
      <c r="AFS25" s="17"/>
      <c r="AFT25" s="17"/>
      <c r="AFU25" s="17"/>
      <c r="AFV25" s="17"/>
      <c r="AFW25" s="17"/>
    </row>
    <row r="26" spans="1:855" x14ac:dyDescent="0.25">
      <c r="A26" s="144"/>
      <c r="B26" s="135"/>
      <c r="D26" s="124"/>
      <c r="G26" s="135"/>
      <c r="I26" s="135"/>
    </row>
    <row r="27" spans="1:855" x14ac:dyDescent="0.25">
      <c r="A27" s="144" t="s">
        <v>101</v>
      </c>
      <c r="D27" s="124"/>
      <c r="I27" s="135"/>
    </row>
    <row r="28" spans="1:855" x14ac:dyDescent="0.25">
      <c r="A28" s="122" t="s">
        <v>102</v>
      </c>
      <c r="B28" s="132">
        <v>14870.378378378378</v>
      </c>
      <c r="D28" s="124">
        <v>15323.621621621622</v>
      </c>
    </row>
    <row r="29" spans="1:855" x14ac:dyDescent="0.25">
      <c r="A29" s="122" t="s">
        <v>103</v>
      </c>
      <c r="B29" s="132">
        <v>695.67567567567562</v>
      </c>
      <c r="C29" s="132"/>
      <c r="D29" s="124">
        <v>264.94594594594594</v>
      </c>
      <c r="F29" s="135"/>
    </row>
    <row r="30" spans="1:855" x14ac:dyDescent="0.25">
      <c r="A30" s="122" t="s">
        <v>104</v>
      </c>
      <c r="B30" s="132">
        <v>97.243243243243242</v>
      </c>
      <c r="C30" s="132"/>
      <c r="D30" s="124">
        <v>88.378378378378372</v>
      </c>
    </row>
    <row r="31" spans="1:855" x14ac:dyDescent="0.25">
      <c r="A31" s="122" t="s">
        <v>105</v>
      </c>
      <c r="B31" s="132"/>
      <c r="C31" s="132"/>
      <c r="D31" s="124"/>
    </row>
    <row r="32" spans="1:855" x14ac:dyDescent="0.25">
      <c r="A32" s="122" t="s">
        <v>106</v>
      </c>
      <c r="B32" s="132">
        <v>1541.3243243243244</v>
      </c>
      <c r="C32" s="132"/>
      <c r="D32" s="124">
        <v>1413.6216216216217</v>
      </c>
    </row>
    <row r="33" spans="1:855" x14ac:dyDescent="0.25">
      <c r="A33" s="122" t="s">
        <v>107</v>
      </c>
      <c r="B33" s="132">
        <v>12536.702702702703</v>
      </c>
      <c r="C33" s="132"/>
      <c r="D33" s="124">
        <v>13353.405405405405</v>
      </c>
    </row>
    <row r="34" spans="1:855" x14ac:dyDescent="0.25">
      <c r="A34" s="122" t="s">
        <v>108</v>
      </c>
      <c r="B34" s="132">
        <v>1634.918918918919</v>
      </c>
      <c r="C34" s="132"/>
      <c r="D34" s="124">
        <v>1212.2162162162163</v>
      </c>
    </row>
    <row r="35" spans="1:855" ht="15.6" x14ac:dyDescent="0.4">
      <c r="A35" s="122" t="s">
        <v>109</v>
      </c>
      <c r="B35" s="133">
        <v>16</v>
      </c>
      <c r="C35" s="132"/>
      <c r="D35" s="134">
        <v>230.32432432432432</v>
      </c>
    </row>
    <row r="36" spans="1:855" x14ac:dyDescent="0.25">
      <c r="A36" s="122" t="s">
        <v>110</v>
      </c>
      <c r="B36" s="132">
        <v>15728.945945945947</v>
      </c>
      <c r="C36" s="132"/>
      <c r="D36" s="124">
        <v>16209.567567567568</v>
      </c>
    </row>
    <row r="37" spans="1:855" x14ac:dyDescent="0.25">
      <c r="A37" s="122" t="s">
        <v>111</v>
      </c>
      <c r="B37" s="132">
        <v>467.43243243243245</v>
      </c>
      <c r="C37" s="132"/>
      <c r="D37" s="124">
        <v>757.02702702702697</v>
      </c>
    </row>
    <row r="38" spans="1:855" x14ac:dyDescent="0.25">
      <c r="A38" s="122" t="s">
        <v>22</v>
      </c>
      <c r="B38" s="132">
        <v>4201.0810810810808</v>
      </c>
      <c r="D38" s="124">
        <v>4729.864864864865</v>
      </c>
    </row>
    <row r="39" spans="1:855" x14ac:dyDescent="0.25">
      <c r="A39" s="122" t="s">
        <v>112</v>
      </c>
      <c r="B39" s="132">
        <v>296.56756756756755</v>
      </c>
      <c r="D39" s="124">
        <v>248.83783783783784</v>
      </c>
    </row>
    <row r="40" spans="1:855" x14ac:dyDescent="0.25">
      <c r="A40" s="122" t="s">
        <v>113</v>
      </c>
      <c r="B40" s="132">
        <v>35.918918918918919</v>
      </c>
      <c r="D40" s="124">
        <v>45.918918918918919</v>
      </c>
    </row>
    <row r="41" spans="1:855" x14ac:dyDescent="0.25">
      <c r="A41" s="122" t="s">
        <v>114</v>
      </c>
      <c r="B41" s="132">
        <v>13.135135135135135</v>
      </c>
      <c r="D41" s="124">
        <v>20.162162162162161</v>
      </c>
    </row>
    <row r="42" spans="1:855" x14ac:dyDescent="0.25">
      <c r="A42" s="122" t="s">
        <v>115</v>
      </c>
      <c r="B42" s="132">
        <v>4657.1891891891892</v>
      </c>
      <c r="D42" s="124">
        <v>4324.7567567567567</v>
      </c>
    </row>
    <row r="43" spans="1:855" x14ac:dyDescent="0.25">
      <c r="A43" s="122" t="s">
        <v>116</v>
      </c>
      <c r="B43" s="123">
        <v>172.24324324324326</v>
      </c>
      <c r="D43" s="124">
        <v>189.72972972972974</v>
      </c>
    </row>
    <row r="44" spans="1:855" s="149" customFormat="1" ht="14.4" thickBot="1" x14ac:dyDescent="0.3">
      <c r="A44" s="145" t="s">
        <v>117</v>
      </c>
      <c r="B44" s="146">
        <v>41235.810810810799</v>
      </c>
      <c r="C44" s="146"/>
      <c r="D44" s="147">
        <v>42202.810810810814</v>
      </c>
      <c r="E44" s="14"/>
      <c r="F44" s="148"/>
      <c r="G44" s="148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  <c r="RB44" s="14"/>
      <c r="RC44" s="14"/>
      <c r="RD44" s="14"/>
      <c r="RE44" s="14"/>
      <c r="RF44" s="14"/>
      <c r="RG44" s="14"/>
      <c r="RH44" s="14"/>
      <c r="RI44" s="14"/>
      <c r="RJ44" s="14"/>
      <c r="RK44" s="14"/>
      <c r="RL44" s="14"/>
      <c r="RM44" s="14"/>
      <c r="RN44" s="14"/>
      <c r="RO44" s="14"/>
      <c r="RP44" s="14"/>
      <c r="RQ44" s="14"/>
      <c r="RR44" s="14"/>
      <c r="RS44" s="14"/>
      <c r="RT44" s="14"/>
      <c r="RU44" s="14"/>
      <c r="RV44" s="14"/>
      <c r="RW44" s="14"/>
      <c r="RX44" s="14"/>
      <c r="RY44" s="14"/>
      <c r="RZ44" s="14"/>
      <c r="SA44" s="14"/>
      <c r="SB44" s="14"/>
      <c r="SC44" s="14"/>
      <c r="SD44" s="14"/>
      <c r="SE44" s="14"/>
      <c r="SF44" s="14"/>
      <c r="SG44" s="14"/>
      <c r="SH44" s="14"/>
      <c r="SI44" s="14"/>
      <c r="SJ44" s="14"/>
      <c r="SK44" s="14"/>
      <c r="SL44" s="14"/>
      <c r="SM44" s="14"/>
      <c r="SN44" s="14"/>
      <c r="SO44" s="14"/>
      <c r="SP44" s="14"/>
      <c r="SQ44" s="14"/>
      <c r="SR44" s="14"/>
      <c r="SS44" s="14"/>
      <c r="ST44" s="14"/>
      <c r="SU44" s="14"/>
      <c r="SV44" s="14"/>
      <c r="SW44" s="14"/>
      <c r="SX44" s="14"/>
      <c r="SY44" s="14"/>
      <c r="SZ44" s="14"/>
      <c r="TA44" s="14"/>
      <c r="TB44" s="14"/>
      <c r="TC44" s="14"/>
      <c r="TD44" s="14"/>
      <c r="TE44" s="14"/>
      <c r="TF44" s="14"/>
      <c r="TG44" s="14"/>
      <c r="TH44" s="14"/>
      <c r="TI44" s="14"/>
      <c r="TJ44" s="14"/>
      <c r="TK44" s="14"/>
      <c r="TL44" s="14"/>
      <c r="TM44" s="14"/>
      <c r="TN44" s="14"/>
      <c r="TO44" s="14"/>
      <c r="TP44" s="14"/>
      <c r="TQ44" s="14"/>
      <c r="TR44" s="14"/>
      <c r="TS44" s="14"/>
      <c r="TT44" s="14"/>
      <c r="TU44" s="14"/>
      <c r="TV44" s="14"/>
      <c r="TW44" s="14"/>
      <c r="TX44" s="14"/>
      <c r="TY44" s="14"/>
      <c r="TZ44" s="14"/>
      <c r="UA44" s="14"/>
      <c r="UB44" s="14"/>
      <c r="UC44" s="14"/>
      <c r="UD44" s="14"/>
      <c r="UE44" s="14"/>
      <c r="UF44" s="14"/>
      <c r="UG44" s="14"/>
      <c r="UH44" s="14"/>
      <c r="UI44" s="14"/>
      <c r="UJ44" s="14"/>
      <c r="UK44" s="14"/>
      <c r="UL44" s="14"/>
      <c r="UM44" s="14"/>
      <c r="UN44" s="14"/>
      <c r="UO44" s="14"/>
      <c r="UP44" s="14"/>
      <c r="UQ44" s="14"/>
      <c r="UR44" s="14"/>
      <c r="US44" s="14"/>
      <c r="UT44" s="14"/>
      <c r="UU44" s="14"/>
      <c r="UV44" s="14"/>
      <c r="UW44" s="14"/>
      <c r="UX44" s="14"/>
      <c r="UY44" s="14"/>
      <c r="UZ44" s="14"/>
      <c r="VA44" s="14"/>
      <c r="VB44" s="14"/>
      <c r="VC44" s="14"/>
      <c r="VD44" s="14"/>
      <c r="VE44" s="14"/>
      <c r="VF44" s="14"/>
      <c r="VG44" s="14"/>
      <c r="VH44" s="14"/>
      <c r="VI44" s="14"/>
      <c r="VJ44" s="14"/>
      <c r="VK44" s="14"/>
      <c r="VL44" s="14"/>
      <c r="VM44" s="14"/>
      <c r="VN44" s="14"/>
      <c r="VO44" s="14"/>
      <c r="VP44" s="14"/>
      <c r="VQ44" s="14"/>
      <c r="VR44" s="14"/>
      <c r="VS44" s="14"/>
      <c r="VT44" s="14"/>
      <c r="VU44" s="14"/>
      <c r="VV44" s="14"/>
      <c r="VW44" s="14"/>
      <c r="VX44" s="14"/>
      <c r="VY44" s="14"/>
      <c r="VZ44" s="14"/>
      <c r="WA44" s="14"/>
      <c r="WB44" s="14"/>
      <c r="WC44" s="14"/>
      <c r="WD44" s="14"/>
      <c r="WE44" s="14"/>
      <c r="WF44" s="14"/>
      <c r="WG44" s="14"/>
      <c r="WH44" s="14"/>
      <c r="WI44" s="14"/>
      <c r="WJ44" s="14"/>
      <c r="WK44" s="14"/>
      <c r="WL44" s="14"/>
      <c r="WM44" s="14"/>
      <c r="WN44" s="14"/>
      <c r="WO44" s="14"/>
      <c r="WP44" s="14"/>
      <c r="WQ44" s="14"/>
      <c r="WR44" s="14"/>
      <c r="WS44" s="14"/>
      <c r="WT44" s="14"/>
      <c r="WU44" s="14"/>
      <c r="WV44" s="14"/>
      <c r="WW44" s="14"/>
      <c r="WX44" s="14"/>
      <c r="WY44" s="14"/>
      <c r="WZ44" s="14"/>
      <c r="XA44" s="14"/>
      <c r="XB44" s="14"/>
      <c r="XC44" s="14"/>
      <c r="XD44" s="14"/>
      <c r="XE44" s="14"/>
      <c r="XF44" s="14"/>
      <c r="XG44" s="14"/>
      <c r="XH44" s="14"/>
      <c r="XI44" s="14"/>
      <c r="XJ44" s="14"/>
      <c r="XK44" s="14"/>
      <c r="XL44" s="14"/>
      <c r="XM44" s="14"/>
      <c r="XN44" s="14"/>
      <c r="XO44" s="14"/>
      <c r="XP44" s="14"/>
      <c r="XQ44" s="14"/>
      <c r="XR44" s="14"/>
      <c r="XS44" s="14"/>
      <c r="XT44" s="14"/>
      <c r="XU44" s="14"/>
      <c r="XV44" s="14"/>
      <c r="XW44" s="14"/>
      <c r="XX44" s="14"/>
      <c r="XY44" s="14"/>
      <c r="XZ44" s="14"/>
      <c r="YA44" s="14"/>
      <c r="YB44" s="14"/>
      <c r="YC44" s="14"/>
      <c r="YD44" s="14"/>
      <c r="YE44" s="14"/>
      <c r="YF44" s="14"/>
      <c r="YG44" s="14"/>
      <c r="YH44" s="14"/>
      <c r="YI44" s="14"/>
      <c r="YJ44" s="14"/>
      <c r="YK44" s="14"/>
      <c r="YL44" s="14"/>
      <c r="YM44" s="14"/>
      <c r="YN44" s="14"/>
      <c r="YO44" s="14"/>
      <c r="YP44" s="14"/>
      <c r="YQ44" s="14"/>
      <c r="YR44" s="14"/>
      <c r="YS44" s="14"/>
      <c r="YT44" s="14"/>
      <c r="YU44" s="14"/>
      <c r="YV44" s="14"/>
      <c r="YW44" s="14"/>
      <c r="YX44" s="14"/>
      <c r="YY44" s="14"/>
      <c r="YZ44" s="14"/>
      <c r="ZA44" s="14"/>
      <c r="ZB44" s="14"/>
      <c r="ZC44" s="14"/>
      <c r="ZD44" s="14"/>
      <c r="ZE44" s="14"/>
      <c r="ZF44" s="14"/>
      <c r="ZG44" s="14"/>
      <c r="ZH44" s="14"/>
      <c r="ZI44" s="14"/>
      <c r="ZJ44" s="14"/>
      <c r="ZK44" s="14"/>
      <c r="ZL44" s="14"/>
      <c r="ZM44" s="14"/>
      <c r="ZN44" s="14"/>
      <c r="ZO44" s="14"/>
      <c r="ZP44" s="14"/>
      <c r="ZQ44" s="14"/>
      <c r="ZR44" s="14"/>
      <c r="ZS44" s="14"/>
      <c r="ZT44" s="14"/>
      <c r="ZU44" s="14"/>
      <c r="ZV44" s="14"/>
      <c r="ZW44" s="14"/>
      <c r="ZX44" s="14"/>
      <c r="ZY44" s="14"/>
      <c r="ZZ44" s="14"/>
      <c r="AAA44" s="14"/>
      <c r="AAB44" s="14"/>
      <c r="AAC44" s="14"/>
      <c r="AAD44" s="14"/>
      <c r="AAE44" s="14"/>
      <c r="AAF44" s="14"/>
      <c r="AAG44" s="14"/>
      <c r="AAH44" s="14"/>
      <c r="AAI44" s="14"/>
      <c r="AAJ44" s="14"/>
      <c r="AAK44" s="14"/>
      <c r="AAL44" s="14"/>
      <c r="AAM44" s="14"/>
      <c r="AAN44" s="14"/>
      <c r="AAO44" s="14"/>
      <c r="AAP44" s="14"/>
      <c r="AAQ44" s="14"/>
      <c r="AAR44" s="14"/>
      <c r="AAS44" s="14"/>
      <c r="AAT44" s="14"/>
      <c r="AAU44" s="14"/>
      <c r="AAV44" s="14"/>
      <c r="AAW44" s="14"/>
      <c r="AAX44" s="14"/>
      <c r="AAY44" s="14"/>
      <c r="AAZ44" s="14"/>
      <c r="ABA44" s="14"/>
      <c r="ABB44" s="14"/>
      <c r="ABC44" s="14"/>
      <c r="ABD44" s="14"/>
      <c r="ABE44" s="14"/>
      <c r="ABF44" s="14"/>
      <c r="ABG44" s="14"/>
      <c r="ABH44" s="14"/>
      <c r="ABI44" s="14"/>
      <c r="ABJ44" s="14"/>
      <c r="ABK44" s="14"/>
      <c r="ABL44" s="14"/>
      <c r="ABM44" s="14"/>
      <c r="ABN44" s="14"/>
      <c r="ABO44" s="14"/>
      <c r="ABP44" s="14"/>
      <c r="ABQ44" s="14"/>
      <c r="ABR44" s="14"/>
      <c r="ABS44" s="14"/>
      <c r="ABT44" s="14"/>
      <c r="ABU44" s="14"/>
      <c r="ABV44" s="14"/>
      <c r="ABW44" s="14"/>
      <c r="ABX44" s="14"/>
      <c r="ABY44" s="14"/>
      <c r="ABZ44" s="14"/>
      <c r="ACA44" s="14"/>
      <c r="ACB44" s="14"/>
      <c r="ACC44" s="14"/>
      <c r="ACD44" s="14"/>
      <c r="ACE44" s="14"/>
      <c r="ACF44" s="14"/>
      <c r="ACG44" s="14"/>
      <c r="ACH44" s="14"/>
      <c r="ACI44" s="14"/>
      <c r="ACJ44" s="14"/>
      <c r="ACK44" s="14"/>
      <c r="ACL44" s="14"/>
      <c r="ACM44" s="14"/>
      <c r="ACN44" s="14"/>
      <c r="ACO44" s="14"/>
      <c r="ACP44" s="14"/>
      <c r="ACQ44" s="14"/>
      <c r="ACR44" s="14"/>
      <c r="ACS44" s="14"/>
      <c r="ACT44" s="14"/>
      <c r="ACU44" s="14"/>
      <c r="ACV44" s="14"/>
      <c r="ACW44" s="14"/>
      <c r="ACX44" s="14"/>
      <c r="ACY44" s="14"/>
      <c r="ACZ44" s="14"/>
      <c r="ADA44" s="14"/>
      <c r="ADB44" s="14"/>
      <c r="ADC44" s="14"/>
      <c r="ADD44" s="14"/>
      <c r="ADE44" s="14"/>
      <c r="ADF44" s="14"/>
      <c r="ADG44" s="14"/>
      <c r="ADH44" s="14"/>
      <c r="ADI44" s="14"/>
      <c r="ADJ44" s="14"/>
      <c r="ADK44" s="14"/>
      <c r="ADL44" s="14"/>
      <c r="ADM44" s="14"/>
      <c r="ADN44" s="14"/>
      <c r="ADO44" s="14"/>
      <c r="ADP44" s="14"/>
      <c r="ADQ44" s="14"/>
      <c r="ADR44" s="14"/>
      <c r="ADS44" s="14"/>
      <c r="ADT44" s="14"/>
      <c r="ADU44" s="14"/>
      <c r="ADV44" s="14"/>
      <c r="ADW44" s="14"/>
      <c r="ADX44" s="14"/>
      <c r="ADY44" s="14"/>
      <c r="ADZ44" s="14"/>
      <c r="AEA44" s="14"/>
      <c r="AEB44" s="14"/>
      <c r="AEC44" s="14"/>
      <c r="AED44" s="14"/>
      <c r="AEE44" s="14"/>
      <c r="AEF44" s="14"/>
      <c r="AEG44" s="14"/>
      <c r="AEH44" s="14"/>
      <c r="AEI44" s="14"/>
      <c r="AEJ44" s="14"/>
      <c r="AEK44" s="14"/>
      <c r="AEL44" s="14"/>
      <c r="AEM44" s="14"/>
      <c r="AEN44" s="14"/>
      <c r="AEO44" s="14"/>
      <c r="AEP44" s="14"/>
      <c r="AEQ44" s="14"/>
      <c r="AER44" s="14"/>
      <c r="AES44" s="14"/>
      <c r="AET44" s="14"/>
      <c r="AEU44" s="14"/>
      <c r="AEV44" s="14"/>
      <c r="AEW44" s="14"/>
      <c r="AEX44" s="14"/>
      <c r="AEY44" s="14"/>
      <c r="AEZ44" s="14"/>
      <c r="AFA44" s="14"/>
      <c r="AFB44" s="14"/>
      <c r="AFC44" s="14"/>
      <c r="AFD44" s="14"/>
      <c r="AFE44" s="14"/>
      <c r="AFF44" s="14"/>
      <c r="AFG44" s="14"/>
      <c r="AFH44" s="14"/>
      <c r="AFI44" s="14"/>
      <c r="AFJ44" s="14"/>
      <c r="AFK44" s="14"/>
      <c r="AFL44" s="14"/>
      <c r="AFM44" s="14"/>
      <c r="AFN44" s="14"/>
      <c r="AFO44" s="14"/>
      <c r="AFP44" s="14"/>
      <c r="AFQ44" s="14"/>
      <c r="AFR44" s="14"/>
      <c r="AFS44" s="14"/>
      <c r="AFT44" s="14"/>
      <c r="AFU44" s="14"/>
      <c r="AFV44" s="14"/>
      <c r="AFW44" s="14"/>
    </row>
    <row r="45" spans="1:855" x14ac:dyDescent="0.25">
      <c r="A45" s="122" t="s">
        <v>118</v>
      </c>
      <c r="B45" s="123">
        <v>95.432432432432435</v>
      </c>
      <c r="D45" s="124">
        <v>95.432432432432435</v>
      </c>
    </row>
    <row r="46" spans="1:855" x14ac:dyDescent="0.25">
      <c r="A46" s="122" t="s">
        <v>119</v>
      </c>
      <c r="B46" s="123">
        <v>912.56756756756761</v>
      </c>
      <c r="D46" s="124">
        <v>907.35135135135135</v>
      </c>
    </row>
    <row r="47" spans="1:855" x14ac:dyDescent="0.25">
      <c r="A47" s="122" t="s">
        <v>120</v>
      </c>
      <c r="B47" s="123">
        <v>513.16216216216219</v>
      </c>
      <c r="D47" s="124">
        <v>572.48648648648646</v>
      </c>
    </row>
    <row r="48" spans="1:855" x14ac:dyDescent="0.25">
      <c r="A48" s="137" t="s">
        <v>121</v>
      </c>
      <c r="B48" s="150">
        <v>95.945945945945951</v>
      </c>
      <c r="C48" s="150"/>
      <c r="D48" s="151">
        <v>119.02702702702703</v>
      </c>
    </row>
    <row r="49" spans="1:855" s="149" customFormat="1" ht="14.4" thickBot="1" x14ac:dyDescent="0.3">
      <c r="A49" s="145" t="s">
        <v>122</v>
      </c>
      <c r="B49" s="146">
        <v>1617.1081081081081</v>
      </c>
      <c r="C49" s="146"/>
      <c r="D49" s="147">
        <v>1694.2972972972973</v>
      </c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  <c r="RB49" s="14"/>
      <c r="RC49" s="14"/>
      <c r="RD49" s="14"/>
      <c r="RE49" s="14"/>
      <c r="RF49" s="14"/>
      <c r="RG49" s="14"/>
      <c r="RH49" s="14"/>
      <c r="RI49" s="14"/>
      <c r="RJ49" s="14"/>
      <c r="RK49" s="14"/>
      <c r="RL49" s="14"/>
      <c r="RM49" s="14"/>
      <c r="RN49" s="14"/>
      <c r="RO49" s="14"/>
      <c r="RP49" s="14"/>
      <c r="RQ49" s="14"/>
      <c r="RR49" s="14"/>
      <c r="RS49" s="14"/>
      <c r="RT49" s="14"/>
      <c r="RU49" s="14"/>
      <c r="RV49" s="14"/>
      <c r="RW49" s="14"/>
      <c r="RX49" s="14"/>
      <c r="RY49" s="14"/>
      <c r="RZ49" s="14"/>
      <c r="SA49" s="14"/>
      <c r="SB49" s="14"/>
      <c r="SC49" s="14"/>
      <c r="SD49" s="14"/>
      <c r="SE49" s="14"/>
      <c r="SF49" s="14"/>
      <c r="SG49" s="14"/>
      <c r="SH49" s="14"/>
      <c r="SI49" s="14"/>
      <c r="SJ49" s="14"/>
      <c r="SK49" s="14"/>
      <c r="SL49" s="14"/>
      <c r="SM49" s="14"/>
      <c r="SN49" s="14"/>
      <c r="SO49" s="14"/>
      <c r="SP49" s="14"/>
      <c r="SQ49" s="14"/>
      <c r="SR49" s="14"/>
      <c r="SS49" s="14"/>
      <c r="ST49" s="14"/>
      <c r="SU49" s="14"/>
      <c r="SV49" s="14"/>
      <c r="SW49" s="14"/>
      <c r="SX49" s="14"/>
      <c r="SY49" s="14"/>
      <c r="SZ49" s="14"/>
      <c r="TA49" s="14"/>
      <c r="TB49" s="14"/>
      <c r="TC49" s="14"/>
      <c r="TD49" s="14"/>
      <c r="TE49" s="14"/>
      <c r="TF49" s="14"/>
      <c r="TG49" s="14"/>
      <c r="TH49" s="14"/>
      <c r="TI49" s="14"/>
      <c r="TJ49" s="14"/>
      <c r="TK49" s="14"/>
      <c r="TL49" s="14"/>
      <c r="TM49" s="14"/>
      <c r="TN49" s="14"/>
      <c r="TO49" s="14"/>
      <c r="TP49" s="14"/>
      <c r="TQ49" s="14"/>
      <c r="TR49" s="14"/>
      <c r="TS49" s="14"/>
      <c r="TT49" s="14"/>
      <c r="TU49" s="14"/>
      <c r="TV49" s="14"/>
      <c r="TW49" s="14"/>
      <c r="TX49" s="14"/>
      <c r="TY49" s="14"/>
      <c r="TZ49" s="14"/>
      <c r="UA49" s="14"/>
      <c r="UB49" s="14"/>
      <c r="UC49" s="14"/>
      <c r="UD49" s="14"/>
      <c r="UE49" s="14"/>
      <c r="UF49" s="14"/>
      <c r="UG49" s="14"/>
      <c r="UH49" s="14"/>
      <c r="UI49" s="14"/>
      <c r="UJ49" s="14"/>
      <c r="UK49" s="14"/>
      <c r="UL49" s="14"/>
      <c r="UM49" s="14"/>
      <c r="UN49" s="14"/>
      <c r="UO49" s="14"/>
      <c r="UP49" s="14"/>
      <c r="UQ49" s="14"/>
      <c r="UR49" s="14"/>
      <c r="US49" s="14"/>
      <c r="UT49" s="14"/>
      <c r="UU49" s="14"/>
      <c r="UV49" s="14"/>
      <c r="UW49" s="14"/>
      <c r="UX49" s="14"/>
      <c r="UY49" s="14"/>
      <c r="UZ49" s="14"/>
      <c r="VA49" s="14"/>
      <c r="VB49" s="14"/>
      <c r="VC49" s="14"/>
      <c r="VD49" s="14"/>
      <c r="VE49" s="14"/>
      <c r="VF49" s="14"/>
      <c r="VG49" s="14"/>
      <c r="VH49" s="14"/>
      <c r="VI49" s="14"/>
      <c r="VJ49" s="14"/>
      <c r="VK49" s="14"/>
      <c r="VL49" s="14"/>
      <c r="VM49" s="14"/>
      <c r="VN49" s="14"/>
      <c r="VO49" s="14"/>
      <c r="VP49" s="14"/>
      <c r="VQ49" s="14"/>
      <c r="VR49" s="14"/>
      <c r="VS49" s="14"/>
      <c r="VT49" s="14"/>
      <c r="VU49" s="14"/>
      <c r="VV49" s="14"/>
      <c r="VW49" s="14"/>
      <c r="VX49" s="14"/>
      <c r="VY49" s="14"/>
      <c r="VZ49" s="14"/>
      <c r="WA49" s="14"/>
      <c r="WB49" s="14"/>
      <c r="WC49" s="14"/>
      <c r="WD49" s="14"/>
      <c r="WE49" s="14"/>
      <c r="WF49" s="14"/>
      <c r="WG49" s="14"/>
      <c r="WH49" s="14"/>
      <c r="WI49" s="14"/>
      <c r="WJ49" s="14"/>
      <c r="WK49" s="14"/>
      <c r="WL49" s="14"/>
      <c r="WM49" s="14"/>
      <c r="WN49" s="14"/>
      <c r="WO49" s="14"/>
      <c r="WP49" s="14"/>
      <c r="WQ49" s="14"/>
      <c r="WR49" s="14"/>
      <c r="WS49" s="14"/>
      <c r="WT49" s="14"/>
      <c r="WU49" s="14"/>
      <c r="WV49" s="14"/>
      <c r="WW49" s="14"/>
      <c r="WX49" s="14"/>
      <c r="WY49" s="14"/>
      <c r="WZ49" s="14"/>
      <c r="XA49" s="14"/>
      <c r="XB49" s="14"/>
      <c r="XC49" s="14"/>
      <c r="XD49" s="14"/>
      <c r="XE49" s="14"/>
      <c r="XF49" s="14"/>
      <c r="XG49" s="14"/>
      <c r="XH49" s="14"/>
      <c r="XI49" s="14"/>
      <c r="XJ49" s="14"/>
      <c r="XK49" s="14"/>
      <c r="XL49" s="14"/>
      <c r="XM49" s="14"/>
      <c r="XN49" s="14"/>
      <c r="XO49" s="14"/>
      <c r="XP49" s="14"/>
      <c r="XQ49" s="14"/>
      <c r="XR49" s="14"/>
      <c r="XS49" s="14"/>
      <c r="XT49" s="14"/>
      <c r="XU49" s="14"/>
      <c r="XV49" s="14"/>
      <c r="XW49" s="14"/>
      <c r="XX49" s="14"/>
      <c r="XY49" s="14"/>
      <c r="XZ49" s="14"/>
      <c r="YA49" s="14"/>
      <c r="YB49" s="14"/>
      <c r="YC49" s="14"/>
      <c r="YD49" s="14"/>
      <c r="YE49" s="14"/>
      <c r="YF49" s="14"/>
      <c r="YG49" s="14"/>
      <c r="YH49" s="14"/>
      <c r="YI49" s="14"/>
      <c r="YJ49" s="14"/>
      <c r="YK49" s="14"/>
      <c r="YL49" s="14"/>
      <c r="YM49" s="14"/>
      <c r="YN49" s="14"/>
      <c r="YO49" s="14"/>
      <c r="YP49" s="14"/>
      <c r="YQ49" s="14"/>
      <c r="YR49" s="14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4"/>
      <c r="ABJ49" s="14"/>
      <c r="ABK49" s="14"/>
      <c r="ABL49" s="14"/>
      <c r="ABM49" s="14"/>
      <c r="ABN49" s="14"/>
      <c r="ABO49" s="14"/>
      <c r="ABP49" s="14"/>
      <c r="ABQ49" s="14"/>
      <c r="ABR49" s="14"/>
      <c r="ABS49" s="14"/>
      <c r="ABT49" s="14"/>
      <c r="ABU49" s="14"/>
      <c r="ABV49" s="14"/>
      <c r="ABW49" s="14"/>
      <c r="ABX49" s="14"/>
      <c r="ABY49" s="14"/>
      <c r="ABZ49" s="14"/>
      <c r="ACA49" s="14"/>
      <c r="ACB49" s="14"/>
      <c r="ACC49" s="14"/>
      <c r="ACD49" s="14"/>
      <c r="ACE49" s="14"/>
      <c r="ACF49" s="14"/>
      <c r="ACG49" s="14"/>
      <c r="ACH49" s="14"/>
      <c r="ACI49" s="14"/>
      <c r="ACJ49" s="14"/>
      <c r="ACK49" s="14"/>
      <c r="ACL49" s="14"/>
      <c r="ACM49" s="14"/>
      <c r="ACN49" s="14"/>
      <c r="ACO49" s="14"/>
      <c r="ACP49" s="14"/>
      <c r="ACQ49" s="14"/>
      <c r="ACR49" s="14"/>
      <c r="ACS49" s="14"/>
      <c r="ACT49" s="14"/>
      <c r="ACU49" s="14"/>
      <c r="ACV49" s="14"/>
      <c r="ACW49" s="14"/>
      <c r="ACX49" s="14"/>
      <c r="ACY49" s="14"/>
      <c r="ACZ49" s="14"/>
      <c r="ADA49" s="14"/>
      <c r="ADB49" s="14"/>
      <c r="ADC49" s="14"/>
      <c r="ADD49" s="14"/>
      <c r="ADE49" s="14"/>
      <c r="ADF49" s="14"/>
      <c r="ADG49" s="14"/>
      <c r="ADH49" s="14"/>
      <c r="ADI49" s="14"/>
      <c r="ADJ49" s="14"/>
      <c r="ADK49" s="14"/>
      <c r="ADL49" s="14"/>
      <c r="ADM49" s="14"/>
      <c r="ADN49" s="14"/>
      <c r="ADO49" s="14"/>
      <c r="ADP49" s="14"/>
      <c r="ADQ49" s="14"/>
      <c r="ADR49" s="14"/>
      <c r="ADS49" s="14"/>
      <c r="ADT49" s="14"/>
      <c r="ADU49" s="14"/>
      <c r="ADV49" s="14"/>
      <c r="ADW49" s="14"/>
      <c r="ADX49" s="14"/>
      <c r="ADY49" s="14"/>
      <c r="ADZ49" s="14"/>
      <c r="AEA49" s="14"/>
      <c r="AEB49" s="14"/>
      <c r="AEC49" s="14"/>
      <c r="AED49" s="14"/>
      <c r="AEE49" s="14"/>
      <c r="AEF49" s="14"/>
      <c r="AEG49" s="14"/>
      <c r="AEH49" s="14"/>
      <c r="AEI49" s="14"/>
      <c r="AEJ49" s="14"/>
      <c r="AEK49" s="14"/>
      <c r="AEL49" s="14"/>
      <c r="AEM49" s="14"/>
      <c r="AEN49" s="14"/>
      <c r="AEO49" s="14"/>
      <c r="AEP49" s="14"/>
      <c r="AEQ49" s="14"/>
      <c r="AER49" s="14"/>
      <c r="AES49" s="14"/>
      <c r="AET49" s="14"/>
      <c r="AEU49" s="14"/>
      <c r="AEV49" s="14"/>
      <c r="AEW49" s="14"/>
      <c r="AEX49" s="14"/>
      <c r="AEY49" s="14"/>
      <c r="AEZ49" s="14"/>
      <c r="AFA49" s="14"/>
      <c r="AFB49" s="14"/>
      <c r="AFC49" s="14"/>
      <c r="AFD49" s="14"/>
      <c r="AFE49" s="14"/>
      <c r="AFF49" s="14"/>
      <c r="AFG49" s="14"/>
      <c r="AFH49" s="14"/>
      <c r="AFI49" s="14"/>
      <c r="AFJ49" s="14"/>
      <c r="AFK49" s="14"/>
      <c r="AFL49" s="14"/>
      <c r="AFM49" s="14"/>
      <c r="AFN49" s="14"/>
      <c r="AFO49" s="14"/>
      <c r="AFP49" s="14"/>
      <c r="AFQ49" s="14"/>
      <c r="AFR49" s="14"/>
      <c r="AFS49" s="14"/>
      <c r="AFT49" s="14"/>
      <c r="AFU49" s="14"/>
      <c r="AFV49" s="14"/>
      <c r="AFW49" s="14"/>
    </row>
    <row r="50" spans="1:855" x14ac:dyDescent="0.25">
      <c r="A50" s="122" t="s">
        <v>123</v>
      </c>
      <c r="B50" s="123">
        <v>126.18918918918919</v>
      </c>
      <c r="D50" s="124">
        <v>126.35135135135135</v>
      </c>
    </row>
    <row r="51" spans="1:855" s="140" customFormat="1" ht="14.4" thickBot="1" x14ac:dyDescent="0.3">
      <c r="A51" s="152" t="s">
        <v>124</v>
      </c>
      <c r="B51" s="153">
        <v>8.5405405405405403</v>
      </c>
      <c r="C51" s="153"/>
      <c r="D51" s="154">
        <v>7.2972972972972974</v>
      </c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  <c r="EZ51" s="17"/>
      <c r="FA51" s="17"/>
      <c r="FB51" s="17"/>
      <c r="FC51" s="17"/>
      <c r="FD51" s="17"/>
      <c r="FE51" s="17"/>
      <c r="FF51" s="17"/>
      <c r="FG51" s="17"/>
      <c r="FH51" s="17"/>
      <c r="FI51" s="17"/>
      <c r="FJ51" s="17"/>
      <c r="FK51" s="17"/>
      <c r="FL51" s="17"/>
      <c r="FM51" s="17"/>
      <c r="FN51" s="17"/>
      <c r="FO51" s="17"/>
      <c r="FP51" s="17"/>
      <c r="FQ51" s="17"/>
      <c r="FR51" s="17"/>
      <c r="FS51" s="17"/>
      <c r="FT51" s="17"/>
      <c r="FU51" s="17"/>
      <c r="FV51" s="17"/>
      <c r="FW51" s="17"/>
      <c r="FX51" s="17"/>
      <c r="FY51" s="17"/>
      <c r="FZ51" s="17"/>
      <c r="GA51" s="17"/>
      <c r="GB51" s="17"/>
      <c r="GC51" s="17"/>
      <c r="GD51" s="17"/>
      <c r="GE51" s="17"/>
      <c r="GF51" s="17"/>
      <c r="GG51" s="17"/>
      <c r="GH51" s="17"/>
      <c r="GI51" s="17"/>
      <c r="GJ51" s="17"/>
      <c r="GK51" s="17"/>
      <c r="GL51" s="17"/>
      <c r="GM51" s="17"/>
      <c r="GN51" s="17"/>
      <c r="GO51" s="17"/>
      <c r="GP51" s="17"/>
      <c r="GQ51" s="17"/>
      <c r="GR51" s="17"/>
      <c r="GS51" s="17"/>
      <c r="GT51" s="17"/>
      <c r="GU51" s="17"/>
      <c r="GV51" s="17"/>
      <c r="GW51" s="17"/>
      <c r="GX51" s="17"/>
      <c r="GY51" s="17"/>
      <c r="GZ51" s="17"/>
      <c r="HA51" s="17"/>
      <c r="HB51" s="17"/>
      <c r="HC51" s="17"/>
      <c r="HD51" s="17"/>
      <c r="HE51" s="17"/>
      <c r="HF51" s="17"/>
      <c r="HG51" s="17"/>
      <c r="HH51" s="17"/>
      <c r="HI51" s="17"/>
      <c r="HJ51" s="17"/>
      <c r="HK51" s="17"/>
      <c r="HL51" s="17"/>
      <c r="HM51" s="17"/>
      <c r="HN51" s="17"/>
      <c r="HO51" s="17"/>
      <c r="HP51" s="17"/>
      <c r="HQ51" s="17"/>
      <c r="HR51" s="17"/>
      <c r="HS51" s="17"/>
      <c r="HT51" s="17"/>
      <c r="HU51" s="17"/>
      <c r="HV51" s="17"/>
      <c r="HW51" s="17"/>
      <c r="HX51" s="17"/>
      <c r="HY51" s="17"/>
      <c r="HZ51" s="17"/>
      <c r="IA51" s="17"/>
      <c r="IB51" s="17"/>
      <c r="IC51" s="17"/>
      <c r="ID51" s="17"/>
      <c r="IE51" s="17"/>
      <c r="IF51" s="17"/>
      <c r="IG51" s="17"/>
      <c r="IH51" s="17"/>
      <c r="II51" s="17"/>
      <c r="IJ51" s="17"/>
      <c r="IK51" s="17"/>
      <c r="IL51" s="17"/>
      <c r="IM51" s="17"/>
      <c r="IN51" s="17"/>
      <c r="IO51" s="17"/>
      <c r="IP51" s="17"/>
      <c r="IQ51" s="17"/>
      <c r="IR51" s="17"/>
      <c r="IS51" s="17"/>
      <c r="IT51" s="17"/>
      <c r="IU51" s="17"/>
      <c r="IV51" s="17"/>
      <c r="IW51" s="17"/>
      <c r="IX51" s="17"/>
      <c r="IY51" s="17"/>
      <c r="IZ51" s="17"/>
      <c r="JA51" s="17"/>
      <c r="JB51" s="17"/>
      <c r="JC51" s="17"/>
      <c r="JD51" s="17"/>
      <c r="JE51" s="17"/>
      <c r="JF51" s="17"/>
      <c r="JG51" s="17"/>
      <c r="JH51" s="17"/>
      <c r="JI51" s="17"/>
      <c r="JJ51" s="17"/>
      <c r="JK51" s="17"/>
      <c r="JL51" s="17"/>
      <c r="JM51" s="17"/>
      <c r="JN51" s="17"/>
      <c r="JO51" s="17"/>
      <c r="JP51" s="17"/>
      <c r="JQ51" s="17"/>
      <c r="JR51" s="17"/>
      <c r="JS51" s="17"/>
      <c r="JT51" s="17"/>
      <c r="JU51" s="17"/>
      <c r="JV51" s="17"/>
      <c r="JW51" s="17"/>
      <c r="JX51" s="17"/>
      <c r="JY51" s="17"/>
      <c r="JZ51" s="17"/>
      <c r="KA51" s="17"/>
      <c r="KB51" s="17"/>
      <c r="KC51" s="17"/>
      <c r="KD51" s="17"/>
      <c r="KE51" s="17"/>
      <c r="KF51" s="17"/>
      <c r="KG51" s="17"/>
      <c r="KH51" s="17"/>
      <c r="KI51" s="17"/>
      <c r="KJ51" s="17"/>
      <c r="KK51" s="17"/>
      <c r="KL51" s="17"/>
      <c r="KM51" s="17"/>
      <c r="KN51" s="17"/>
      <c r="KO51" s="17"/>
      <c r="KP51" s="17"/>
      <c r="KQ51" s="17"/>
      <c r="KR51" s="17"/>
      <c r="KS51" s="17"/>
      <c r="KT51" s="17"/>
      <c r="KU51" s="17"/>
      <c r="KV51" s="17"/>
      <c r="KW51" s="17"/>
      <c r="KX51" s="17"/>
      <c r="KY51" s="17"/>
      <c r="KZ51" s="17"/>
      <c r="LA51" s="17"/>
      <c r="LB51" s="17"/>
      <c r="LC51" s="17"/>
      <c r="LD51" s="17"/>
      <c r="LE51" s="17"/>
      <c r="LF51" s="17"/>
      <c r="LG51" s="17"/>
      <c r="LH51" s="17"/>
      <c r="LI51" s="17"/>
      <c r="LJ51" s="17"/>
      <c r="LK51" s="17"/>
      <c r="LL51" s="17"/>
      <c r="LM51" s="17"/>
      <c r="LN51" s="17"/>
      <c r="LO51" s="17"/>
      <c r="LP51" s="17"/>
      <c r="LQ51" s="17"/>
      <c r="LR51" s="17"/>
      <c r="LS51" s="17"/>
      <c r="LT51" s="17"/>
      <c r="LU51" s="17"/>
      <c r="LV51" s="17"/>
      <c r="LW51" s="17"/>
      <c r="LX51" s="17"/>
      <c r="LY51" s="17"/>
      <c r="LZ51" s="17"/>
      <c r="MA51" s="17"/>
      <c r="MB51" s="17"/>
      <c r="MC51" s="17"/>
      <c r="MD51" s="17"/>
      <c r="ME51" s="17"/>
      <c r="MF51" s="17"/>
      <c r="MG51" s="17"/>
      <c r="MH51" s="17"/>
      <c r="MI51" s="17"/>
      <c r="MJ51" s="17"/>
      <c r="MK51" s="17"/>
      <c r="ML51" s="17"/>
      <c r="MM51" s="17"/>
      <c r="MN51" s="17"/>
      <c r="MO51" s="17"/>
      <c r="MP51" s="17"/>
      <c r="MQ51" s="17"/>
      <c r="MR51" s="17"/>
      <c r="MS51" s="17"/>
      <c r="MT51" s="17"/>
      <c r="MU51" s="17"/>
      <c r="MV51" s="17"/>
      <c r="MW51" s="17"/>
      <c r="MX51" s="17"/>
      <c r="MY51" s="17"/>
      <c r="MZ51" s="17"/>
      <c r="NA51" s="17"/>
      <c r="NB51" s="17"/>
      <c r="NC51" s="17"/>
      <c r="ND51" s="17"/>
      <c r="NE51" s="17"/>
      <c r="NF51" s="17"/>
      <c r="NG51" s="17"/>
      <c r="NH51" s="17"/>
      <c r="NI51" s="17"/>
      <c r="NJ51" s="17"/>
      <c r="NK51" s="17"/>
      <c r="NL51" s="17"/>
      <c r="NM51" s="17"/>
      <c r="NN51" s="17"/>
      <c r="NO51" s="17"/>
      <c r="NP51" s="17"/>
      <c r="NQ51" s="17"/>
      <c r="NR51" s="17"/>
      <c r="NS51" s="17"/>
      <c r="NT51" s="17"/>
      <c r="NU51" s="17"/>
      <c r="NV51" s="17"/>
      <c r="NW51" s="17"/>
      <c r="NX51" s="17"/>
      <c r="NY51" s="17"/>
      <c r="NZ51" s="17"/>
      <c r="OA51" s="17"/>
      <c r="OB51" s="17"/>
      <c r="OC51" s="17"/>
      <c r="OD51" s="17"/>
      <c r="OE51" s="17"/>
      <c r="OF51" s="17"/>
      <c r="OG51" s="17"/>
      <c r="OH51" s="17"/>
      <c r="OI51" s="17"/>
      <c r="OJ51" s="17"/>
      <c r="OK51" s="17"/>
      <c r="OL51" s="17"/>
      <c r="OM51" s="17"/>
      <c r="ON51" s="17"/>
      <c r="OO51" s="17"/>
      <c r="OP51" s="17"/>
      <c r="OQ51" s="17"/>
      <c r="OR51" s="17"/>
      <c r="OS51" s="17"/>
      <c r="OT51" s="17"/>
      <c r="OU51" s="17"/>
      <c r="OV51" s="17"/>
      <c r="OW51" s="17"/>
      <c r="OX51" s="17"/>
      <c r="OY51" s="17"/>
      <c r="OZ51" s="17"/>
      <c r="PA51" s="17"/>
      <c r="PB51" s="17"/>
      <c r="PC51" s="17"/>
      <c r="PD51" s="17"/>
      <c r="PE51" s="17"/>
      <c r="PF51" s="17"/>
      <c r="PG51" s="17"/>
      <c r="PH51" s="17"/>
      <c r="PI51" s="17"/>
      <c r="PJ51" s="17"/>
      <c r="PK51" s="17"/>
      <c r="PL51" s="17"/>
      <c r="PM51" s="17"/>
      <c r="PN51" s="17"/>
      <c r="PO51" s="17"/>
      <c r="PP51" s="17"/>
      <c r="PQ51" s="17"/>
      <c r="PR51" s="17"/>
      <c r="PS51" s="17"/>
      <c r="PT51" s="17"/>
      <c r="PU51" s="17"/>
      <c r="PV51" s="17"/>
      <c r="PW51" s="17"/>
      <c r="PX51" s="17"/>
      <c r="PY51" s="17"/>
      <c r="PZ51" s="17"/>
      <c r="QA51" s="17"/>
      <c r="QB51" s="17"/>
      <c r="QC51" s="17"/>
      <c r="QD51" s="17"/>
      <c r="QE51" s="17"/>
      <c r="QF51" s="17"/>
      <c r="QG51" s="17"/>
      <c r="QH51" s="17"/>
      <c r="QI51" s="17"/>
      <c r="QJ51" s="17"/>
      <c r="QK51" s="17"/>
      <c r="QL51" s="17"/>
      <c r="QM51" s="17"/>
      <c r="QN51" s="17"/>
      <c r="QO51" s="17"/>
      <c r="QP51" s="17"/>
      <c r="QQ51" s="17"/>
      <c r="QR51" s="17"/>
      <c r="QS51" s="17"/>
      <c r="QT51" s="17"/>
      <c r="QU51" s="17"/>
      <c r="QV51" s="17"/>
      <c r="QW51" s="17"/>
      <c r="QX51" s="17"/>
      <c r="QY51" s="17"/>
      <c r="QZ51" s="17"/>
      <c r="RA51" s="17"/>
      <c r="RB51" s="17"/>
      <c r="RC51" s="17"/>
      <c r="RD51" s="17"/>
      <c r="RE51" s="17"/>
      <c r="RF51" s="17"/>
      <c r="RG51" s="17"/>
      <c r="RH51" s="17"/>
      <c r="RI51" s="17"/>
      <c r="RJ51" s="17"/>
      <c r="RK51" s="17"/>
      <c r="RL51" s="17"/>
      <c r="RM51" s="17"/>
      <c r="RN51" s="17"/>
      <c r="RO51" s="17"/>
      <c r="RP51" s="17"/>
      <c r="RQ51" s="17"/>
      <c r="RR51" s="17"/>
      <c r="RS51" s="17"/>
      <c r="RT51" s="17"/>
      <c r="RU51" s="17"/>
      <c r="RV51" s="17"/>
      <c r="RW51" s="17"/>
      <c r="RX51" s="17"/>
      <c r="RY51" s="17"/>
      <c r="RZ51" s="17"/>
      <c r="SA51" s="17"/>
      <c r="SB51" s="17"/>
      <c r="SC51" s="17"/>
      <c r="SD51" s="17"/>
      <c r="SE51" s="17"/>
      <c r="SF51" s="17"/>
      <c r="SG51" s="17"/>
      <c r="SH51" s="17"/>
      <c r="SI51" s="17"/>
      <c r="SJ51" s="17"/>
      <c r="SK51" s="17"/>
      <c r="SL51" s="17"/>
      <c r="SM51" s="17"/>
      <c r="SN51" s="17"/>
      <c r="SO51" s="17"/>
      <c r="SP51" s="17"/>
      <c r="SQ51" s="17"/>
      <c r="SR51" s="17"/>
      <c r="SS51" s="17"/>
      <c r="ST51" s="17"/>
      <c r="SU51" s="17"/>
      <c r="SV51" s="17"/>
      <c r="SW51" s="17"/>
      <c r="SX51" s="17"/>
      <c r="SY51" s="17"/>
      <c r="SZ51" s="17"/>
      <c r="TA51" s="17"/>
      <c r="TB51" s="17"/>
      <c r="TC51" s="17"/>
      <c r="TD51" s="17"/>
      <c r="TE51" s="17"/>
      <c r="TF51" s="17"/>
      <c r="TG51" s="17"/>
      <c r="TH51" s="17"/>
      <c r="TI51" s="17"/>
      <c r="TJ51" s="17"/>
      <c r="TK51" s="17"/>
      <c r="TL51" s="17"/>
      <c r="TM51" s="17"/>
      <c r="TN51" s="17"/>
      <c r="TO51" s="17"/>
      <c r="TP51" s="17"/>
      <c r="TQ51" s="17"/>
      <c r="TR51" s="17"/>
      <c r="TS51" s="17"/>
      <c r="TT51" s="17"/>
      <c r="TU51" s="17"/>
      <c r="TV51" s="17"/>
      <c r="TW51" s="17"/>
      <c r="TX51" s="17"/>
      <c r="TY51" s="17"/>
      <c r="TZ51" s="17"/>
      <c r="UA51" s="17"/>
      <c r="UB51" s="17"/>
      <c r="UC51" s="17"/>
      <c r="UD51" s="17"/>
      <c r="UE51" s="17"/>
      <c r="UF51" s="17"/>
      <c r="UG51" s="17"/>
      <c r="UH51" s="17"/>
      <c r="UI51" s="17"/>
      <c r="UJ51" s="17"/>
      <c r="UK51" s="17"/>
      <c r="UL51" s="17"/>
      <c r="UM51" s="17"/>
      <c r="UN51" s="17"/>
      <c r="UO51" s="17"/>
      <c r="UP51" s="17"/>
      <c r="UQ51" s="17"/>
      <c r="UR51" s="17"/>
      <c r="US51" s="17"/>
      <c r="UT51" s="17"/>
      <c r="UU51" s="17"/>
      <c r="UV51" s="17"/>
      <c r="UW51" s="17"/>
      <c r="UX51" s="17"/>
      <c r="UY51" s="17"/>
      <c r="UZ51" s="17"/>
      <c r="VA51" s="17"/>
      <c r="VB51" s="17"/>
      <c r="VC51" s="17"/>
      <c r="VD51" s="17"/>
      <c r="VE51" s="17"/>
      <c r="VF51" s="17"/>
      <c r="VG51" s="17"/>
      <c r="VH51" s="17"/>
      <c r="VI51" s="17"/>
      <c r="VJ51" s="17"/>
      <c r="VK51" s="17"/>
      <c r="VL51" s="17"/>
      <c r="VM51" s="17"/>
      <c r="VN51" s="17"/>
      <c r="VO51" s="17"/>
      <c r="VP51" s="17"/>
      <c r="VQ51" s="17"/>
      <c r="VR51" s="17"/>
      <c r="VS51" s="17"/>
      <c r="VT51" s="17"/>
      <c r="VU51" s="17"/>
      <c r="VV51" s="17"/>
      <c r="VW51" s="17"/>
      <c r="VX51" s="17"/>
      <c r="VY51" s="17"/>
      <c r="VZ51" s="17"/>
      <c r="WA51" s="17"/>
      <c r="WB51" s="17"/>
      <c r="WC51" s="17"/>
      <c r="WD51" s="17"/>
      <c r="WE51" s="17"/>
      <c r="WF51" s="17"/>
      <c r="WG51" s="17"/>
      <c r="WH51" s="17"/>
      <c r="WI51" s="17"/>
      <c r="WJ51" s="17"/>
      <c r="WK51" s="17"/>
      <c r="WL51" s="17"/>
      <c r="WM51" s="17"/>
      <c r="WN51" s="17"/>
      <c r="WO51" s="17"/>
      <c r="WP51" s="17"/>
      <c r="WQ51" s="17"/>
      <c r="WR51" s="17"/>
      <c r="WS51" s="17"/>
      <c r="WT51" s="17"/>
      <c r="WU51" s="17"/>
      <c r="WV51" s="17"/>
      <c r="WW51" s="17"/>
      <c r="WX51" s="17"/>
      <c r="WY51" s="17"/>
      <c r="WZ51" s="17"/>
      <c r="XA51" s="17"/>
      <c r="XB51" s="17"/>
      <c r="XC51" s="17"/>
      <c r="XD51" s="17"/>
      <c r="XE51" s="17"/>
      <c r="XF51" s="17"/>
      <c r="XG51" s="17"/>
      <c r="XH51" s="17"/>
      <c r="XI51" s="17"/>
      <c r="XJ51" s="17"/>
      <c r="XK51" s="17"/>
      <c r="XL51" s="17"/>
      <c r="XM51" s="17"/>
      <c r="XN51" s="17"/>
      <c r="XO51" s="17"/>
      <c r="XP51" s="17"/>
      <c r="XQ51" s="17"/>
      <c r="XR51" s="17"/>
      <c r="XS51" s="17"/>
      <c r="XT51" s="17"/>
      <c r="XU51" s="17"/>
      <c r="XV51" s="17"/>
      <c r="XW51" s="17"/>
      <c r="XX51" s="17"/>
      <c r="XY51" s="17"/>
      <c r="XZ51" s="17"/>
      <c r="YA51" s="17"/>
      <c r="YB51" s="17"/>
      <c r="YC51" s="17"/>
      <c r="YD51" s="17"/>
      <c r="YE51" s="17"/>
      <c r="YF51" s="17"/>
      <c r="YG51" s="17"/>
      <c r="YH51" s="17"/>
      <c r="YI51" s="17"/>
      <c r="YJ51" s="17"/>
      <c r="YK51" s="17"/>
      <c r="YL51" s="17"/>
      <c r="YM51" s="17"/>
      <c r="YN51" s="17"/>
      <c r="YO51" s="17"/>
      <c r="YP51" s="17"/>
      <c r="YQ51" s="17"/>
      <c r="YR51" s="17"/>
      <c r="YS51" s="17"/>
      <c r="YT51" s="17"/>
      <c r="YU51" s="17"/>
      <c r="YV51" s="17"/>
      <c r="YW51" s="17"/>
      <c r="YX51" s="17"/>
      <c r="YY51" s="17"/>
      <c r="YZ51" s="17"/>
      <c r="ZA51" s="17"/>
      <c r="ZB51" s="17"/>
      <c r="ZC51" s="17"/>
      <c r="ZD51" s="17"/>
      <c r="ZE51" s="17"/>
      <c r="ZF51" s="17"/>
      <c r="ZG51" s="17"/>
      <c r="ZH51" s="17"/>
      <c r="ZI51" s="17"/>
      <c r="ZJ51" s="17"/>
      <c r="ZK51" s="17"/>
      <c r="ZL51" s="17"/>
      <c r="ZM51" s="17"/>
      <c r="ZN51" s="17"/>
      <c r="ZO51" s="17"/>
      <c r="ZP51" s="17"/>
      <c r="ZQ51" s="17"/>
      <c r="ZR51" s="17"/>
      <c r="ZS51" s="17"/>
      <c r="ZT51" s="17"/>
      <c r="ZU51" s="17"/>
      <c r="ZV51" s="17"/>
      <c r="ZW51" s="17"/>
      <c r="ZX51" s="17"/>
      <c r="ZY51" s="17"/>
      <c r="ZZ51" s="17"/>
      <c r="AAA51" s="17"/>
      <c r="AAB51" s="17"/>
      <c r="AAC51" s="17"/>
      <c r="AAD51" s="17"/>
      <c r="AAE51" s="17"/>
      <c r="AAF51" s="17"/>
      <c r="AAG51" s="17"/>
      <c r="AAH51" s="17"/>
      <c r="AAI51" s="17"/>
      <c r="AAJ51" s="17"/>
      <c r="AAK51" s="17"/>
      <c r="AAL51" s="17"/>
      <c r="AAM51" s="17"/>
      <c r="AAN51" s="17"/>
      <c r="AAO51" s="17"/>
      <c r="AAP51" s="17"/>
      <c r="AAQ51" s="17"/>
      <c r="AAR51" s="17"/>
      <c r="AAS51" s="17"/>
      <c r="AAT51" s="17"/>
      <c r="AAU51" s="17"/>
      <c r="AAV51" s="17"/>
      <c r="AAW51" s="17"/>
      <c r="AAX51" s="17"/>
      <c r="AAY51" s="17"/>
      <c r="AAZ51" s="17"/>
      <c r="ABA51" s="17"/>
      <c r="ABB51" s="17"/>
      <c r="ABC51" s="17"/>
      <c r="ABD51" s="17"/>
      <c r="ABE51" s="17"/>
      <c r="ABF51" s="17"/>
      <c r="ABG51" s="17"/>
      <c r="ABH51" s="17"/>
      <c r="ABI51" s="17"/>
      <c r="ABJ51" s="17"/>
      <c r="ABK51" s="17"/>
      <c r="ABL51" s="17"/>
      <c r="ABM51" s="17"/>
      <c r="ABN51" s="17"/>
      <c r="ABO51" s="17"/>
      <c r="ABP51" s="17"/>
      <c r="ABQ51" s="17"/>
      <c r="ABR51" s="17"/>
      <c r="ABS51" s="17"/>
      <c r="ABT51" s="17"/>
      <c r="ABU51" s="17"/>
      <c r="ABV51" s="17"/>
      <c r="ABW51" s="17"/>
      <c r="ABX51" s="17"/>
      <c r="ABY51" s="17"/>
      <c r="ABZ51" s="17"/>
      <c r="ACA51" s="17"/>
      <c r="ACB51" s="17"/>
      <c r="ACC51" s="17"/>
      <c r="ACD51" s="17"/>
      <c r="ACE51" s="17"/>
      <c r="ACF51" s="17"/>
      <c r="ACG51" s="17"/>
      <c r="ACH51" s="17"/>
      <c r="ACI51" s="17"/>
      <c r="ACJ51" s="17"/>
      <c r="ACK51" s="17"/>
      <c r="ACL51" s="17"/>
      <c r="ACM51" s="17"/>
      <c r="ACN51" s="17"/>
      <c r="ACO51" s="17"/>
      <c r="ACP51" s="17"/>
      <c r="ACQ51" s="17"/>
      <c r="ACR51" s="17"/>
      <c r="ACS51" s="17"/>
      <c r="ACT51" s="17"/>
      <c r="ACU51" s="17"/>
      <c r="ACV51" s="17"/>
      <c r="ACW51" s="17"/>
      <c r="ACX51" s="17"/>
      <c r="ACY51" s="17"/>
      <c r="ACZ51" s="17"/>
      <c r="ADA51" s="17"/>
      <c r="ADB51" s="17"/>
      <c r="ADC51" s="17"/>
      <c r="ADD51" s="17"/>
      <c r="ADE51" s="17"/>
      <c r="ADF51" s="17"/>
      <c r="ADG51" s="17"/>
      <c r="ADH51" s="17"/>
      <c r="ADI51" s="17"/>
      <c r="ADJ51" s="17"/>
      <c r="ADK51" s="17"/>
      <c r="ADL51" s="17"/>
      <c r="ADM51" s="17"/>
      <c r="ADN51" s="17"/>
      <c r="ADO51" s="17"/>
      <c r="ADP51" s="17"/>
      <c r="ADQ51" s="17"/>
      <c r="ADR51" s="17"/>
      <c r="ADS51" s="17"/>
      <c r="ADT51" s="17"/>
      <c r="ADU51" s="17"/>
      <c r="ADV51" s="17"/>
      <c r="ADW51" s="17"/>
      <c r="ADX51" s="17"/>
      <c r="ADY51" s="17"/>
      <c r="ADZ51" s="17"/>
      <c r="AEA51" s="17"/>
      <c r="AEB51" s="17"/>
      <c r="AEC51" s="17"/>
      <c r="AED51" s="17"/>
      <c r="AEE51" s="17"/>
      <c r="AEF51" s="17"/>
      <c r="AEG51" s="17"/>
      <c r="AEH51" s="17"/>
      <c r="AEI51" s="17"/>
      <c r="AEJ51" s="17"/>
      <c r="AEK51" s="17"/>
      <c r="AEL51" s="17"/>
      <c r="AEM51" s="17"/>
      <c r="AEN51" s="17"/>
      <c r="AEO51" s="17"/>
      <c r="AEP51" s="17"/>
      <c r="AEQ51" s="17"/>
      <c r="AER51" s="17"/>
      <c r="AES51" s="17"/>
      <c r="AET51" s="17"/>
      <c r="AEU51" s="17"/>
      <c r="AEV51" s="17"/>
      <c r="AEW51" s="17"/>
      <c r="AEX51" s="17"/>
      <c r="AEY51" s="17"/>
      <c r="AEZ51" s="17"/>
      <c r="AFA51" s="17"/>
      <c r="AFB51" s="17"/>
      <c r="AFC51" s="17"/>
      <c r="AFD51" s="17"/>
      <c r="AFE51" s="17"/>
      <c r="AFF51" s="17"/>
      <c r="AFG51" s="17"/>
      <c r="AFH51" s="17"/>
      <c r="AFI51" s="17"/>
      <c r="AFJ51" s="17"/>
      <c r="AFK51" s="17"/>
      <c r="AFL51" s="17"/>
      <c r="AFM51" s="17"/>
      <c r="AFN51" s="17"/>
      <c r="AFO51" s="17"/>
      <c r="AFP51" s="17"/>
      <c r="AFQ51" s="17"/>
      <c r="AFR51" s="17"/>
      <c r="AFS51" s="17"/>
      <c r="AFT51" s="17"/>
      <c r="AFU51" s="17"/>
      <c r="AFV51" s="17"/>
      <c r="AFW51" s="17"/>
    </row>
    <row r="52" spans="1:855" s="140" customFormat="1" ht="14.4" thickBot="1" x14ac:dyDescent="0.3">
      <c r="A52" s="155" t="s">
        <v>125</v>
      </c>
      <c r="B52" s="156">
        <v>1751.8378378378379</v>
      </c>
      <c r="C52" s="156"/>
      <c r="D52" s="157">
        <v>1827.9459459459461</v>
      </c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17"/>
      <c r="GE52" s="17"/>
      <c r="GF52" s="17"/>
      <c r="GG52" s="17"/>
      <c r="GH52" s="17"/>
      <c r="GI52" s="17"/>
      <c r="GJ52" s="17"/>
      <c r="GK52" s="17"/>
      <c r="GL52" s="17"/>
      <c r="GM52" s="17"/>
      <c r="GN52" s="17"/>
      <c r="GO52" s="17"/>
      <c r="GP52" s="17"/>
      <c r="GQ52" s="17"/>
      <c r="GR52" s="17"/>
      <c r="GS52" s="17"/>
      <c r="GT52" s="17"/>
      <c r="GU52" s="17"/>
      <c r="GV52" s="17"/>
      <c r="GW52" s="17"/>
      <c r="GX52" s="17"/>
      <c r="GY52" s="17"/>
      <c r="GZ52" s="17"/>
      <c r="HA52" s="17"/>
      <c r="HB52" s="17"/>
      <c r="HC52" s="17"/>
      <c r="HD52" s="17"/>
      <c r="HE52" s="17"/>
      <c r="HF52" s="17"/>
      <c r="HG52" s="17"/>
      <c r="HH52" s="17"/>
      <c r="HI52" s="17"/>
      <c r="HJ52" s="17"/>
      <c r="HK52" s="17"/>
      <c r="HL52" s="17"/>
      <c r="HM52" s="17"/>
      <c r="HN52" s="17"/>
      <c r="HO52" s="17"/>
      <c r="HP52" s="17"/>
      <c r="HQ52" s="17"/>
      <c r="HR52" s="17"/>
      <c r="HS52" s="17"/>
      <c r="HT52" s="17"/>
      <c r="HU52" s="17"/>
      <c r="HV52" s="17"/>
      <c r="HW52" s="17"/>
      <c r="HX52" s="17"/>
      <c r="HY52" s="17"/>
      <c r="HZ52" s="17"/>
      <c r="IA52" s="17"/>
      <c r="IB52" s="17"/>
      <c r="IC52" s="17"/>
      <c r="ID52" s="17"/>
      <c r="IE52" s="17"/>
      <c r="IF52" s="17"/>
      <c r="IG52" s="17"/>
      <c r="IH52" s="17"/>
      <c r="II52" s="17"/>
      <c r="IJ52" s="17"/>
      <c r="IK52" s="17"/>
      <c r="IL52" s="17"/>
      <c r="IM52" s="17"/>
      <c r="IN52" s="17"/>
      <c r="IO52" s="17"/>
      <c r="IP52" s="17"/>
      <c r="IQ52" s="17"/>
      <c r="IR52" s="17"/>
      <c r="IS52" s="17"/>
      <c r="IT52" s="17"/>
      <c r="IU52" s="17"/>
      <c r="IV52" s="17"/>
      <c r="IW52" s="17"/>
      <c r="IX52" s="17"/>
      <c r="IY52" s="17"/>
      <c r="IZ52" s="17"/>
      <c r="JA52" s="17"/>
      <c r="JB52" s="17"/>
      <c r="JC52" s="17"/>
      <c r="JD52" s="17"/>
      <c r="JE52" s="17"/>
      <c r="JF52" s="17"/>
      <c r="JG52" s="17"/>
      <c r="JH52" s="17"/>
      <c r="JI52" s="17"/>
      <c r="JJ52" s="17"/>
      <c r="JK52" s="17"/>
      <c r="JL52" s="17"/>
      <c r="JM52" s="17"/>
      <c r="JN52" s="17"/>
      <c r="JO52" s="17"/>
      <c r="JP52" s="17"/>
      <c r="JQ52" s="17"/>
      <c r="JR52" s="17"/>
      <c r="JS52" s="17"/>
      <c r="JT52" s="17"/>
      <c r="JU52" s="17"/>
      <c r="JV52" s="17"/>
      <c r="JW52" s="17"/>
      <c r="JX52" s="17"/>
      <c r="JY52" s="17"/>
      <c r="JZ52" s="17"/>
      <c r="KA52" s="17"/>
      <c r="KB52" s="17"/>
      <c r="KC52" s="17"/>
      <c r="KD52" s="17"/>
      <c r="KE52" s="17"/>
      <c r="KF52" s="17"/>
      <c r="KG52" s="17"/>
      <c r="KH52" s="17"/>
      <c r="KI52" s="17"/>
      <c r="KJ52" s="17"/>
      <c r="KK52" s="17"/>
      <c r="KL52" s="17"/>
      <c r="KM52" s="17"/>
      <c r="KN52" s="17"/>
      <c r="KO52" s="17"/>
      <c r="KP52" s="17"/>
      <c r="KQ52" s="17"/>
      <c r="KR52" s="17"/>
      <c r="KS52" s="17"/>
      <c r="KT52" s="17"/>
      <c r="KU52" s="17"/>
      <c r="KV52" s="17"/>
      <c r="KW52" s="17"/>
      <c r="KX52" s="17"/>
      <c r="KY52" s="17"/>
      <c r="KZ52" s="17"/>
      <c r="LA52" s="17"/>
      <c r="LB52" s="17"/>
      <c r="LC52" s="17"/>
      <c r="LD52" s="17"/>
      <c r="LE52" s="17"/>
      <c r="LF52" s="17"/>
      <c r="LG52" s="17"/>
      <c r="LH52" s="17"/>
      <c r="LI52" s="17"/>
      <c r="LJ52" s="17"/>
      <c r="LK52" s="17"/>
      <c r="LL52" s="17"/>
      <c r="LM52" s="17"/>
      <c r="LN52" s="17"/>
      <c r="LO52" s="17"/>
      <c r="LP52" s="17"/>
      <c r="LQ52" s="17"/>
      <c r="LR52" s="17"/>
      <c r="LS52" s="17"/>
      <c r="LT52" s="17"/>
      <c r="LU52" s="17"/>
      <c r="LV52" s="17"/>
      <c r="LW52" s="17"/>
      <c r="LX52" s="17"/>
      <c r="LY52" s="17"/>
      <c r="LZ52" s="17"/>
      <c r="MA52" s="17"/>
      <c r="MB52" s="17"/>
      <c r="MC52" s="17"/>
      <c r="MD52" s="17"/>
      <c r="ME52" s="17"/>
      <c r="MF52" s="17"/>
      <c r="MG52" s="17"/>
      <c r="MH52" s="17"/>
      <c r="MI52" s="17"/>
      <c r="MJ52" s="17"/>
      <c r="MK52" s="17"/>
      <c r="ML52" s="17"/>
      <c r="MM52" s="17"/>
      <c r="MN52" s="17"/>
      <c r="MO52" s="17"/>
      <c r="MP52" s="17"/>
      <c r="MQ52" s="17"/>
      <c r="MR52" s="17"/>
      <c r="MS52" s="17"/>
      <c r="MT52" s="17"/>
      <c r="MU52" s="17"/>
      <c r="MV52" s="17"/>
      <c r="MW52" s="17"/>
      <c r="MX52" s="17"/>
      <c r="MY52" s="17"/>
      <c r="MZ52" s="17"/>
      <c r="NA52" s="17"/>
      <c r="NB52" s="17"/>
      <c r="NC52" s="17"/>
      <c r="ND52" s="17"/>
      <c r="NE52" s="17"/>
      <c r="NF52" s="17"/>
      <c r="NG52" s="17"/>
      <c r="NH52" s="17"/>
      <c r="NI52" s="17"/>
      <c r="NJ52" s="17"/>
      <c r="NK52" s="17"/>
      <c r="NL52" s="17"/>
      <c r="NM52" s="17"/>
      <c r="NN52" s="17"/>
      <c r="NO52" s="17"/>
      <c r="NP52" s="17"/>
      <c r="NQ52" s="17"/>
      <c r="NR52" s="17"/>
      <c r="NS52" s="17"/>
      <c r="NT52" s="17"/>
      <c r="NU52" s="17"/>
      <c r="NV52" s="17"/>
      <c r="NW52" s="17"/>
      <c r="NX52" s="17"/>
      <c r="NY52" s="17"/>
      <c r="NZ52" s="17"/>
      <c r="OA52" s="17"/>
      <c r="OB52" s="17"/>
      <c r="OC52" s="17"/>
      <c r="OD52" s="17"/>
      <c r="OE52" s="17"/>
      <c r="OF52" s="17"/>
      <c r="OG52" s="17"/>
      <c r="OH52" s="17"/>
      <c r="OI52" s="17"/>
      <c r="OJ52" s="17"/>
      <c r="OK52" s="17"/>
      <c r="OL52" s="17"/>
      <c r="OM52" s="17"/>
      <c r="ON52" s="17"/>
      <c r="OO52" s="17"/>
      <c r="OP52" s="17"/>
      <c r="OQ52" s="17"/>
      <c r="OR52" s="17"/>
      <c r="OS52" s="17"/>
      <c r="OT52" s="17"/>
      <c r="OU52" s="17"/>
      <c r="OV52" s="17"/>
      <c r="OW52" s="17"/>
      <c r="OX52" s="17"/>
      <c r="OY52" s="17"/>
      <c r="OZ52" s="17"/>
      <c r="PA52" s="17"/>
      <c r="PB52" s="17"/>
      <c r="PC52" s="17"/>
      <c r="PD52" s="17"/>
      <c r="PE52" s="17"/>
      <c r="PF52" s="17"/>
      <c r="PG52" s="17"/>
      <c r="PH52" s="17"/>
      <c r="PI52" s="17"/>
      <c r="PJ52" s="17"/>
      <c r="PK52" s="17"/>
      <c r="PL52" s="17"/>
      <c r="PM52" s="17"/>
      <c r="PN52" s="17"/>
      <c r="PO52" s="17"/>
      <c r="PP52" s="17"/>
      <c r="PQ52" s="17"/>
      <c r="PR52" s="17"/>
      <c r="PS52" s="17"/>
      <c r="PT52" s="17"/>
      <c r="PU52" s="17"/>
      <c r="PV52" s="17"/>
      <c r="PW52" s="17"/>
      <c r="PX52" s="17"/>
      <c r="PY52" s="17"/>
      <c r="PZ52" s="17"/>
      <c r="QA52" s="17"/>
      <c r="QB52" s="17"/>
      <c r="QC52" s="17"/>
      <c r="QD52" s="17"/>
      <c r="QE52" s="17"/>
      <c r="QF52" s="17"/>
      <c r="QG52" s="17"/>
      <c r="QH52" s="17"/>
      <c r="QI52" s="17"/>
      <c r="QJ52" s="17"/>
      <c r="QK52" s="17"/>
      <c r="QL52" s="17"/>
      <c r="QM52" s="17"/>
      <c r="QN52" s="17"/>
      <c r="QO52" s="17"/>
      <c r="QP52" s="17"/>
      <c r="QQ52" s="17"/>
      <c r="QR52" s="17"/>
      <c r="QS52" s="17"/>
      <c r="QT52" s="17"/>
      <c r="QU52" s="17"/>
      <c r="QV52" s="17"/>
      <c r="QW52" s="17"/>
      <c r="QX52" s="17"/>
      <c r="QY52" s="17"/>
      <c r="QZ52" s="17"/>
      <c r="RA52" s="17"/>
      <c r="RB52" s="17"/>
      <c r="RC52" s="17"/>
      <c r="RD52" s="17"/>
      <c r="RE52" s="17"/>
      <c r="RF52" s="17"/>
      <c r="RG52" s="17"/>
      <c r="RH52" s="17"/>
      <c r="RI52" s="17"/>
      <c r="RJ52" s="17"/>
      <c r="RK52" s="17"/>
      <c r="RL52" s="17"/>
      <c r="RM52" s="17"/>
      <c r="RN52" s="17"/>
      <c r="RO52" s="17"/>
      <c r="RP52" s="17"/>
      <c r="RQ52" s="17"/>
      <c r="RR52" s="17"/>
      <c r="RS52" s="17"/>
      <c r="RT52" s="17"/>
      <c r="RU52" s="17"/>
      <c r="RV52" s="17"/>
      <c r="RW52" s="17"/>
      <c r="RX52" s="17"/>
      <c r="RY52" s="17"/>
      <c r="RZ52" s="17"/>
      <c r="SA52" s="17"/>
      <c r="SB52" s="17"/>
      <c r="SC52" s="17"/>
      <c r="SD52" s="17"/>
      <c r="SE52" s="17"/>
      <c r="SF52" s="17"/>
      <c r="SG52" s="17"/>
      <c r="SH52" s="17"/>
      <c r="SI52" s="17"/>
      <c r="SJ52" s="17"/>
      <c r="SK52" s="17"/>
      <c r="SL52" s="17"/>
      <c r="SM52" s="17"/>
      <c r="SN52" s="17"/>
      <c r="SO52" s="17"/>
      <c r="SP52" s="17"/>
      <c r="SQ52" s="17"/>
      <c r="SR52" s="17"/>
      <c r="SS52" s="17"/>
      <c r="ST52" s="17"/>
      <c r="SU52" s="17"/>
      <c r="SV52" s="17"/>
      <c r="SW52" s="17"/>
      <c r="SX52" s="17"/>
      <c r="SY52" s="17"/>
      <c r="SZ52" s="17"/>
      <c r="TA52" s="17"/>
      <c r="TB52" s="17"/>
      <c r="TC52" s="17"/>
      <c r="TD52" s="17"/>
      <c r="TE52" s="17"/>
      <c r="TF52" s="17"/>
      <c r="TG52" s="17"/>
      <c r="TH52" s="17"/>
      <c r="TI52" s="17"/>
      <c r="TJ52" s="17"/>
      <c r="TK52" s="17"/>
      <c r="TL52" s="17"/>
      <c r="TM52" s="17"/>
      <c r="TN52" s="17"/>
      <c r="TO52" s="17"/>
      <c r="TP52" s="17"/>
      <c r="TQ52" s="17"/>
      <c r="TR52" s="17"/>
      <c r="TS52" s="17"/>
      <c r="TT52" s="17"/>
      <c r="TU52" s="17"/>
      <c r="TV52" s="17"/>
      <c r="TW52" s="17"/>
      <c r="TX52" s="17"/>
      <c r="TY52" s="17"/>
      <c r="TZ52" s="17"/>
      <c r="UA52" s="17"/>
      <c r="UB52" s="17"/>
      <c r="UC52" s="17"/>
      <c r="UD52" s="17"/>
      <c r="UE52" s="17"/>
      <c r="UF52" s="17"/>
      <c r="UG52" s="17"/>
      <c r="UH52" s="17"/>
      <c r="UI52" s="17"/>
      <c r="UJ52" s="17"/>
      <c r="UK52" s="17"/>
      <c r="UL52" s="17"/>
      <c r="UM52" s="17"/>
      <c r="UN52" s="17"/>
      <c r="UO52" s="17"/>
      <c r="UP52" s="17"/>
      <c r="UQ52" s="17"/>
      <c r="UR52" s="17"/>
      <c r="US52" s="17"/>
      <c r="UT52" s="17"/>
      <c r="UU52" s="17"/>
      <c r="UV52" s="17"/>
      <c r="UW52" s="17"/>
      <c r="UX52" s="17"/>
      <c r="UY52" s="17"/>
      <c r="UZ52" s="17"/>
      <c r="VA52" s="17"/>
      <c r="VB52" s="17"/>
      <c r="VC52" s="17"/>
      <c r="VD52" s="17"/>
      <c r="VE52" s="17"/>
      <c r="VF52" s="17"/>
      <c r="VG52" s="17"/>
      <c r="VH52" s="17"/>
      <c r="VI52" s="17"/>
      <c r="VJ52" s="17"/>
      <c r="VK52" s="17"/>
      <c r="VL52" s="17"/>
      <c r="VM52" s="17"/>
      <c r="VN52" s="17"/>
      <c r="VO52" s="17"/>
      <c r="VP52" s="17"/>
      <c r="VQ52" s="17"/>
      <c r="VR52" s="17"/>
      <c r="VS52" s="17"/>
      <c r="VT52" s="17"/>
      <c r="VU52" s="17"/>
      <c r="VV52" s="17"/>
      <c r="VW52" s="17"/>
      <c r="VX52" s="17"/>
      <c r="VY52" s="17"/>
      <c r="VZ52" s="17"/>
      <c r="WA52" s="17"/>
      <c r="WB52" s="17"/>
      <c r="WC52" s="17"/>
      <c r="WD52" s="17"/>
      <c r="WE52" s="17"/>
      <c r="WF52" s="17"/>
      <c r="WG52" s="17"/>
      <c r="WH52" s="17"/>
      <c r="WI52" s="17"/>
      <c r="WJ52" s="17"/>
      <c r="WK52" s="17"/>
      <c r="WL52" s="17"/>
      <c r="WM52" s="17"/>
      <c r="WN52" s="17"/>
      <c r="WO52" s="17"/>
      <c r="WP52" s="17"/>
      <c r="WQ52" s="17"/>
      <c r="WR52" s="17"/>
      <c r="WS52" s="17"/>
      <c r="WT52" s="17"/>
      <c r="WU52" s="17"/>
      <c r="WV52" s="17"/>
      <c r="WW52" s="17"/>
      <c r="WX52" s="17"/>
      <c r="WY52" s="17"/>
      <c r="WZ52" s="17"/>
      <c r="XA52" s="17"/>
      <c r="XB52" s="17"/>
      <c r="XC52" s="17"/>
      <c r="XD52" s="17"/>
      <c r="XE52" s="17"/>
      <c r="XF52" s="17"/>
      <c r="XG52" s="17"/>
      <c r="XH52" s="17"/>
      <c r="XI52" s="17"/>
      <c r="XJ52" s="17"/>
      <c r="XK52" s="17"/>
      <c r="XL52" s="17"/>
      <c r="XM52" s="17"/>
      <c r="XN52" s="17"/>
      <c r="XO52" s="17"/>
      <c r="XP52" s="17"/>
      <c r="XQ52" s="17"/>
      <c r="XR52" s="17"/>
      <c r="XS52" s="17"/>
      <c r="XT52" s="17"/>
      <c r="XU52" s="17"/>
      <c r="XV52" s="17"/>
      <c r="XW52" s="17"/>
      <c r="XX52" s="17"/>
      <c r="XY52" s="17"/>
      <c r="XZ52" s="17"/>
      <c r="YA52" s="17"/>
      <c r="YB52" s="17"/>
      <c r="YC52" s="17"/>
      <c r="YD52" s="17"/>
      <c r="YE52" s="17"/>
      <c r="YF52" s="17"/>
      <c r="YG52" s="17"/>
      <c r="YH52" s="17"/>
      <c r="YI52" s="17"/>
      <c r="YJ52" s="17"/>
      <c r="YK52" s="17"/>
      <c r="YL52" s="17"/>
      <c r="YM52" s="17"/>
      <c r="YN52" s="17"/>
      <c r="YO52" s="17"/>
      <c r="YP52" s="17"/>
      <c r="YQ52" s="17"/>
      <c r="YR52" s="17"/>
      <c r="YS52" s="17"/>
      <c r="YT52" s="17"/>
      <c r="YU52" s="17"/>
      <c r="YV52" s="17"/>
      <c r="YW52" s="17"/>
      <c r="YX52" s="17"/>
      <c r="YY52" s="17"/>
      <c r="YZ52" s="17"/>
      <c r="ZA52" s="17"/>
      <c r="ZB52" s="17"/>
      <c r="ZC52" s="17"/>
      <c r="ZD52" s="17"/>
      <c r="ZE52" s="17"/>
      <c r="ZF52" s="17"/>
      <c r="ZG52" s="17"/>
      <c r="ZH52" s="17"/>
      <c r="ZI52" s="17"/>
      <c r="ZJ52" s="17"/>
      <c r="ZK52" s="17"/>
      <c r="ZL52" s="17"/>
      <c r="ZM52" s="17"/>
      <c r="ZN52" s="17"/>
      <c r="ZO52" s="17"/>
      <c r="ZP52" s="17"/>
      <c r="ZQ52" s="17"/>
      <c r="ZR52" s="17"/>
      <c r="ZS52" s="17"/>
      <c r="ZT52" s="17"/>
      <c r="ZU52" s="17"/>
      <c r="ZV52" s="17"/>
      <c r="ZW52" s="17"/>
      <c r="ZX52" s="17"/>
      <c r="ZY52" s="17"/>
      <c r="ZZ52" s="17"/>
      <c r="AAA52" s="17"/>
      <c r="AAB52" s="17"/>
      <c r="AAC52" s="17"/>
      <c r="AAD52" s="17"/>
      <c r="AAE52" s="17"/>
      <c r="AAF52" s="17"/>
      <c r="AAG52" s="17"/>
      <c r="AAH52" s="17"/>
      <c r="AAI52" s="17"/>
      <c r="AAJ52" s="17"/>
      <c r="AAK52" s="17"/>
      <c r="AAL52" s="17"/>
      <c r="AAM52" s="17"/>
      <c r="AAN52" s="17"/>
      <c r="AAO52" s="17"/>
      <c r="AAP52" s="17"/>
      <c r="AAQ52" s="17"/>
      <c r="AAR52" s="17"/>
      <c r="AAS52" s="17"/>
      <c r="AAT52" s="17"/>
      <c r="AAU52" s="17"/>
      <c r="AAV52" s="17"/>
      <c r="AAW52" s="17"/>
      <c r="AAX52" s="17"/>
      <c r="AAY52" s="17"/>
      <c r="AAZ52" s="17"/>
      <c r="ABA52" s="17"/>
      <c r="ABB52" s="17"/>
      <c r="ABC52" s="17"/>
      <c r="ABD52" s="17"/>
      <c r="ABE52" s="17"/>
      <c r="ABF52" s="17"/>
      <c r="ABG52" s="17"/>
      <c r="ABH52" s="17"/>
      <c r="ABI52" s="17"/>
      <c r="ABJ52" s="17"/>
      <c r="ABK52" s="17"/>
      <c r="ABL52" s="17"/>
      <c r="ABM52" s="17"/>
      <c r="ABN52" s="17"/>
      <c r="ABO52" s="17"/>
      <c r="ABP52" s="17"/>
      <c r="ABQ52" s="17"/>
      <c r="ABR52" s="17"/>
      <c r="ABS52" s="17"/>
      <c r="ABT52" s="17"/>
      <c r="ABU52" s="17"/>
      <c r="ABV52" s="17"/>
      <c r="ABW52" s="17"/>
      <c r="ABX52" s="17"/>
      <c r="ABY52" s="17"/>
      <c r="ABZ52" s="17"/>
      <c r="ACA52" s="17"/>
      <c r="ACB52" s="17"/>
      <c r="ACC52" s="17"/>
      <c r="ACD52" s="17"/>
      <c r="ACE52" s="17"/>
      <c r="ACF52" s="17"/>
      <c r="ACG52" s="17"/>
      <c r="ACH52" s="17"/>
      <c r="ACI52" s="17"/>
      <c r="ACJ52" s="17"/>
      <c r="ACK52" s="17"/>
      <c r="ACL52" s="17"/>
      <c r="ACM52" s="17"/>
      <c r="ACN52" s="17"/>
      <c r="ACO52" s="17"/>
      <c r="ACP52" s="17"/>
      <c r="ACQ52" s="17"/>
      <c r="ACR52" s="17"/>
      <c r="ACS52" s="17"/>
      <c r="ACT52" s="17"/>
      <c r="ACU52" s="17"/>
      <c r="ACV52" s="17"/>
      <c r="ACW52" s="17"/>
      <c r="ACX52" s="17"/>
      <c r="ACY52" s="17"/>
      <c r="ACZ52" s="17"/>
      <c r="ADA52" s="17"/>
      <c r="ADB52" s="17"/>
      <c r="ADC52" s="17"/>
      <c r="ADD52" s="17"/>
      <c r="ADE52" s="17"/>
      <c r="ADF52" s="17"/>
      <c r="ADG52" s="17"/>
      <c r="ADH52" s="17"/>
      <c r="ADI52" s="17"/>
      <c r="ADJ52" s="17"/>
      <c r="ADK52" s="17"/>
      <c r="ADL52" s="17"/>
      <c r="ADM52" s="17"/>
      <c r="ADN52" s="17"/>
      <c r="ADO52" s="17"/>
      <c r="ADP52" s="17"/>
      <c r="ADQ52" s="17"/>
      <c r="ADR52" s="17"/>
      <c r="ADS52" s="17"/>
      <c r="ADT52" s="17"/>
      <c r="ADU52" s="17"/>
      <c r="ADV52" s="17"/>
      <c r="ADW52" s="17"/>
      <c r="ADX52" s="17"/>
      <c r="ADY52" s="17"/>
      <c r="ADZ52" s="17"/>
      <c r="AEA52" s="17"/>
      <c r="AEB52" s="17"/>
      <c r="AEC52" s="17"/>
      <c r="AED52" s="17"/>
      <c r="AEE52" s="17"/>
      <c r="AEF52" s="17"/>
      <c r="AEG52" s="17"/>
      <c r="AEH52" s="17"/>
      <c r="AEI52" s="17"/>
      <c r="AEJ52" s="17"/>
      <c r="AEK52" s="17"/>
      <c r="AEL52" s="17"/>
      <c r="AEM52" s="17"/>
      <c r="AEN52" s="17"/>
      <c r="AEO52" s="17"/>
      <c r="AEP52" s="17"/>
      <c r="AEQ52" s="17"/>
      <c r="AER52" s="17"/>
      <c r="AES52" s="17"/>
      <c r="AET52" s="17"/>
      <c r="AEU52" s="17"/>
      <c r="AEV52" s="17"/>
      <c r="AEW52" s="17"/>
      <c r="AEX52" s="17"/>
      <c r="AEY52" s="17"/>
      <c r="AEZ52" s="17"/>
      <c r="AFA52" s="17"/>
      <c r="AFB52" s="17"/>
      <c r="AFC52" s="17"/>
      <c r="AFD52" s="17"/>
      <c r="AFE52" s="17"/>
      <c r="AFF52" s="17"/>
      <c r="AFG52" s="17"/>
      <c r="AFH52" s="17"/>
      <c r="AFI52" s="17"/>
      <c r="AFJ52" s="17"/>
      <c r="AFK52" s="17"/>
      <c r="AFL52" s="17"/>
      <c r="AFM52" s="17"/>
      <c r="AFN52" s="17"/>
      <c r="AFO52" s="17"/>
      <c r="AFP52" s="17"/>
      <c r="AFQ52" s="17"/>
      <c r="AFR52" s="17"/>
      <c r="AFS52" s="17"/>
      <c r="AFT52" s="17"/>
      <c r="AFU52" s="17"/>
      <c r="AFV52" s="17"/>
      <c r="AFW52" s="17"/>
    </row>
    <row r="53" spans="1:855" s="140" customFormat="1" ht="14.4" thickBot="1" x14ac:dyDescent="0.3">
      <c r="A53" s="141" t="s">
        <v>126</v>
      </c>
      <c r="B53" s="156">
        <v>42987.648648648639</v>
      </c>
      <c r="C53" s="156"/>
      <c r="D53" s="157">
        <v>44030.75675675676</v>
      </c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FO53" s="17"/>
      <c r="FP53" s="17"/>
      <c r="FQ53" s="17"/>
      <c r="FR53" s="17"/>
      <c r="FS53" s="17"/>
      <c r="FT53" s="17"/>
      <c r="FU53" s="17"/>
      <c r="FV53" s="17"/>
      <c r="FW53" s="17"/>
      <c r="FX53" s="17"/>
      <c r="FY53" s="17"/>
      <c r="FZ53" s="17"/>
      <c r="GA53" s="17"/>
      <c r="GB53" s="17"/>
      <c r="GC53" s="17"/>
      <c r="GD53" s="17"/>
      <c r="GE53" s="17"/>
      <c r="GF53" s="17"/>
      <c r="GG53" s="17"/>
      <c r="GH53" s="17"/>
      <c r="GI53" s="17"/>
      <c r="GJ53" s="17"/>
      <c r="GK53" s="17"/>
      <c r="GL53" s="17"/>
      <c r="GM53" s="17"/>
      <c r="GN53" s="17"/>
      <c r="GO53" s="17"/>
      <c r="GP53" s="17"/>
      <c r="GQ53" s="17"/>
      <c r="GR53" s="17"/>
      <c r="GS53" s="17"/>
      <c r="GT53" s="17"/>
      <c r="GU53" s="17"/>
      <c r="GV53" s="17"/>
      <c r="GW53" s="17"/>
      <c r="GX53" s="17"/>
      <c r="GY53" s="17"/>
      <c r="GZ53" s="17"/>
      <c r="HA53" s="17"/>
      <c r="HB53" s="17"/>
      <c r="HC53" s="17"/>
      <c r="HD53" s="17"/>
      <c r="HE53" s="17"/>
      <c r="HF53" s="17"/>
      <c r="HG53" s="17"/>
      <c r="HH53" s="17"/>
      <c r="HI53" s="17"/>
      <c r="HJ53" s="17"/>
      <c r="HK53" s="17"/>
      <c r="HL53" s="17"/>
      <c r="HM53" s="17"/>
      <c r="HN53" s="17"/>
      <c r="HO53" s="17"/>
      <c r="HP53" s="17"/>
      <c r="HQ53" s="17"/>
      <c r="HR53" s="17"/>
      <c r="HS53" s="17"/>
      <c r="HT53" s="17"/>
      <c r="HU53" s="17"/>
      <c r="HV53" s="17"/>
      <c r="HW53" s="17"/>
      <c r="HX53" s="17"/>
      <c r="HY53" s="17"/>
      <c r="HZ53" s="17"/>
      <c r="IA53" s="17"/>
      <c r="IB53" s="17"/>
      <c r="IC53" s="17"/>
      <c r="ID53" s="17"/>
      <c r="IE53" s="17"/>
      <c r="IF53" s="17"/>
      <c r="IG53" s="17"/>
      <c r="IH53" s="17"/>
      <c r="II53" s="17"/>
      <c r="IJ53" s="17"/>
      <c r="IK53" s="17"/>
      <c r="IL53" s="17"/>
      <c r="IM53" s="17"/>
      <c r="IN53" s="17"/>
      <c r="IO53" s="17"/>
      <c r="IP53" s="17"/>
      <c r="IQ53" s="17"/>
      <c r="IR53" s="17"/>
      <c r="IS53" s="17"/>
      <c r="IT53" s="17"/>
      <c r="IU53" s="17"/>
      <c r="IV53" s="17"/>
      <c r="IW53" s="17"/>
      <c r="IX53" s="17"/>
      <c r="IY53" s="17"/>
      <c r="IZ53" s="17"/>
      <c r="JA53" s="17"/>
      <c r="JB53" s="17"/>
      <c r="JC53" s="17"/>
      <c r="JD53" s="17"/>
      <c r="JE53" s="17"/>
      <c r="JF53" s="17"/>
      <c r="JG53" s="17"/>
      <c r="JH53" s="17"/>
      <c r="JI53" s="17"/>
      <c r="JJ53" s="17"/>
      <c r="JK53" s="17"/>
      <c r="JL53" s="17"/>
      <c r="JM53" s="17"/>
      <c r="JN53" s="17"/>
      <c r="JO53" s="17"/>
      <c r="JP53" s="17"/>
      <c r="JQ53" s="17"/>
      <c r="JR53" s="17"/>
      <c r="JS53" s="17"/>
      <c r="JT53" s="17"/>
      <c r="JU53" s="17"/>
      <c r="JV53" s="17"/>
      <c r="JW53" s="17"/>
      <c r="JX53" s="17"/>
      <c r="JY53" s="17"/>
      <c r="JZ53" s="17"/>
      <c r="KA53" s="17"/>
      <c r="KB53" s="17"/>
      <c r="KC53" s="17"/>
      <c r="KD53" s="17"/>
      <c r="KE53" s="17"/>
      <c r="KF53" s="17"/>
      <c r="KG53" s="17"/>
      <c r="KH53" s="17"/>
      <c r="KI53" s="17"/>
      <c r="KJ53" s="17"/>
      <c r="KK53" s="17"/>
      <c r="KL53" s="17"/>
      <c r="KM53" s="17"/>
      <c r="KN53" s="17"/>
      <c r="KO53" s="17"/>
      <c r="KP53" s="17"/>
      <c r="KQ53" s="17"/>
      <c r="KR53" s="17"/>
      <c r="KS53" s="17"/>
      <c r="KT53" s="17"/>
      <c r="KU53" s="17"/>
      <c r="KV53" s="17"/>
      <c r="KW53" s="17"/>
      <c r="KX53" s="17"/>
      <c r="KY53" s="17"/>
      <c r="KZ53" s="17"/>
      <c r="LA53" s="17"/>
      <c r="LB53" s="17"/>
      <c r="LC53" s="17"/>
      <c r="LD53" s="17"/>
      <c r="LE53" s="17"/>
      <c r="LF53" s="17"/>
      <c r="LG53" s="17"/>
      <c r="LH53" s="17"/>
      <c r="LI53" s="17"/>
      <c r="LJ53" s="17"/>
      <c r="LK53" s="17"/>
      <c r="LL53" s="17"/>
      <c r="LM53" s="17"/>
      <c r="LN53" s="17"/>
      <c r="LO53" s="17"/>
      <c r="LP53" s="17"/>
      <c r="LQ53" s="17"/>
      <c r="LR53" s="17"/>
      <c r="LS53" s="17"/>
      <c r="LT53" s="17"/>
      <c r="LU53" s="17"/>
      <c r="LV53" s="17"/>
      <c r="LW53" s="17"/>
      <c r="LX53" s="17"/>
      <c r="LY53" s="17"/>
      <c r="LZ53" s="17"/>
      <c r="MA53" s="17"/>
      <c r="MB53" s="17"/>
      <c r="MC53" s="17"/>
      <c r="MD53" s="17"/>
      <c r="ME53" s="17"/>
      <c r="MF53" s="17"/>
      <c r="MG53" s="17"/>
      <c r="MH53" s="17"/>
      <c r="MI53" s="17"/>
      <c r="MJ53" s="17"/>
      <c r="MK53" s="17"/>
      <c r="ML53" s="17"/>
      <c r="MM53" s="17"/>
      <c r="MN53" s="17"/>
      <c r="MO53" s="17"/>
      <c r="MP53" s="17"/>
      <c r="MQ53" s="17"/>
      <c r="MR53" s="17"/>
      <c r="MS53" s="17"/>
      <c r="MT53" s="17"/>
      <c r="MU53" s="17"/>
      <c r="MV53" s="17"/>
      <c r="MW53" s="17"/>
      <c r="MX53" s="17"/>
      <c r="MY53" s="17"/>
      <c r="MZ53" s="17"/>
      <c r="NA53" s="17"/>
      <c r="NB53" s="17"/>
      <c r="NC53" s="17"/>
      <c r="ND53" s="17"/>
      <c r="NE53" s="17"/>
      <c r="NF53" s="17"/>
      <c r="NG53" s="17"/>
      <c r="NH53" s="17"/>
      <c r="NI53" s="17"/>
      <c r="NJ53" s="17"/>
      <c r="NK53" s="17"/>
      <c r="NL53" s="17"/>
      <c r="NM53" s="17"/>
      <c r="NN53" s="17"/>
      <c r="NO53" s="17"/>
      <c r="NP53" s="17"/>
      <c r="NQ53" s="17"/>
      <c r="NR53" s="17"/>
      <c r="NS53" s="17"/>
      <c r="NT53" s="17"/>
      <c r="NU53" s="17"/>
      <c r="NV53" s="17"/>
      <c r="NW53" s="17"/>
      <c r="NX53" s="17"/>
      <c r="NY53" s="17"/>
      <c r="NZ53" s="17"/>
      <c r="OA53" s="17"/>
      <c r="OB53" s="17"/>
      <c r="OC53" s="17"/>
      <c r="OD53" s="17"/>
      <c r="OE53" s="17"/>
      <c r="OF53" s="17"/>
      <c r="OG53" s="17"/>
      <c r="OH53" s="17"/>
      <c r="OI53" s="17"/>
      <c r="OJ53" s="17"/>
      <c r="OK53" s="17"/>
      <c r="OL53" s="17"/>
      <c r="OM53" s="17"/>
      <c r="ON53" s="17"/>
      <c r="OO53" s="17"/>
      <c r="OP53" s="17"/>
      <c r="OQ53" s="17"/>
      <c r="OR53" s="17"/>
      <c r="OS53" s="17"/>
      <c r="OT53" s="17"/>
      <c r="OU53" s="17"/>
      <c r="OV53" s="17"/>
      <c r="OW53" s="17"/>
      <c r="OX53" s="17"/>
      <c r="OY53" s="17"/>
      <c r="OZ53" s="17"/>
      <c r="PA53" s="17"/>
      <c r="PB53" s="17"/>
      <c r="PC53" s="17"/>
      <c r="PD53" s="17"/>
      <c r="PE53" s="17"/>
      <c r="PF53" s="17"/>
      <c r="PG53" s="17"/>
      <c r="PH53" s="17"/>
      <c r="PI53" s="17"/>
      <c r="PJ53" s="17"/>
      <c r="PK53" s="17"/>
      <c r="PL53" s="17"/>
      <c r="PM53" s="17"/>
      <c r="PN53" s="17"/>
      <c r="PO53" s="17"/>
      <c r="PP53" s="17"/>
      <c r="PQ53" s="17"/>
      <c r="PR53" s="17"/>
      <c r="PS53" s="17"/>
      <c r="PT53" s="17"/>
      <c r="PU53" s="17"/>
      <c r="PV53" s="17"/>
      <c r="PW53" s="17"/>
      <c r="PX53" s="17"/>
      <c r="PY53" s="17"/>
      <c r="PZ53" s="17"/>
      <c r="QA53" s="17"/>
      <c r="QB53" s="17"/>
      <c r="QC53" s="17"/>
      <c r="QD53" s="17"/>
      <c r="QE53" s="17"/>
      <c r="QF53" s="17"/>
      <c r="QG53" s="17"/>
      <c r="QH53" s="17"/>
      <c r="QI53" s="17"/>
      <c r="QJ53" s="17"/>
      <c r="QK53" s="17"/>
      <c r="QL53" s="17"/>
      <c r="QM53" s="17"/>
      <c r="QN53" s="17"/>
      <c r="QO53" s="17"/>
      <c r="QP53" s="17"/>
      <c r="QQ53" s="17"/>
      <c r="QR53" s="17"/>
      <c r="QS53" s="17"/>
      <c r="QT53" s="17"/>
      <c r="QU53" s="17"/>
      <c r="QV53" s="17"/>
      <c r="QW53" s="17"/>
      <c r="QX53" s="17"/>
      <c r="QY53" s="17"/>
      <c r="QZ53" s="17"/>
      <c r="RA53" s="17"/>
      <c r="RB53" s="17"/>
      <c r="RC53" s="17"/>
      <c r="RD53" s="17"/>
      <c r="RE53" s="17"/>
      <c r="RF53" s="17"/>
      <c r="RG53" s="17"/>
      <c r="RH53" s="17"/>
      <c r="RI53" s="17"/>
      <c r="RJ53" s="17"/>
      <c r="RK53" s="17"/>
      <c r="RL53" s="17"/>
      <c r="RM53" s="17"/>
      <c r="RN53" s="17"/>
      <c r="RO53" s="17"/>
      <c r="RP53" s="17"/>
      <c r="RQ53" s="17"/>
      <c r="RR53" s="17"/>
      <c r="RS53" s="17"/>
      <c r="RT53" s="17"/>
      <c r="RU53" s="17"/>
      <c r="RV53" s="17"/>
      <c r="RW53" s="17"/>
      <c r="RX53" s="17"/>
      <c r="RY53" s="17"/>
      <c r="RZ53" s="17"/>
      <c r="SA53" s="17"/>
      <c r="SB53" s="17"/>
      <c r="SC53" s="17"/>
      <c r="SD53" s="17"/>
      <c r="SE53" s="17"/>
      <c r="SF53" s="17"/>
      <c r="SG53" s="17"/>
      <c r="SH53" s="17"/>
      <c r="SI53" s="17"/>
      <c r="SJ53" s="17"/>
      <c r="SK53" s="17"/>
      <c r="SL53" s="17"/>
      <c r="SM53" s="17"/>
      <c r="SN53" s="17"/>
      <c r="SO53" s="17"/>
      <c r="SP53" s="17"/>
      <c r="SQ53" s="17"/>
      <c r="SR53" s="17"/>
      <c r="SS53" s="17"/>
      <c r="ST53" s="17"/>
      <c r="SU53" s="17"/>
      <c r="SV53" s="17"/>
      <c r="SW53" s="17"/>
      <c r="SX53" s="17"/>
      <c r="SY53" s="17"/>
      <c r="SZ53" s="17"/>
      <c r="TA53" s="17"/>
      <c r="TB53" s="17"/>
      <c r="TC53" s="17"/>
      <c r="TD53" s="17"/>
      <c r="TE53" s="17"/>
      <c r="TF53" s="17"/>
      <c r="TG53" s="17"/>
      <c r="TH53" s="17"/>
      <c r="TI53" s="17"/>
      <c r="TJ53" s="17"/>
      <c r="TK53" s="17"/>
      <c r="TL53" s="17"/>
      <c r="TM53" s="17"/>
      <c r="TN53" s="17"/>
      <c r="TO53" s="17"/>
      <c r="TP53" s="17"/>
      <c r="TQ53" s="17"/>
      <c r="TR53" s="17"/>
      <c r="TS53" s="17"/>
      <c r="TT53" s="17"/>
      <c r="TU53" s="17"/>
      <c r="TV53" s="17"/>
      <c r="TW53" s="17"/>
      <c r="TX53" s="17"/>
      <c r="TY53" s="17"/>
      <c r="TZ53" s="17"/>
      <c r="UA53" s="17"/>
      <c r="UB53" s="17"/>
      <c r="UC53" s="17"/>
      <c r="UD53" s="17"/>
      <c r="UE53" s="17"/>
      <c r="UF53" s="17"/>
      <c r="UG53" s="17"/>
      <c r="UH53" s="17"/>
      <c r="UI53" s="17"/>
      <c r="UJ53" s="17"/>
      <c r="UK53" s="17"/>
      <c r="UL53" s="17"/>
      <c r="UM53" s="17"/>
      <c r="UN53" s="17"/>
      <c r="UO53" s="17"/>
      <c r="UP53" s="17"/>
      <c r="UQ53" s="17"/>
      <c r="UR53" s="17"/>
      <c r="US53" s="17"/>
      <c r="UT53" s="17"/>
      <c r="UU53" s="17"/>
      <c r="UV53" s="17"/>
      <c r="UW53" s="17"/>
      <c r="UX53" s="17"/>
      <c r="UY53" s="17"/>
      <c r="UZ53" s="17"/>
      <c r="VA53" s="17"/>
      <c r="VB53" s="17"/>
      <c r="VC53" s="17"/>
      <c r="VD53" s="17"/>
      <c r="VE53" s="17"/>
      <c r="VF53" s="17"/>
      <c r="VG53" s="17"/>
      <c r="VH53" s="17"/>
      <c r="VI53" s="17"/>
      <c r="VJ53" s="17"/>
      <c r="VK53" s="17"/>
      <c r="VL53" s="17"/>
      <c r="VM53" s="17"/>
      <c r="VN53" s="17"/>
      <c r="VO53" s="17"/>
      <c r="VP53" s="17"/>
      <c r="VQ53" s="17"/>
      <c r="VR53" s="17"/>
      <c r="VS53" s="17"/>
      <c r="VT53" s="17"/>
      <c r="VU53" s="17"/>
      <c r="VV53" s="17"/>
      <c r="VW53" s="17"/>
      <c r="VX53" s="17"/>
      <c r="VY53" s="17"/>
      <c r="VZ53" s="17"/>
      <c r="WA53" s="17"/>
      <c r="WB53" s="17"/>
      <c r="WC53" s="17"/>
      <c r="WD53" s="17"/>
      <c r="WE53" s="17"/>
      <c r="WF53" s="17"/>
      <c r="WG53" s="17"/>
      <c r="WH53" s="17"/>
      <c r="WI53" s="17"/>
      <c r="WJ53" s="17"/>
      <c r="WK53" s="17"/>
      <c r="WL53" s="17"/>
      <c r="WM53" s="17"/>
      <c r="WN53" s="17"/>
      <c r="WO53" s="17"/>
      <c r="WP53" s="17"/>
      <c r="WQ53" s="17"/>
      <c r="WR53" s="17"/>
      <c r="WS53" s="17"/>
      <c r="WT53" s="17"/>
      <c r="WU53" s="17"/>
      <c r="WV53" s="17"/>
      <c r="WW53" s="17"/>
      <c r="WX53" s="17"/>
      <c r="WY53" s="17"/>
      <c r="WZ53" s="17"/>
      <c r="XA53" s="17"/>
      <c r="XB53" s="17"/>
      <c r="XC53" s="17"/>
      <c r="XD53" s="17"/>
      <c r="XE53" s="17"/>
      <c r="XF53" s="17"/>
      <c r="XG53" s="17"/>
      <c r="XH53" s="17"/>
      <c r="XI53" s="17"/>
      <c r="XJ53" s="17"/>
      <c r="XK53" s="17"/>
      <c r="XL53" s="17"/>
      <c r="XM53" s="17"/>
      <c r="XN53" s="17"/>
      <c r="XO53" s="17"/>
      <c r="XP53" s="17"/>
      <c r="XQ53" s="17"/>
      <c r="XR53" s="17"/>
      <c r="XS53" s="17"/>
      <c r="XT53" s="17"/>
      <c r="XU53" s="17"/>
      <c r="XV53" s="17"/>
      <c r="XW53" s="17"/>
      <c r="XX53" s="17"/>
      <c r="XY53" s="17"/>
      <c r="XZ53" s="17"/>
      <c r="YA53" s="17"/>
      <c r="YB53" s="17"/>
      <c r="YC53" s="17"/>
      <c r="YD53" s="17"/>
      <c r="YE53" s="17"/>
      <c r="YF53" s="17"/>
      <c r="YG53" s="17"/>
      <c r="YH53" s="17"/>
      <c r="YI53" s="17"/>
      <c r="YJ53" s="17"/>
      <c r="YK53" s="17"/>
      <c r="YL53" s="17"/>
      <c r="YM53" s="17"/>
      <c r="YN53" s="17"/>
      <c r="YO53" s="17"/>
      <c r="YP53" s="17"/>
      <c r="YQ53" s="17"/>
      <c r="YR53" s="17"/>
      <c r="YS53" s="17"/>
      <c r="YT53" s="17"/>
      <c r="YU53" s="17"/>
      <c r="YV53" s="17"/>
      <c r="YW53" s="17"/>
      <c r="YX53" s="17"/>
      <c r="YY53" s="17"/>
      <c r="YZ53" s="17"/>
      <c r="ZA53" s="17"/>
      <c r="ZB53" s="17"/>
      <c r="ZC53" s="17"/>
      <c r="ZD53" s="17"/>
      <c r="ZE53" s="17"/>
      <c r="ZF53" s="17"/>
      <c r="ZG53" s="17"/>
      <c r="ZH53" s="17"/>
      <c r="ZI53" s="17"/>
      <c r="ZJ53" s="17"/>
      <c r="ZK53" s="17"/>
      <c r="ZL53" s="17"/>
      <c r="ZM53" s="17"/>
      <c r="ZN53" s="17"/>
      <c r="ZO53" s="17"/>
      <c r="ZP53" s="17"/>
      <c r="ZQ53" s="17"/>
      <c r="ZR53" s="17"/>
      <c r="ZS53" s="17"/>
      <c r="ZT53" s="17"/>
      <c r="ZU53" s="17"/>
      <c r="ZV53" s="17"/>
      <c r="ZW53" s="17"/>
      <c r="ZX53" s="17"/>
      <c r="ZY53" s="17"/>
      <c r="ZZ53" s="17"/>
      <c r="AAA53" s="17"/>
      <c r="AAB53" s="17"/>
      <c r="AAC53" s="17"/>
      <c r="AAD53" s="17"/>
      <c r="AAE53" s="17"/>
      <c r="AAF53" s="17"/>
      <c r="AAG53" s="17"/>
      <c r="AAH53" s="17"/>
      <c r="AAI53" s="17"/>
      <c r="AAJ53" s="17"/>
      <c r="AAK53" s="17"/>
      <c r="AAL53" s="17"/>
      <c r="AAM53" s="17"/>
      <c r="AAN53" s="17"/>
      <c r="AAO53" s="17"/>
      <c r="AAP53" s="17"/>
      <c r="AAQ53" s="17"/>
      <c r="AAR53" s="17"/>
      <c r="AAS53" s="17"/>
      <c r="AAT53" s="17"/>
      <c r="AAU53" s="17"/>
      <c r="AAV53" s="17"/>
      <c r="AAW53" s="17"/>
      <c r="AAX53" s="17"/>
      <c r="AAY53" s="17"/>
      <c r="AAZ53" s="17"/>
      <c r="ABA53" s="17"/>
      <c r="ABB53" s="17"/>
      <c r="ABC53" s="17"/>
      <c r="ABD53" s="17"/>
      <c r="ABE53" s="17"/>
      <c r="ABF53" s="17"/>
      <c r="ABG53" s="17"/>
      <c r="ABH53" s="17"/>
      <c r="ABI53" s="17"/>
      <c r="ABJ53" s="17"/>
      <c r="ABK53" s="17"/>
      <c r="ABL53" s="17"/>
      <c r="ABM53" s="17"/>
      <c r="ABN53" s="17"/>
      <c r="ABO53" s="17"/>
      <c r="ABP53" s="17"/>
      <c r="ABQ53" s="17"/>
      <c r="ABR53" s="17"/>
      <c r="ABS53" s="17"/>
      <c r="ABT53" s="17"/>
      <c r="ABU53" s="17"/>
      <c r="ABV53" s="17"/>
      <c r="ABW53" s="17"/>
      <c r="ABX53" s="17"/>
      <c r="ABY53" s="17"/>
      <c r="ABZ53" s="17"/>
      <c r="ACA53" s="17"/>
      <c r="ACB53" s="17"/>
      <c r="ACC53" s="17"/>
      <c r="ACD53" s="17"/>
      <c r="ACE53" s="17"/>
      <c r="ACF53" s="17"/>
      <c r="ACG53" s="17"/>
      <c r="ACH53" s="17"/>
      <c r="ACI53" s="17"/>
      <c r="ACJ53" s="17"/>
      <c r="ACK53" s="17"/>
      <c r="ACL53" s="17"/>
      <c r="ACM53" s="17"/>
      <c r="ACN53" s="17"/>
      <c r="ACO53" s="17"/>
      <c r="ACP53" s="17"/>
      <c r="ACQ53" s="17"/>
      <c r="ACR53" s="17"/>
      <c r="ACS53" s="17"/>
      <c r="ACT53" s="17"/>
      <c r="ACU53" s="17"/>
      <c r="ACV53" s="17"/>
      <c r="ACW53" s="17"/>
      <c r="ACX53" s="17"/>
      <c r="ACY53" s="17"/>
      <c r="ACZ53" s="17"/>
      <c r="ADA53" s="17"/>
      <c r="ADB53" s="17"/>
      <c r="ADC53" s="17"/>
      <c r="ADD53" s="17"/>
      <c r="ADE53" s="17"/>
      <c r="ADF53" s="17"/>
      <c r="ADG53" s="17"/>
      <c r="ADH53" s="17"/>
      <c r="ADI53" s="17"/>
      <c r="ADJ53" s="17"/>
      <c r="ADK53" s="17"/>
      <c r="ADL53" s="17"/>
      <c r="ADM53" s="17"/>
      <c r="ADN53" s="17"/>
      <c r="ADO53" s="17"/>
      <c r="ADP53" s="17"/>
      <c r="ADQ53" s="17"/>
      <c r="ADR53" s="17"/>
      <c r="ADS53" s="17"/>
      <c r="ADT53" s="17"/>
      <c r="ADU53" s="17"/>
      <c r="ADV53" s="17"/>
      <c r="ADW53" s="17"/>
      <c r="ADX53" s="17"/>
      <c r="ADY53" s="17"/>
      <c r="ADZ53" s="17"/>
      <c r="AEA53" s="17"/>
      <c r="AEB53" s="17"/>
      <c r="AEC53" s="17"/>
      <c r="AED53" s="17"/>
      <c r="AEE53" s="17"/>
      <c r="AEF53" s="17"/>
      <c r="AEG53" s="17"/>
      <c r="AEH53" s="17"/>
      <c r="AEI53" s="17"/>
      <c r="AEJ53" s="17"/>
      <c r="AEK53" s="17"/>
      <c r="AEL53" s="17"/>
      <c r="AEM53" s="17"/>
      <c r="AEN53" s="17"/>
      <c r="AEO53" s="17"/>
      <c r="AEP53" s="17"/>
      <c r="AEQ53" s="17"/>
      <c r="AER53" s="17"/>
      <c r="AES53" s="17"/>
      <c r="AET53" s="17"/>
      <c r="AEU53" s="17"/>
      <c r="AEV53" s="17"/>
      <c r="AEW53" s="17"/>
      <c r="AEX53" s="17"/>
      <c r="AEY53" s="17"/>
      <c r="AEZ53" s="17"/>
      <c r="AFA53" s="17"/>
      <c r="AFB53" s="17"/>
      <c r="AFC53" s="17"/>
      <c r="AFD53" s="17"/>
      <c r="AFE53" s="17"/>
      <c r="AFF53" s="17"/>
      <c r="AFG53" s="17"/>
      <c r="AFH53" s="17"/>
      <c r="AFI53" s="17"/>
      <c r="AFJ53" s="17"/>
      <c r="AFK53" s="17"/>
      <c r="AFL53" s="17"/>
      <c r="AFM53" s="17"/>
      <c r="AFN53" s="17"/>
      <c r="AFO53" s="17"/>
      <c r="AFP53" s="17"/>
      <c r="AFQ53" s="17"/>
      <c r="AFR53" s="17"/>
      <c r="AFS53" s="17"/>
      <c r="AFT53" s="17"/>
      <c r="AFU53" s="17"/>
      <c r="AFV53" s="17"/>
      <c r="AFW53" s="17"/>
    </row>
    <row r="65" spans="1:1" s="123" customFormat="1" x14ac:dyDescent="0.25">
      <c r="A65" s="158"/>
    </row>
  </sheetData>
  <mergeCells count="1">
    <mergeCell ref="A2:D2"/>
  </mergeCells>
  <pageMargins left="0.7" right="0.7" top="0.75" bottom="0.75" header="0.3" footer="0.3"/>
  <pageSetup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C6F68-4C4B-4099-A79D-5503E869D851}">
  <sheetPr>
    <tabColor rgb="FFFFC000"/>
  </sheetPr>
  <dimension ref="A1:I47"/>
  <sheetViews>
    <sheetView zoomScaleNormal="100"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ColWidth="9.109375" defaultRowHeight="13.8" x14ac:dyDescent="0.25"/>
  <cols>
    <col min="1" max="1" width="45.44140625" style="1" customWidth="1"/>
    <col min="2" max="7" width="13.6640625" style="1" customWidth="1"/>
    <col min="8" max="16384" width="9.109375" style="1"/>
  </cols>
  <sheetData>
    <row r="1" spans="1:9" s="10" customFormat="1" ht="27.6" x14ac:dyDescent="0.25">
      <c r="A1" s="116" t="s">
        <v>131</v>
      </c>
      <c r="B1" s="117" t="s">
        <v>0</v>
      </c>
      <c r="C1" s="117" t="s">
        <v>1</v>
      </c>
      <c r="D1" s="117" t="s">
        <v>2</v>
      </c>
      <c r="E1" s="117" t="s">
        <v>3</v>
      </c>
      <c r="F1" s="118" t="s">
        <v>53</v>
      </c>
      <c r="G1" s="118" t="s">
        <v>52</v>
      </c>
      <c r="I1" s="1"/>
    </row>
    <row r="2" spans="1:9" x14ac:dyDescent="0.25">
      <c r="A2" s="115" t="s">
        <v>4</v>
      </c>
    </row>
    <row r="3" spans="1:9" x14ac:dyDescent="0.25">
      <c r="A3" s="1" t="s">
        <v>5</v>
      </c>
      <c r="B3" s="11">
        <v>952071</v>
      </c>
      <c r="C3" s="12">
        <v>6104047</v>
      </c>
      <c r="D3" s="11">
        <v>875810</v>
      </c>
      <c r="E3" s="11">
        <v>166675</v>
      </c>
      <c r="F3" s="11">
        <v>0</v>
      </c>
      <c r="G3" s="11">
        <v>8098603</v>
      </c>
    </row>
    <row r="4" spans="1:9" x14ac:dyDescent="0.25">
      <c r="A4" s="1" t="s">
        <v>6</v>
      </c>
      <c r="B4" s="11">
        <v>247921</v>
      </c>
      <c r="C4" s="11">
        <v>47601</v>
      </c>
      <c r="D4" s="11">
        <v>45890</v>
      </c>
      <c r="E4" s="11">
        <v>89947</v>
      </c>
      <c r="F4" s="11">
        <v>12341</v>
      </c>
      <c r="G4" s="11">
        <v>443700</v>
      </c>
    </row>
    <row r="5" spans="1:9" x14ac:dyDescent="0.25">
      <c r="A5" s="2" t="s">
        <v>7</v>
      </c>
      <c r="B5" s="13">
        <v>1199992</v>
      </c>
      <c r="C5" s="13">
        <v>6151648</v>
      </c>
      <c r="D5" s="13">
        <v>921700</v>
      </c>
      <c r="E5" s="13">
        <v>256622</v>
      </c>
      <c r="F5" s="13">
        <v>12341</v>
      </c>
      <c r="G5" s="13">
        <v>8542303</v>
      </c>
    </row>
    <row r="6" spans="1:9" x14ac:dyDescent="0.25">
      <c r="B6" s="11"/>
      <c r="C6" s="11"/>
      <c r="D6" s="11"/>
      <c r="E6" s="11"/>
      <c r="F6" s="11"/>
      <c r="G6" s="11"/>
    </row>
    <row r="7" spans="1:9" x14ac:dyDescent="0.25">
      <c r="A7" s="1" t="s">
        <v>8</v>
      </c>
      <c r="B7" s="11">
        <v>0</v>
      </c>
      <c r="C7" s="11">
        <v>0</v>
      </c>
      <c r="D7" s="11">
        <v>663278</v>
      </c>
      <c r="E7" s="11">
        <v>0</v>
      </c>
      <c r="F7" s="11">
        <v>0</v>
      </c>
      <c r="G7" s="11">
        <v>663278</v>
      </c>
    </row>
    <row r="8" spans="1:9" x14ac:dyDescent="0.25">
      <c r="A8" s="1" t="s">
        <v>9</v>
      </c>
      <c r="B8" s="11">
        <v>546957</v>
      </c>
      <c r="C8" s="11">
        <v>4970266</v>
      </c>
      <c r="D8" s="11">
        <v>0</v>
      </c>
      <c r="E8" s="11">
        <v>114655</v>
      </c>
      <c r="F8" s="11">
        <v>0</v>
      </c>
      <c r="G8" s="11">
        <v>5631878</v>
      </c>
    </row>
    <row r="9" spans="1:9" x14ac:dyDescent="0.25">
      <c r="A9" s="1" t="s">
        <v>10</v>
      </c>
      <c r="B9" s="11">
        <v>591813</v>
      </c>
      <c r="C9" s="11">
        <v>916488</v>
      </c>
      <c r="D9" s="11">
        <v>207568</v>
      </c>
      <c r="E9" s="11">
        <v>118026</v>
      </c>
      <c r="F9" s="11">
        <v>5281</v>
      </c>
      <c r="G9" s="11">
        <v>1839176</v>
      </c>
    </row>
    <row r="10" spans="1:9" x14ac:dyDescent="0.25">
      <c r="A10" s="2" t="s">
        <v>11</v>
      </c>
      <c r="B10" s="13">
        <v>1138770</v>
      </c>
      <c r="C10" s="13">
        <v>5886754</v>
      </c>
      <c r="D10" s="13">
        <v>870846</v>
      </c>
      <c r="E10" s="13">
        <v>232681</v>
      </c>
      <c r="F10" s="13">
        <v>5281</v>
      </c>
      <c r="G10" s="13">
        <v>8134332</v>
      </c>
    </row>
    <row r="11" spans="1:9" x14ac:dyDescent="0.25">
      <c r="B11" s="11"/>
      <c r="C11" s="11"/>
      <c r="D11" s="11"/>
      <c r="E11" s="11"/>
      <c r="F11" s="11"/>
      <c r="G11" s="11"/>
    </row>
    <row r="12" spans="1:9" x14ac:dyDescent="0.25">
      <c r="A12" s="14" t="s">
        <v>12</v>
      </c>
      <c r="B12" s="11">
        <v>61222</v>
      </c>
      <c r="C12" s="11">
        <v>264894</v>
      </c>
      <c r="D12" s="11">
        <v>50854</v>
      </c>
      <c r="E12" s="11">
        <v>23941</v>
      </c>
      <c r="F12" s="11">
        <v>7060</v>
      </c>
      <c r="G12" s="11">
        <v>407971</v>
      </c>
    </row>
    <row r="13" spans="1:9" x14ac:dyDescent="0.25">
      <c r="A13" s="14" t="s">
        <v>13</v>
      </c>
      <c r="B13" s="11">
        <v>17142</v>
      </c>
      <c r="C13" s="11">
        <v>74170</v>
      </c>
      <c r="D13" s="11">
        <v>12714</v>
      </c>
      <c r="E13" s="11">
        <v>5253</v>
      </c>
      <c r="F13" s="11">
        <v>1906</v>
      </c>
      <c r="G13" s="11">
        <v>111185</v>
      </c>
    </row>
    <row r="14" spans="1:9" x14ac:dyDescent="0.25">
      <c r="A14" s="14" t="s">
        <v>14</v>
      </c>
      <c r="B14" s="11">
        <v>44080</v>
      </c>
      <c r="C14" s="11">
        <v>190724</v>
      </c>
      <c r="D14" s="11">
        <v>38140</v>
      </c>
      <c r="E14" s="11">
        <v>18688</v>
      </c>
      <c r="F14" s="11">
        <v>5154</v>
      </c>
      <c r="G14" s="11">
        <v>296786</v>
      </c>
    </row>
    <row r="15" spans="1:9" x14ac:dyDescent="0.25">
      <c r="A15" s="14"/>
      <c r="B15" s="11"/>
      <c r="C15" s="11"/>
      <c r="D15" s="11"/>
      <c r="E15" s="11"/>
      <c r="F15" s="11"/>
      <c r="G15" s="11"/>
    </row>
    <row r="16" spans="1:9" x14ac:dyDescent="0.25">
      <c r="B16" s="11"/>
      <c r="C16" s="11"/>
      <c r="D16" s="11"/>
      <c r="E16" s="11"/>
      <c r="F16" s="11"/>
      <c r="G16" s="11"/>
    </row>
    <row r="17" spans="1:7" x14ac:dyDescent="0.25">
      <c r="A17" s="115" t="s">
        <v>15</v>
      </c>
      <c r="B17" s="11"/>
      <c r="C17" s="11"/>
      <c r="D17" s="11"/>
      <c r="E17" s="11"/>
      <c r="F17" s="11"/>
      <c r="G17" s="11"/>
    </row>
    <row r="18" spans="1:7" x14ac:dyDescent="0.25">
      <c r="A18" s="15" t="s">
        <v>16</v>
      </c>
      <c r="B18" s="11">
        <v>4750930</v>
      </c>
      <c r="C18" s="11">
        <v>2676133</v>
      </c>
      <c r="D18" s="11">
        <v>3268566</v>
      </c>
      <c r="E18" s="11">
        <v>1581999</v>
      </c>
      <c r="F18" s="11">
        <v>223861</v>
      </c>
      <c r="G18" s="11">
        <v>12501489</v>
      </c>
    </row>
    <row r="19" spans="1:7" x14ac:dyDescent="0.25">
      <c r="A19" s="15" t="s">
        <v>17</v>
      </c>
      <c r="B19" s="11">
        <v>1776396</v>
      </c>
      <c r="C19" s="11">
        <v>0</v>
      </c>
      <c r="D19" s="11">
        <v>0</v>
      </c>
      <c r="E19" s="11">
        <v>0</v>
      </c>
      <c r="F19" s="11">
        <v>0</v>
      </c>
      <c r="G19" s="11">
        <v>1776396</v>
      </c>
    </row>
    <row r="20" spans="1:7" x14ac:dyDescent="0.25">
      <c r="A20" s="16" t="s">
        <v>18</v>
      </c>
      <c r="B20" s="13">
        <v>6527326</v>
      </c>
      <c r="C20" s="13">
        <v>2676133</v>
      </c>
      <c r="D20" s="13">
        <v>3268566</v>
      </c>
      <c r="E20" s="13">
        <v>1581999</v>
      </c>
      <c r="F20" s="13">
        <v>223861</v>
      </c>
      <c r="G20" s="13">
        <v>14277885</v>
      </c>
    </row>
    <row r="21" spans="1:7" x14ac:dyDescent="0.25">
      <c r="B21" s="11"/>
      <c r="C21" s="11"/>
      <c r="D21" s="11"/>
      <c r="E21" s="11"/>
      <c r="F21" s="11"/>
      <c r="G21" s="11"/>
    </row>
    <row r="22" spans="1:7" x14ac:dyDescent="0.25">
      <c r="A22" s="15" t="s">
        <v>19</v>
      </c>
      <c r="B22" s="11">
        <v>0</v>
      </c>
      <c r="C22" s="11">
        <v>0</v>
      </c>
      <c r="D22" s="11">
        <v>2125125</v>
      </c>
      <c r="E22" s="11">
        <v>0</v>
      </c>
      <c r="F22" s="11">
        <v>0</v>
      </c>
      <c r="G22" s="11">
        <v>2125125</v>
      </c>
    </row>
    <row r="23" spans="1:7" x14ac:dyDescent="0.25">
      <c r="A23" s="15" t="s">
        <v>20</v>
      </c>
      <c r="B23" s="11">
        <v>1776396</v>
      </c>
      <c r="C23" s="11">
        <v>0</v>
      </c>
      <c r="D23" s="11">
        <v>0</v>
      </c>
      <c r="E23" s="11">
        <v>0</v>
      </c>
      <c r="F23" s="11">
        <v>0</v>
      </c>
      <c r="G23" s="11">
        <v>1776396</v>
      </c>
    </row>
    <row r="24" spans="1:7" x14ac:dyDescent="0.25">
      <c r="A24" s="17" t="s">
        <v>21</v>
      </c>
      <c r="B24" s="11">
        <v>4241142</v>
      </c>
      <c r="C24" s="11">
        <v>1019376</v>
      </c>
      <c r="D24" s="11">
        <v>0</v>
      </c>
      <c r="E24" s="11">
        <v>1397199</v>
      </c>
      <c r="F24" s="11">
        <v>0</v>
      </c>
      <c r="G24" s="11">
        <v>6657717</v>
      </c>
    </row>
    <row r="25" spans="1:7" x14ac:dyDescent="0.25">
      <c r="A25" s="17" t="s">
        <v>22</v>
      </c>
      <c r="B25" s="11">
        <v>0</v>
      </c>
      <c r="C25" s="11">
        <v>0</v>
      </c>
      <c r="D25" s="11">
        <v>0</v>
      </c>
      <c r="E25" s="11">
        <v>0</v>
      </c>
      <c r="F25" s="11">
        <v>52235</v>
      </c>
      <c r="G25" s="11">
        <v>52235</v>
      </c>
    </row>
    <row r="26" spans="1:7" x14ac:dyDescent="0.25">
      <c r="A26" s="2" t="s">
        <v>23</v>
      </c>
      <c r="B26" s="13">
        <v>6017538</v>
      </c>
      <c r="C26" s="13">
        <v>1019376</v>
      </c>
      <c r="D26" s="13">
        <v>2125125</v>
      </c>
      <c r="E26" s="13">
        <v>1397199</v>
      </c>
      <c r="F26" s="13">
        <v>52235</v>
      </c>
      <c r="G26" s="13">
        <v>10611473</v>
      </c>
    </row>
    <row r="27" spans="1:7" x14ac:dyDescent="0.25">
      <c r="A27" s="2"/>
      <c r="B27" s="11"/>
      <c r="C27" s="11"/>
      <c r="D27" s="11"/>
      <c r="E27" s="11"/>
      <c r="F27" s="11"/>
      <c r="G27" s="11"/>
    </row>
    <row r="28" spans="1:7" x14ac:dyDescent="0.25">
      <c r="A28" s="2" t="s">
        <v>24</v>
      </c>
      <c r="B28" s="13">
        <v>509788</v>
      </c>
      <c r="C28" s="13">
        <v>1656757</v>
      </c>
      <c r="D28" s="13">
        <v>1143441</v>
      </c>
      <c r="E28" s="13">
        <v>184799</v>
      </c>
      <c r="F28" s="13">
        <v>171626</v>
      </c>
      <c r="G28" s="13">
        <v>3666411</v>
      </c>
    </row>
    <row r="29" spans="1:7" x14ac:dyDescent="0.25">
      <c r="A29" s="2" t="s">
        <v>55</v>
      </c>
      <c r="B29" s="18">
        <v>4.0452225225660081</v>
      </c>
      <c r="C29" s="18">
        <v>6.475227402414335</v>
      </c>
      <c r="D29" s="18">
        <v>4.0000005366983613</v>
      </c>
      <c r="E29" s="18"/>
      <c r="F29" s="18"/>
      <c r="G29" s="18"/>
    </row>
    <row r="30" spans="1:7" x14ac:dyDescent="0.25">
      <c r="A30" s="16" t="s">
        <v>25</v>
      </c>
      <c r="B30" s="13">
        <v>6527326</v>
      </c>
      <c r="C30" s="13">
        <v>2676133</v>
      </c>
      <c r="D30" s="13">
        <v>3268566</v>
      </c>
      <c r="E30" s="13">
        <v>1581999</v>
      </c>
      <c r="F30" s="13">
        <v>223861</v>
      </c>
      <c r="G30" s="13">
        <v>14277885</v>
      </c>
    </row>
    <row r="31" spans="1:7" x14ac:dyDescent="0.25">
      <c r="A31" s="16"/>
      <c r="B31" s="13"/>
      <c r="C31" s="13"/>
      <c r="D31" s="13"/>
      <c r="E31" s="13"/>
      <c r="F31" s="13"/>
      <c r="G31" s="13"/>
    </row>
    <row r="32" spans="1:7" x14ac:dyDescent="0.25">
      <c r="A32" s="2" t="s">
        <v>26</v>
      </c>
      <c r="B32" s="13"/>
      <c r="C32" s="13"/>
      <c r="D32" s="13"/>
      <c r="E32" s="13"/>
      <c r="F32" s="13"/>
      <c r="G32" s="13"/>
    </row>
    <row r="33" spans="1:7" x14ac:dyDescent="0.25">
      <c r="A33" s="1" t="s">
        <v>27</v>
      </c>
      <c r="B33" s="11">
        <v>-5832</v>
      </c>
      <c r="C33" s="11">
        <v>0</v>
      </c>
      <c r="D33" s="11">
        <v>0</v>
      </c>
      <c r="E33" s="11">
        <v>0</v>
      </c>
      <c r="F33" s="11">
        <v>5832</v>
      </c>
      <c r="G33" s="11">
        <v>0</v>
      </c>
    </row>
    <row r="34" spans="1:7" x14ac:dyDescent="0.25">
      <c r="B34" s="11"/>
      <c r="C34" s="11"/>
      <c r="D34" s="11"/>
      <c r="E34" s="11"/>
      <c r="F34" s="11"/>
      <c r="G34" s="11"/>
    </row>
    <row r="35" spans="1:7" x14ac:dyDescent="0.25">
      <c r="A35" s="115" t="s">
        <v>28</v>
      </c>
      <c r="B35" s="11"/>
      <c r="C35" s="11"/>
      <c r="D35" s="11"/>
      <c r="E35" s="11"/>
      <c r="F35" s="11"/>
      <c r="G35" s="11"/>
    </row>
    <row r="36" spans="1:7" x14ac:dyDescent="0.25">
      <c r="A36" s="15" t="s">
        <v>50</v>
      </c>
      <c r="B36" s="11">
        <v>433338</v>
      </c>
      <c r="C36" s="11">
        <v>1740822</v>
      </c>
      <c r="D36" s="11">
        <v>973777</v>
      </c>
      <c r="E36" s="11">
        <v>170109</v>
      </c>
      <c r="F36" s="11">
        <v>18580</v>
      </c>
      <c r="G36" s="11">
        <v>3336626</v>
      </c>
    </row>
    <row r="37" spans="1:7" x14ac:dyDescent="0.25">
      <c r="A37" s="15" t="s">
        <v>54</v>
      </c>
      <c r="B37" s="11">
        <v>74238</v>
      </c>
      <c r="C37" s="11">
        <v>187299</v>
      </c>
      <c r="D37" s="11">
        <v>216439</v>
      </c>
      <c r="E37" s="11">
        <v>63810</v>
      </c>
      <c r="F37" s="11">
        <v>159567</v>
      </c>
      <c r="G37" s="11">
        <v>701353</v>
      </c>
    </row>
    <row r="38" spans="1:7" x14ac:dyDescent="0.25">
      <c r="A38" s="16" t="s">
        <v>224</v>
      </c>
      <c r="B38" s="13">
        <v>507576</v>
      </c>
      <c r="C38" s="13">
        <v>1928121</v>
      </c>
      <c r="D38" s="13">
        <v>1190216</v>
      </c>
      <c r="E38" s="13">
        <v>233919</v>
      </c>
      <c r="F38" s="13">
        <v>178147</v>
      </c>
      <c r="G38" s="13">
        <v>4037979</v>
      </c>
    </row>
    <row r="39" spans="1:7" x14ac:dyDescent="0.25">
      <c r="B39" s="19"/>
      <c r="C39" s="19"/>
      <c r="D39" s="19"/>
      <c r="E39" s="19"/>
      <c r="F39" s="19"/>
      <c r="G39" s="19"/>
    </row>
    <row r="41" spans="1:7" x14ac:dyDescent="0.25">
      <c r="A41" s="17" t="s">
        <v>29</v>
      </c>
    </row>
    <row r="42" spans="1:7" x14ac:dyDescent="0.25">
      <c r="A42" s="1" t="s">
        <v>56</v>
      </c>
    </row>
    <row r="43" spans="1:7" x14ac:dyDescent="0.25">
      <c r="A43" s="1" t="s">
        <v>130</v>
      </c>
    </row>
    <row r="46" spans="1:7" x14ac:dyDescent="0.25">
      <c r="A46" s="20"/>
    </row>
    <row r="47" spans="1:7" x14ac:dyDescent="0.25">
      <c r="A47" s="2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5AAC1-FB2D-46CD-958C-32E47B6AE8FC}">
  <sheetPr>
    <tabColor rgb="FFFFC000"/>
  </sheetPr>
  <dimension ref="A1:H45"/>
  <sheetViews>
    <sheetView zoomScaleNormal="100" workbookViewId="0"/>
  </sheetViews>
  <sheetFormatPr defaultColWidth="9.109375" defaultRowHeight="13.8" x14ac:dyDescent="0.25"/>
  <cols>
    <col min="1" max="1" width="36.6640625" style="1" customWidth="1"/>
    <col min="2" max="6" width="12.6640625" style="1" customWidth="1"/>
    <col min="7" max="16384" width="9.109375" style="1"/>
  </cols>
  <sheetData>
    <row r="1" spans="1:6" x14ac:dyDescent="0.25">
      <c r="A1" s="115" t="s">
        <v>30</v>
      </c>
      <c r="B1" s="2">
        <v>2020</v>
      </c>
      <c r="C1" s="2">
        <v>2021</v>
      </c>
      <c r="D1" s="2">
        <v>2022</v>
      </c>
      <c r="E1" s="2">
        <v>2023</v>
      </c>
      <c r="F1" s="2">
        <v>2024</v>
      </c>
    </row>
    <row r="2" spans="1:6" x14ac:dyDescent="0.25">
      <c r="A2" s="115" t="s">
        <v>31</v>
      </c>
      <c r="B2" s="115"/>
    </row>
    <row r="3" spans="1:6" x14ac:dyDescent="0.25">
      <c r="A3" s="1" t="s">
        <v>5</v>
      </c>
      <c r="B3" s="11">
        <v>1410009</v>
      </c>
      <c r="C3" s="11">
        <v>1519039</v>
      </c>
      <c r="D3" s="11">
        <v>1643355</v>
      </c>
      <c r="E3" s="11">
        <v>1782693</v>
      </c>
      <c r="F3" s="11">
        <v>1938875</v>
      </c>
    </row>
    <row r="4" spans="1:6" x14ac:dyDescent="0.25">
      <c r="A4" s="1" t="s">
        <v>32</v>
      </c>
      <c r="B4" s="11">
        <v>-516395</v>
      </c>
      <c r="C4" s="11">
        <v>-566968</v>
      </c>
      <c r="D4" s="11">
        <v>-624848</v>
      </c>
      <c r="E4" s="11">
        <v>-691301</v>
      </c>
      <c r="F4" s="11">
        <v>-767773</v>
      </c>
    </row>
    <row r="5" spans="1:6" x14ac:dyDescent="0.25">
      <c r="A5" s="1" t="s">
        <v>33</v>
      </c>
      <c r="B5" s="11">
        <v>237607</v>
      </c>
      <c r="C5" s="11">
        <v>247921</v>
      </c>
      <c r="D5" s="11">
        <v>264597</v>
      </c>
      <c r="E5" s="11">
        <v>282251</v>
      </c>
      <c r="F5" s="11">
        <v>302470</v>
      </c>
    </row>
    <row r="6" spans="1:6" x14ac:dyDescent="0.25">
      <c r="A6" s="2" t="s">
        <v>34</v>
      </c>
      <c r="B6" s="27">
        <v>1131221</v>
      </c>
      <c r="C6" s="27">
        <v>1199992</v>
      </c>
      <c r="D6" s="27">
        <v>1283104</v>
      </c>
      <c r="E6" s="27">
        <v>1373643</v>
      </c>
      <c r="F6" s="27">
        <v>1473572</v>
      </c>
    </row>
    <row r="7" spans="1:6" x14ac:dyDescent="0.25">
      <c r="A7" s="2"/>
      <c r="B7" s="5"/>
      <c r="C7" s="5"/>
      <c r="D7" s="5"/>
      <c r="E7" s="5"/>
      <c r="F7" s="5"/>
    </row>
    <row r="8" spans="1:6" x14ac:dyDescent="0.25">
      <c r="A8" s="1" t="s">
        <v>35</v>
      </c>
      <c r="B8" s="11">
        <v>121968</v>
      </c>
      <c r="C8" s="11">
        <v>135447</v>
      </c>
      <c r="D8" s="11">
        <v>147960</v>
      </c>
      <c r="E8" s="11">
        <v>162258</v>
      </c>
      <c r="F8" s="11">
        <v>176378</v>
      </c>
    </row>
    <row r="9" spans="1:6" x14ac:dyDescent="0.25">
      <c r="A9" s="1" t="s">
        <v>36</v>
      </c>
      <c r="B9" s="11">
        <v>727881</v>
      </c>
      <c r="C9" s="11">
        <v>767088</v>
      </c>
      <c r="D9" s="11">
        <v>806143</v>
      </c>
      <c r="E9" s="11">
        <v>892444</v>
      </c>
      <c r="F9" s="11">
        <v>993694</v>
      </c>
    </row>
    <row r="10" spans="1:6" x14ac:dyDescent="0.25">
      <c r="A10" s="1" t="s">
        <v>37</v>
      </c>
      <c r="B10" s="11">
        <v>-333596</v>
      </c>
      <c r="C10" s="11">
        <v>-355578</v>
      </c>
      <c r="D10" s="11">
        <v>-377135</v>
      </c>
      <c r="E10" s="11">
        <v>-421948</v>
      </c>
      <c r="F10" s="11">
        <v>-473625</v>
      </c>
    </row>
    <row r="11" spans="1:6" x14ac:dyDescent="0.25">
      <c r="A11" s="1" t="s">
        <v>38</v>
      </c>
      <c r="B11" s="11">
        <v>284430</v>
      </c>
      <c r="C11" s="11">
        <v>313519</v>
      </c>
      <c r="D11" s="11">
        <v>342613</v>
      </c>
      <c r="E11" s="11">
        <v>369302</v>
      </c>
      <c r="F11" s="11">
        <v>397208</v>
      </c>
    </row>
    <row r="12" spans="1:6" x14ac:dyDescent="0.25">
      <c r="A12" s="1" t="s">
        <v>39</v>
      </c>
      <c r="B12" s="11">
        <v>164273</v>
      </c>
      <c r="C12" s="11">
        <v>176877</v>
      </c>
      <c r="D12" s="11">
        <v>190375</v>
      </c>
      <c r="E12" s="11">
        <v>205852</v>
      </c>
      <c r="F12" s="11">
        <v>223592</v>
      </c>
    </row>
    <row r="13" spans="1:6" x14ac:dyDescent="0.25">
      <c r="A13" s="1" t="s">
        <v>40</v>
      </c>
      <c r="B13" s="5">
        <v>117154</v>
      </c>
      <c r="C13" s="5">
        <v>101417</v>
      </c>
      <c r="D13" s="5">
        <v>92708</v>
      </c>
      <c r="E13" s="5">
        <v>83097</v>
      </c>
      <c r="F13" s="5">
        <v>72489</v>
      </c>
    </row>
    <row r="14" spans="1:6" x14ac:dyDescent="0.25">
      <c r="A14" s="2" t="s">
        <v>41</v>
      </c>
      <c r="B14" s="27">
        <v>1082110</v>
      </c>
      <c r="C14" s="27">
        <v>1138770</v>
      </c>
      <c r="D14" s="27">
        <v>1202664</v>
      </c>
      <c r="E14" s="27">
        <v>1291005</v>
      </c>
      <c r="F14" s="27">
        <v>1389736</v>
      </c>
    </row>
    <row r="15" spans="1:6" x14ac:dyDescent="0.25">
      <c r="A15" s="2"/>
      <c r="B15" s="5"/>
      <c r="C15" s="5"/>
      <c r="D15" s="5"/>
      <c r="E15" s="5"/>
      <c r="F15" s="5"/>
    </row>
    <row r="16" spans="1:6" x14ac:dyDescent="0.25">
      <c r="A16" s="1" t="s">
        <v>12</v>
      </c>
      <c r="B16" s="11">
        <v>49111</v>
      </c>
      <c r="C16" s="11">
        <v>61222</v>
      </c>
      <c r="D16" s="11">
        <v>80440</v>
      </c>
      <c r="E16" s="11">
        <v>82638</v>
      </c>
      <c r="F16" s="11">
        <v>83836</v>
      </c>
    </row>
    <row r="17" spans="1:6" x14ac:dyDescent="0.25">
      <c r="A17" s="1" t="s">
        <v>42</v>
      </c>
      <c r="B17" s="11">
        <v>13751</v>
      </c>
      <c r="C17" s="11">
        <v>17142</v>
      </c>
      <c r="D17" s="11">
        <v>22523</v>
      </c>
      <c r="E17" s="11">
        <v>23139</v>
      </c>
      <c r="F17" s="11">
        <v>23474</v>
      </c>
    </row>
    <row r="18" spans="1:6" x14ac:dyDescent="0.25">
      <c r="A18" s="2" t="s">
        <v>14</v>
      </c>
      <c r="B18" s="13">
        <v>35360</v>
      </c>
      <c r="C18" s="13">
        <v>44080</v>
      </c>
      <c r="D18" s="13">
        <v>57917</v>
      </c>
      <c r="E18" s="13">
        <v>59499</v>
      </c>
      <c r="F18" s="13">
        <v>60362</v>
      </c>
    </row>
    <row r="19" spans="1:6" x14ac:dyDescent="0.25">
      <c r="B19" s="5"/>
      <c r="C19" s="5"/>
      <c r="D19" s="5"/>
      <c r="E19" s="5"/>
      <c r="F19" s="5"/>
    </row>
    <row r="20" spans="1:6" x14ac:dyDescent="0.25">
      <c r="A20" s="115" t="s">
        <v>43</v>
      </c>
      <c r="B20" s="5"/>
      <c r="C20" s="5"/>
      <c r="D20" s="5"/>
      <c r="E20" s="5"/>
      <c r="F20" s="5"/>
    </row>
    <row r="21" spans="1:6" x14ac:dyDescent="0.25">
      <c r="A21" s="15" t="s">
        <v>16</v>
      </c>
      <c r="B21" s="11">
        <v>4399164</v>
      </c>
      <c r="C21" s="11">
        <v>4750930</v>
      </c>
      <c r="D21" s="11">
        <v>5120556</v>
      </c>
      <c r="E21" s="11">
        <v>5527967</v>
      </c>
      <c r="F21" s="11">
        <v>5952039</v>
      </c>
    </row>
    <row r="22" spans="1:6" x14ac:dyDescent="0.25">
      <c r="A22" s="15" t="s">
        <v>17</v>
      </c>
      <c r="B22" s="11">
        <v>1376883</v>
      </c>
      <c r="C22" s="11">
        <v>1776396</v>
      </c>
      <c r="D22" s="11">
        <v>2035331</v>
      </c>
      <c r="E22" s="11">
        <v>2306969</v>
      </c>
      <c r="F22" s="11">
        <v>2591399</v>
      </c>
    </row>
    <row r="23" spans="1:6" x14ac:dyDescent="0.25">
      <c r="A23" s="16" t="s">
        <v>18</v>
      </c>
      <c r="B23" s="13">
        <v>5776047</v>
      </c>
      <c r="C23" s="13">
        <v>6527326</v>
      </c>
      <c r="D23" s="13">
        <v>7155887</v>
      </c>
      <c r="E23" s="13">
        <v>7834936</v>
      </c>
      <c r="F23" s="13">
        <v>8543438</v>
      </c>
    </row>
    <row r="24" spans="1:6" x14ac:dyDescent="0.25">
      <c r="A24" s="115"/>
      <c r="B24" s="5"/>
      <c r="C24" s="5"/>
      <c r="D24" s="5"/>
      <c r="E24" s="5"/>
      <c r="F24" s="5"/>
    </row>
    <row r="25" spans="1:6" x14ac:dyDescent="0.25">
      <c r="A25" s="1" t="s">
        <v>44</v>
      </c>
      <c r="B25" s="11">
        <v>3927624</v>
      </c>
      <c r="C25" s="11">
        <v>4241142</v>
      </c>
      <c r="D25" s="11">
        <v>4583755</v>
      </c>
      <c r="E25" s="11">
        <v>4953059</v>
      </c>
      <c r="F25" s="11">
        <v>5350266</v>
      </c>
    </row>
    <row r="26" spans="1:6" x14ac:dyDescent="0.25">
      <c r="A26" s="1" t="s">
        <v>45</v>
      </c>
      <c r="B26" s="11">
        <v>1376883</v>
      </c>
      <c r="C26" s="11">
        <v>1776396</v>
      </c>
      <c r="D26" s="11">
        <v>2035331</v>
      </c>
      <c r="E26" s="11">
        <v>2306969</v>
      </c>
      <c r="F26" s="11">
        <v>2591399</v>
      </c>
    </row>
    <row r="27" spans="1:6" x14ac:dyDescent="0.25">
      <c r="A27" s="2" t="s">
        <v>23</v>
      </c>
      <c r="B27" s="13">
        <v>5304507</v>
      </c>
      <c r="C27" s="13">
        <v>6017538</v>
      </c>
      <c r="D27" s="13">
        <v>6619086</v>
      </c>
      <c r="E27" s="13">
        <v>7260028</v>
      </c>
      <c r="F27" s="13">
        <v>7941665</v>
      </c>
    </row>
    <row r="28" spans="1:6" x14ac:dyDescent="0.25">
      <c r="A28" s="2"/>
      <c r="B28" s="5"/>
      <c r="C28" s="5"/>
      <c r="D28" s="5"/>
      <c r="E28" s="5"/>
      <c r="F28" s="5"/>
    </row>
    <row r="29" spans="1:6" x14ac:dyDescent="0.25">
      <c r="A29" s="2" t="s">
        <v>24</v>
      </c>
      <c r="B29" s="13">
        <v>471540</v>
      </c>
      <c r="C29" s="13">
        <v>509788</v>
      </c>
      <c r="D29" s="13">
        <v>536801</v>
      </c>
      <c r="E29" s="13">
        <v>574908</v>
      </c>
      <c r="F29" s="13">
        <v>601773</v>
      </c>
    </row>
    <row r="30" spans="1:6" x14ac:dyDescent="0.25">
      <c r="A30" s="2" t="s">
        <v>57</v>
      </c>
      <c r="B30" s="18">
        <v>4.0920996475231215</v>
      </c>
      <c r="C30" s="18">
        <v>4.0452225225660081</v>
      </c>
      <c r="D30" s="18">
        <v>4.0924857982903502</v>
      </c>
      <c r="E30" s="18">
        <v>3.9999968336728342</v>
      </c>
      <c r="F30" s="18">
        <v>4</v>
      </c>
    </row>
    <row r="31" spans="1:6" x14ac:dyDescent="0.25">
      <c r="A31" s="2" t="s">
        <v>25</v>
      </c>
      <c r="B31" s="13">
        <v>5776047</v>
      </c>
      <c r="C31" s="13">
        <v>6527326</v>
      </c>
      <c r="D31" s="13">
        <v>7155887</v>
      </c>
      <c r="E31" s="13">
        <v>7834936</v>
      </c>
      <c r="F31" s="13">
        <v>8543438</v>
      </c>
    </row>
    <row r="32" spans="1:6" x14ac:dyDescent="0.25">
      <c r="A32" s="2"/>
      <c r="B32" s="13"/>
      <c r="C32" s="13"/>
      <c r="D32" s="13"/>
      <c r="E32" s="13"/>
      <c r="F32" s="13"/>
    </row>
    <row r="33" spans="1:8" x14ac:dyDescent="0.25">
      <c r="A33" s="2" t="s">
        <v>26</v>
      </c>
      <c r="B33" s="13"/>
      <c r="C33" s="13"/>
      <c r="D33" s="13"/>
      <c r="E33" s="13"/>
      <c r="F33" s="13"/>
    </row>
    <row r="34" spans="1:8" x14ac:dyDescent="0.25">
      <c r="A34" s="1" t="s">
        <v>46</v>
      </c>
      <c r="B34" s="11">
        <v>-18957</v>
      </c>
      <c r="C34" s="11">
        <v>-5832</v>
      </c>
      <c r="D34" s="11">
        <v>-30904</v>
      </c>
      <c r="E34" s="11">
        <v>-21392</v>
      </c>
      <c r="F34" s="11">
        <v>-33498</v>
      </c>
    </row>
    <row r="35" spans="1:8" x14ac:dyDescent="0.25">
      <c r="B35" s="5"/>
      <c r="C35" s="5"/>
      <c r="D35" s="5"/>
      <c r="E35" s="5"/>
      <c r="F35" s="5"/>
    </row>
    <row r="36" spans="1:8" x14ac:dyDescent="0.25">
      <c r="A36" s="115" t="s">
        <v>47</v>
      </c>
      <c r="B36" s="115"/>
      <c r="C36" s="115"/>
      <c r="D36" s="115"/>
      <c r="E36" s="115"/>
      <c r="F36" s="115"/>
    </row>
    <row r="37" spans="1:8" x14ac:dyDescent="0.25">
      <c r="A37" s="16" t="s">
        <v>48</v>
      </c>
      <c r="B37" s="13">
        <v>6018641</v>
      </c>
      <c r="C37" s="13">
        <v>6821056</v>
      </c>
      <c r="D37" s="13">
        <v>7463590</v>
      </c>
      <c r="E37" s="13">
        <v>8187508</v>
      </c>
      <c r="F37" s="13">
        <v>8927893</v>
      </c>
    </row>
    <row r="38" spans="1:8" x14ac:dyDescent="0.25">
      <c r="A38" s="16"/>
      <c r="B38" s="11"/>
      <c r="C38" s="11"/>
      <c r="D38" s="11"/>
      <c r="E38" s="11"/>
      <c r="F38" s="11"/>
    </row>
    <row r="39" spans="1:8" x14ac:dyDescent="0.25">
      <c r="A39" s="15" t="s">
        <v>49</v>
      </c>
      <c r="B39" s="11">
        <v>5553124</v>
      </c>
      <c r="C39" s="11">
        <v>6313480</v>
      </c>
      <c r="D39" s="11">
        <v>6934729</v>
      </c>
      <c r="E39" s="11">
        <v>7589921</v>
      </c>
      <c r="F39" s="11">
        <v>8284220</v>
      </c>
      <c r="H39" s="5"/>
    </row>
    <row r="40" spans="1:8" x14ac:dyDescent="0.25">
      <c r="A40" s="15" t="s">
        <v>50</v>
      </c>
      <c r="B40" s="11">
        <v>417895</v>
      </c>
      <c r="C40" s="11">
        <v>433338</v>
      </c>
      <c r="D40" s="11">
        <v>461336</v>
      </c>
      <c r="E40" s="11">
        <v>496045</v>
      </c>
      <c r="F40" s="11">
        <v>533012</v>
      </c>
    </row>
    <row r="41" spans="1:8" x14ac:dyDescent="0.25">
      <c r="A41" s="15" t="s">
        <v>54</v>
      </c>
      <c r="B41" s="11">
        <v>47622</v>
      </c>
      <c r="C41" s="11">
        <v>74238</v>
      </c>
      <c r="D41" s="11">
        <v>67525</v>
      </c>
      <c r="E41" s="11">
        <v>101542</v>
      </c>
      <c r="F41" s="11">
        <v>110661</v>
      </c>
    </row>
    <row r="42" spans="1:8" x14ac:dyDescent="0.25">
      <c r="A42" s="16" t="s">
        <v>25</v>
      </c>
      <c r="B42" s="13">
        <v>6018641</v>
      </c>
      <c r="C42" s="13">
        <v>6821056</v>
      </c>
      <c r="D42" s="13">
        <v>7463590</v>
      </c>
      <c r="E42" s="13">
        <v>8187508</v>
      </c>
      <c r="F42" s="13">
        <v>8927893</v>
      </c>
    </row>
    <row r="45" spans="1:8" x14ac:dyDescent="0.25">
      <c r="A45" s="1" t="s">
        <v>132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47BB0-722D-413E-9BDF-EB1C5B1B6D4F}">
  <sheetPr>
    <tabColor rgb="FFFFC000"/>
  </sheetPr>
  <dimension ref="A1:H48"/>
  <sheetViews>
    <sheetView zoomScaleNormal="100" workbookViewId="0"/>
  </sheetViews>
  <sheetFormatPr defaultColWidth="9.109375" defaultRowHeight="13.8" x14ac:dyDescent="0.25"/>
  <cols>
    <col min="1" max="1" width="30.33203125" style="1" customWidth="1"/>
    <col min="2" max="6" width="11.6640625" style="1" customWidth="1"/>
    <col min="7" max="16384" width="9.109375" style="1"/>
  </cols>
  <sheetData>
    <row r="1" spans="1:6" x14ac:dyDescent="0.25">
      <c r="A1" s="115" t="s">
        <v>30</v>
      </c>
      <c r="B1" s="2">
        <v>2020</v>
      </c>
      <c r="C1" s="2">
        <v>2021</v>
      </c>
      <c r="D1" s="2">
        <v>2022</v>
      </c>
      <c r="E1" s="2">
        <v>2023</v>
      </c>
      <c r="F1" s="2">
        <v>2024</v>
      </c>
    </row>
    <row r="2" spans="1:6" x14ac:dyDescent="0.25">
      <c r="A2" s="115" t="s">
        <v>31</v>
      </c>
      <c r="B2" s="115"/>
      <c r="C2" s="6"/>
      <c r="D2" s="6"/>
      <c r="E2" s="6"/>
      <c r="F2" s="6"/>
    </row>
    <row r="3" spans="1:6" x14ac:dyDescent="0.25">
      <c r="A3" s="1" t="s">
        <v>140</v>
      </c>
      <c r="B3" s="6">
        <v>5616813</v>
      </c>
      <c r="C3" s="6">
        <v>6104047</v>
      </c>
      <c r="D3" s="6">
        <v>6715611</v>
      </c>
      <c r="E3" s="6">
        <v>7309356</v>
      </c>
      <c r="F3" s="6">
        <v>7843476</v>
      </c>
    </row>
    <row r="4" spans="1:6" x14ac:dyDescent="0.25">
      <c r="A4" s="17"/>
      <c r="B4" s="6"/>
      <c r="C4" s="6"/>
      <c r="D4" s="6"/>
      <c r="E4" s="6"/>
      <c r="F4" s="6"/>
    </row>
    <row r="5" spans="1:6" x14ac:dyDescent="0.25">
      <c r="A5" s="17" t="s">
        <v>141</v>
      </c>
      <c r="B5" s="6">
        <v>4601193</v>
      </c>
      <c r="C5" s="6">
        <v>4970266</v>
      </c>
      <c r="D5" s="6">
        <v>5496722</v>
      </c>
      <c r="E5" s="6">
        <v>5959568</v>
      </c>
      <c r="F5" s="6">
        <v>6374099</v>
      </c>
    </row>
    <row r="6" spans="1:6" x14ac:dyDescent="0.25">
      <c r="A6" s="17" t="s">
        <v>142</v>
      </c>
      <c r="B6" s="6">
        <v>846715</v>
      </c>
      <c r="C6" s="6">
        <v>916488</v>
      </c>
      <c r="D6" s="6">
        <v>943245</v>
      </c>
      <c r="E6" s="6">
        <v>871095</v>
      </c>
      <c r="F6" s="6">
        <v>896511</v>
      </c>
    </row>
    <row r="7" spans="1:6" x14ac:dyDescent="0.25">
      <c r="A7" s="14" t="s">
        <v>143</v>
      </c>
      <c r="B7" s="8">
        <v>5447908</v>
      </c>
      <c r="C7" s="8">
        <v>5886754</v>
      </c>
      <c r="D7" s="8">
        <v>6439967</v>
      </c>
      <c r="E7" s="8">
        <v>6830663</v>
      </c>
      <c r="F7" s="8">
        <v>7270610</v>
      </c>
    </row>
    <row r="8" spans="1:6" x14ac:dyDescent="0.25">
      <c r="A8" s="14"/>
      <c r="B8" s="8"/>
      <c r="C8" s="8"/>
      <c r="D8" s="8"/>
      <c r="E8" s="8"/>
      <c r="F8" s="8"/>
    </row>
    <row r="9" spans="1:6" x14ac:dyDescent="0.25">
      <c r="A9" s="14" t="s">
        <v>6</v>
      </c>
      <c r="B9" s="8">
        <v>38757</v>
      </c>
      <c r="C9" s="8">
        <v>47601</v>
      </c>
      <c r="D9" s="8">
        <v>52748</v>
      </c>
      <c r="E9" s="8">
        <v>59420</v>
      </c>
      <c r="F9" s="8">
        <v>69010</v>
      </c>
    </row>
    <row r="10" spans="1:6" x14ac:dyDescent="0.25">
      <c r="A10" s="14"/>
      <c r="B10" s="8"/>
      <c r="C10" s="8"/>
      <c r="D10" s="8"/>
      <c r="E10" s="8"/>
      <c r="F10" s="8"/>
    </row>
    <row r="11" spans="1:6" x14ac:dyDescent="0.25">
      <c r="A11" s="14" t="s">
        <v>12</v>
      </c>
      <c r="B11" s="8">
        <v>207662</v>
      </c>
      <c r="C11" s="8">
        <v>264894</v>
      </c>
      <c r="D11" s="8">
        <v>328392</v>
      </c>
      <c r="E11" s="8">
        <v>538113</v>
      </c>
      <c r="F11" s="8">
        <v>641876</v>
      </c>
    </row>
    <row r="12" spans="1:6" x14ac:dyDescent="0.25">
      <c r="A12" s="14" t="s">
        <v>42</v>
      </c>
      <c r="B12" s="8">
        <v>58145</v>
      </c>
      <c r="C12" s="8">
        <v>74170</v>
      </c>
      <c r="D12" s="8">
        <v>91950</v>
      </c>
      <c r="E12" s="8">
        <v>150672</v>
      </c>
      <c r="F12" s="8">
        <v>179725</v>
      </c>
    </row>
    <row r="13" spans="1:6" x14ac:dyDescent="0.25">
      <c r="A13" s="14" t="s">
        <v>14</v>
      </c>
      <c r="B13" s="8">
        <v>149517</v>
      </c>
      <c r="C13" s="8">
        <v>190724</v>
      </c>
      <c r="D13" s="8">
        <v>236442</v>
      </c>
      <c r="E13" s="8">
        <v>387441</v>
      </c>
      <c r="F13" s="8">
        <v>462151</v>
      </c>
    </row>
    <row r="14" spans="1:6" x14ac:dyDescent="0.25">
      <c r="A14" s="14"/>
      <c r="B14" s="6"/>
      <c r="C14" s="6"/>
      <c r="D14" s="6"/>
      <c r="E14" s="6"/>
      <c r="F14" s="6"/>
    </row>
    <row r="15" spans="1:6" x14ac:dyDescent="0.25">
      <c r="A15" s="115" t="s">
        <v>43</v>
      </c>
      <c r="B15" s="6"/>
      <c r="C15" s="6"/>
      <c r="D15" s="6"/>
      <c r="E15" s="6"/>
      <c r="F15" s="6"/>
    </row>
    <row r="16" spans="1:6" x14ac:dyDescent="0.25">
      <c r="A16" s="7" t="s">
        <v>18</v>
      </c>
      <c r="B16" s="8">
        <v>2395617</v>
      </c>
      <c r="C16" s="8">
        <v>2676133</v>
      </c>
      <c r="D16" s="8">
        <v>3014708</v>
      </c>
      <c r="E16" s="8">
        <v>3501303</v>
      </c>
      <c r="F16" s="8">
        <v>3940930</v>
      </c>
    </row>
    <row r="17" spans="1:6" x14ac:dyDescent="0.25">
      <c r="B17" s="6"/>
      <c r="C17" s="6"/>
      <c r="D17" s="6"/>
      <c r="E17" s="6"/>
      <c r="F17" s="6"/>
    </row>
    <row r="18" spans="1:6" ht="27.6" x14ac:dyDescent="0.25">
      <c r="A18" s="25" t="s">
        <v>144</v>
      </c>
      <c r="B18" s="6">
        <v>603808</v>
      </c>
      <c r="C18" s="6">
        <v>671445</v>
      </c>
      <c r="D18" s="6">
        <v>738717</v>
      </c>
      <c r="E18" s="6">
        <v>804028</v>
      </c>
      <c r="F18" s="6">
        <v>862783</v>
      </c>
    </row>
    <row r="19" spans="1:6" x14ac:dyDescent="0.25">
      <c r="A19" s="17" t="s">
        <v>145</v>
      </c>
      <c r="B19" s="6">
        <v>325775</v>
      </c>
      <c r="C19" s="6">
        <v>347931</v>
      </c>
      <c r="D19" s="6">
        <v>382791</v>
      </c>
      <c r="E19" s="6">
        <v>416634</v>
      </c>
      <c r="F19" s="6">
        <v>447078</v>
      </c>
    </row>
    <row r="20" spans="1:6" x14ac:dyDescent="0.25">
      <c r="A20" s="7" t="s">
        <v>23</v>
      </c>
      <c r="B20" s="8">
        <v>929583</v>
      </c>
      <c r="C20" s="8">
        <v>1019376</v>
      </c>
      <c r="D20" s="8">
        <v>1121508</v>
      </c>
      <c r="E20" s="8">
        <v>1220662</v>
      </c>
      <c r="F20" s="8">
        <v>1309861</v>
      </c>
    </row>
    <row r="21" spans="1:6" x14ac:dyDescent="0.25">
      <c r="A21" s="7"/>
      <c r="B21" s="6"/>
      <c r="C21" s="6"/>
      <c r="D21" s="6"/>
      <c r="E21" s="6"/>
      <c r="F21" s="6"/>
    </row>
    <row r="22" spans="1:6" x14ac:dyDescent="0.25">
      <c r="A22" s="7" t="s">
        <v>24</v>
      </c>
      <c r="B22" s="8">
        <v>1466034</v>
      </c>
      <c r="C22" s="8">
        <v>1656757</v>
      </c>
      <c r="D22" s="8">
        <v>1893200</v>
      </c>
      <c r="E22" s="8">
        <v>2280641</v>
      </c>
      <c r="F22" s="8">
        <v>2631069</v>
      </c>
    </row>
    <row r="23" spans="1:6" x14ac:dyDescent="0.25">
      <c r="A23" s="17" t="s">
        <v>57</v>
      </c>
      <c r="B23" s="26">
        <v>6.2449443818102814</v>
      </c>
      <c r="C23" s="26">
        <v>6.475227402414335</v>
      </c>
      <c r="D23" s="26">
        <v>6.7059259001253313</v>
      </c>
      <c r="E23" s="26">
        <v>6.9999973104817519</v>
      </c>
      <c r="F23" s="26">
        <v>7</v>
      </c>
    </row>
    <row r="24" spans="1:6" x14ac:dyDescent="0.25">
      <c r="A24" s="7" t="s">
        <v>25</v>
      </c>
      <c r="B24" s="8">
        <v>2395617</v>
      </c>
      <c r="C24" s="8">
        <v>2676133</v>
      </c>
      <c r="D24" s="8">
        <v>3014708</v>
      </c>
      <c r="E24" s="8">
        <v>3501303</v>
      </c>
      <c r="F24" s="8">
        <v>3940930</v>
      </c>
    </row>
    <row r="25" spans="1:6" x14ac:dyDescent="0.25">
      <c r="B25" s="6"/>
      <c r="C25" s="6"/>
      <c r="D25" s="6"/>
      <c r="E25" s="6"/>
      <c r="F25" s="6"/>
    </row>
    <row r="26" spans="1:6" x14ac:dyDescent="0.25">
      <c r="A26" s="7" t="s">
        <v>26</v>
      </c>
      <c r="B26" s="6"/>
      <c r="C26" s="6"/>
      <c r="D26" s="6"/>
      <c r="E26" s="6"/>
      <c r="F26" s="6"/>
    </row>
    <row r="27" spans="1:6" x14ac:dyDescent="0.25">
      <c r="A27" s="1" t="s">
        <v>51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</row>
    <row r="28" spans="1:6" ht="27.6" x14ac:dyDescent="0.25">
      <c r="A28" s="24" t="s">
        <v>46</v>
      </c>
      <c r="B28" s="6">
        <v>0</v>
      </c>
      <c r="C28" s="6">
        <v>0</v>
      </c>
      <c r="D28" s="6">
        <v>0</v>
      </c>
      <c r="E28" s="6">
        <v>0</v>
      </c>
      <c r="F28" s="6">
        <v>-111723</v>
      </c>
    </row>
    <row r="29" spans="1:6" x14ac:dyDescent="0.25">
      <c r="B29" s="6"/>
      <c r="C29" s="6"/>
      <c r="D29" s="6"/>
      <c r="E29" s="6"/>
      <c r="F29" s="6"/>
    </row>
    <row r="30" spans="1:6" x14ac:dyDescent="0.25">
      <c r="A30" s="115" t="s">
        <v>47</v>
      </c>
      <c r="B30" s="115"/>
      <c r="C30" s="6"/>
      <c r="D30" s="6"/>
      <c r="E30" s="6"/>
      <c r="F30" s="6"/>
    </row>
    <row r="31" spans="1:6" x14ac:dyDescent="0.25">
      <c r="A31" s="7" t="s">
        <v>48</v>
      </c>
      <c r="B31" s="8">
        <v>2904226</v>
      </c>
      <c r="C31" s="8">
        <v>3242145</v>
      </c>
      <c r="D31" s="8">
        <v>3652198</v>
      </c>
      <c r="E31" s="8">
        <v>4222212</v>
      </c>
      <c r="F31" s="8">
        <v>4737265</v>
      </c>
    </row>
    <row r="32" spans="1:6" x14ac:dyDescent="0.25">
      <c r="A32" s="7"/>
      <c r="B32" s="6"/>
      <c r="C32" s="6"/>
      <c r="D32" s="6"/>
      <c r="E32" s="6"/>
      <c r="F32" s="6"/>
    </row>
    <row r="33" spans="1:8" x14ac:dyDescent="0.25">
      <c r="A33" s="9" t="s">
        <v>49</v>
      </c>
      <c r="B33" s="6">
        <v>1194800</v>
      </c>
      <c r="C33" s="6">
        <v>1314025</v>
      </c>
      <c r="D33" s="6">
        <v>1450116</v>
      </c>
      <c r="E33" s="6">
        <v>1582674</v>
      </c>
      <c r="F33" s="6">
        <v>1703080</v>
      </c>
      <c r="H33" s="5"/>
    </row>
    <row r="34" spans="1:8" x14ac:dyDescent="0.25">
      <c r="A34" s="9" t="s">
        <v>50</v>
      </c>
      <c r="B34" s="6">
        <v>1540985</v>
      </c>
      <c r="C34" s="6">
        <v>1740822</v>
      </c>
      <c r="D34" s="6">
        <v>1991265</v>
      </c>
      <c r="E34" s="6">
        <v>2390936</v>
      </c>
      <c r="F34" s="6">
        <v>2752797</v>
      </c>
    </row>
    <row r="35" spans="1:8" x14ac:dyDescent="0.25">
      <c r="A35" s="9" t="s">
        <v>54</v>
      </c>
      <c r="B35" s="6">
        <v>168442</v>
      </c>
      <c r="C35" s="6">
        <v>187299</v>
      </c>
      <c r="D35" s="6">
        <v>210818</v>
      </c>
      <c r="E35" s="6">
        <v>248601</v>
      </c>
      <c r="F35" s="6">
        <v>281388</v>
      </c>
    </row>
    <row r="36" spans="1:8" x14ac:dyDescent="0.25">
      <c r="A36" s="7" t="s">
        <v>25</v>
      </c>
      <c r="B36" s="8">
        <v>2904227</v>
      </c>
      <c r="C36" s="8">
        <v>3242146</v>
      </c>
      <c r="D36" s="8">
        <v>3652199</v>
      </c>
      <c r="E36" s="8">
        <v>4222211</v>
      </c>
      <c r="F36" s="8">
        <v>4737265</v>
      </c>
    </row>
    <row r="37" spans="1:8" x14ac:dyDescent="0.25">
      <c r="B37" s="6"/>
      <c r="C37" s="6"/>
      <c r="D37" s="6"/>
      <c r="E37" s="6"/>
      <c r="F37" s="6"/>
    </row>
    <row r="38" spans="1:8" x14ac:dyDescent="0.25">
      <c r="A38" s="115" t="s">
        <v>146</v>
      </c>
      <c r="B38" s="6"/>
      <c r="C38" s="6"/>
      <c r="D38" s="6"/>
      <c r="E38" s="6"/>
      <c r="F38" s="6"/>
    </row>
    <row r="39" spans="1:8" x14ac:dyDescent="0.25">
      <c r="A39" s="1" t="s">
        <v>147</v>
      </c>
      <c r="B39" s="6"/>
      <c r="C39" s="6"/>
      <c r="D39" s="6"/>
      <c r="E39" s="6"/>
      <c r="F39" s="6"/>
    </row>
    <row r="40" spans="1:8" x14ac:dyDescent="0.25">
      <c r="A40" s="1" t="s">
        <v>148</v>
      </c>
      <c r="B40" s="6">
        <v>6113.4631600268822</v>
      </c>
      <c r="C40" s="6">
        <v>6343.7182891386492</v>
      </c>
      <c r="D40" s="6">
        <v>6670.582166489613</v>
      </c>
      <c r="E40" s="6">
        <v>6973.9181788882661</v>
      </c>
      <c r="F40" s="6">
        <v>7181.2380929335786</v>
      </c>
    </row>
    <row r="41" spans="1:8" x14ac:dyDescent="0.25">
      <c r="A41" s="1" t="s">
        <v>149</v>
      </c>
      <c r="B41" s="6">
        <v>15634.568203603532</v>
      </c>
      <c r="C41" s="6">
        <v>16461.049453690903</v>
      </c>
      <c r="D41" s="6">
        <v>17010.210774259103</v>
      </c>
      <c r="E41" s="6">
        <v>17628.626787611604</v>
      </c>
      <c r="F41" s="6">
        <v>18212.631829364527</v>
      </c>
    </row>
    <row r="42" spans="1:8" x14ac:dyDescent="0.25">
      <c r="B42" s="6"/>
      <c r="C42" s="6"/>
      <c r="D42" s="6"/>
      <c r="E42" s="6"/>
      <c r="F42" s="6"/>
    </row>
    <row r="43" spans="1:8" x14ac:dyDescent="0.25">
      <c r="A43" s="1" t="s">
        <v>150</v>
      </c>
      <c r="B43" s="6"/>
      <c r="C43" s="6"/>
      <c r="D43" s="6"/>
      <c r="E43" s="6"/>
      <c r="F43" s="6"/>
    </row>
    <row r="44" spans="1:8" x14ac:dyDescent="0.25">
      <c r="A44" s="1" t="s">
        <v>151</v>
      </c>
      <c r="B44" s="6">
        <v>4758.9935256987319</v>
      </c>
      <c r="C44" s="6">
        <v>4502.389095589333</v>
      </c>
      <c r="D44" s="6">
        <v>4515.5862537883359</v>
      </c>
      <c r="E44" s="6">
        <v>4520.2349736674087</v>
      </c>
      <c r="F44" s="6">
        <v>4519.9982115970324</v>
      </c>
    </row>
    <row r="45" spans="1:8" x14ac:dyDescent="0.25">
      <c r="A45" s="1" t="s">
        <v>152</v>
      </c>
      <c r="B45" s="6">
        <v>428.3094173128859</v>
      </c>
      <c r="C45" s="6">
        <v>391.70785131627196</v>
      </c>
      <c r="D45" s="6">
        <v>388.34041782579686</v>
      </c>
      <c r="E45" s="6">
        <v>388.74020773539712</v>
      </c>
      <c r="F45" s="6">
        <v>388.71984619734468</v>
      </c>
    </row>
    <row r="48" spans="1:8" x14ac:dyDescent="0.25">
      <c r="A48" s="1" t="s">
        <v>132</v>
      </c>
    </row>
  </sheetData>
  <pageMargins left="0.7" right="0.7" top="0.75" bottom="0.75" header="0.3" footer="0.3"/>
  <pageSetup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149ED-1C98-4ABE-8CCE-9B3B863C22E1}">
  <sheetPr>
    <tabColor rgb="FFFFC000"/>
  </sheetPr>
  <dimension ref="A1:H42"/>
  <sheetViews>
    <sheetView zoomScaleNormal="100" workbookViewId="0"/>
  </sheetViews>
  <sheetFormatPr defaultColWidth="9.109375" defaultRowHeight="13.8" x14ac:dyDescent="0.25"/>
  <cols>
    <col min="1" max="1" width="31.6640625" style="1" customWidth="1"/>
    <col min="2" max="6" width="11.6640625" style="1" customWidth="1"/>
    <col min="7" max="16384" width="9.109375" style="1"/>
  </cols>
  <sheetData>
    <row r="1" spans="1:6" x14ac:dyDescent="0.25">
      <c r="A1" s="115" t="s">
        <v>30</v>
      </c>
      <c r="B1" s="2">
        <v>2020</v>
      </c>
      <c r="C1" s="2">
        <v>2021</v>
      </c>
      <c r="D1" s="2">
        <v>2022</v>
      </c>
      <c r="E1" s="2">
        <v>2023</v>
      </c>
      <c r="F1" s="2">
        <v>2024</v>
      </c>
    </row>
    <row r="2" spans="1:6" x14ac:dyDescent="0.25">
      <c r="A2" s="115" t="s">
        <v>31</v>
      </c>
      <c r="B2" s="115"/>
      <c r="C2" s="5"/>
      <c r="D2" s="5"/>
      <c r="E2" s="5"/>
      <c r="F2" s="5"/>
    </row>
    <row r="3" spans="1:6" x14ac:dyDescent="0.25">
      <c r="A3" s="14" t="s">
        <v>153</v>
      </c>
      <c r="B3" s="5"/>
      <c r="C3" s="5"/>
      <c r="D3" s="5"/>
      <c r="E3" s="5"/>
      <c r="F3" s="5"/>
    </row>
    <row r="4" spans="1:6" x14ac:dyDescent="0.25">
      <c r="A4" s="1" t="s">
        <v>154</v>
      </c>
      <c r="B4" s="6">
        <v>951566</v>
      </c>
      <c r="C4" s="6">
        <v>875810</v>
      </c>
      <c r="D4" s="6">
        <v>834179</v>
      </c>
      <c r="E4" s="6">
        <v>856423</v>
      </c>
      <c r="F4" s="6">
        <v>879265</v>
      </c>
    </row>
    <row r="5" spans="1:6" ht="27.6" x14ac:dyDescent="0.25">
      <c r="A5" s="22" t="s">
        <v>155</v>
      </c>
      <c r="B5" s="6">
        <v>629122</v>
      </c>
      <c r="C5" s="6">
        <v>663278</v>
      </c>
      <c r="D5" s="6">
        <v>601501</v>
      </c>
      <c r="E5" s="6">
        <v>619498</v>
      </c>
      <c r="F5" s="6">
        <v>641395</v>
      </c>
    </row>
    <row r="6" spans="1:6" x14ac:dyDescent="0.25">
      <c r="A6" s="17"/>
      <c r="B6" s="6"/>
      <c r="C6" s="6"/>
      <c r="D6" s="6"/>
      <c r="E6" s="6"/>
      <c r="F6" s="6"/>
    </row>
    <row r="7" spans="1:6" x14ac:dyDescent="0.25">
      <c r="A7" s="14" t="s">
        <v>39</v>
      </c>
      <c r="B7" s="8">
        <v>237596</v>
      </c>
      <c r="C7" s="8">
        <v>207568</v>
      </c>
      <c r="D7" s="8">
        <v>209049</v>
      </c>
      <c r="E7" s="8">
        <v>209433</v>
      </c>
      <c r="F7" s="8">
        <v>210518</v>
      </c>
    </row>
    <row r="8" spans="1:6" x14ac:dyDescent="0.25">
      <c r="A8" s="14"/>
      <c r="B8" s="6"/>
      <c r="C8" s="6"/>
      <c r="D8" s="6"/>
      <c r="E8" s="6"/>
      <c r="F8" s="6"/>
    </row>
    <row r="9" spans="1:6" x14ac:dyDescent="0.25">
      <c r="A9" s="14" t="s">
        <v>156</v>
      </c>
      <c r="B9" s="8">
        <v>84848</v>
      </c>
      <c r="C9" s="8">
        <v>4964</v>
      </c>
      <c r="D9" s="8">
        <v>23629</v>
      </c>
      <c r="E9" s="8">
        <v>27492</v>
      </c>
      <c r="F9" s="8">
        <v>27352</v>
      </c>
    </row>
    <row r="10" spans="1:6" x14ac:dyDescent="0.25">
      <c r="A10" s="17"/>
      <c r="B10" s="6"/>
      <c r="C10" s="6"/>
      <c r="D10" s="6"/>
      <c r="E10" s="6"/>
      <c r="F10" s="6"/>
    </row>
    <row r="11" spans="1:6" x14ac:dyDescent="0.25">
      <c r="A11" s="14" t="s">
        <v>6</v>
      </c>
      <c r="B11" s="8">
        <v>47569</v>
      </c>
      <c r="C11" s="8">
        <v>45890</v>
      </c>
      <c r="D11" s="8">
        <v>48036</v>
      </c>
      <c r="E11" s="8">
        <v>49029</v>
      </c>
      <c r="F11" s="8">
        <v>49847</v>
      </c>
    </row>
    <row r="12" spans="1:6" x14ac:dyDescent="0.25">
      <c r="A12" s="14"/>
      <c r="B12" s="8"/>
      <c r="C12" s="8"/>
      <c r="D12" s="8"/>
      <c r="E12" s="8"/>
      <c r="F12" s="8"/>
    </row>
    <row r="13" spans="1:6" x14ac:dyDescent="0.25">
      <c r="A13" s="14" t="s">
        <v>12</v>
      </c>
      <c r="B13" s="8">
        <v>132417</v>
      </c>
      <c r="C13" s="8">
        <v>50854</v>
      </c>
      <c r="D13" s="8">
        <v>71665</v>
      </c>
      <c r="E13" s="8">
        <v>76521</v>
      </c>
      <c r="F13" s="8">
        <v>77199</v>
      </c>
    </row>
    <row r="14" spans="1:6" x14ac:dyDescent="0.25">
      <c r="A14" s="14" t="s">
        <v>42</v>
      </c>
      <c r="B14" s="8">
        <v>33104</v>
      </c>
      <c r="C14" s="8">
        <v>12714</v>
      </c>
      <c r="D14" s="8">
        <v>17916</v>
      </c>
      <c r="E14" s="8">
        <v>19130</v>
      </c>
      <c r="F14" s="8">
        <v>19300</v>
      </c>
    </row>
    <row r="15" spans="1:6" x14ac:dyDescent="0.25">
      <c r="A15" s="14" t="s">
        <v>14</v>
      </c>
      <c r="B15" s="8">
        <v>99313</v>
      </c>
      <c r="C15" s="8">
        <v>38141</v>
      </c>
      <c r="D15" s="8">
        <v>53749</v>
      </c>
      <c r="E15" s="8">
        <v>57391</v>
      </c>
      <c r="F15" s="8">
        <v>57899</v>
      </c>
    </row>
    <row r="16" spans="1:6" x14ac:dyDescent="0.25">
      <c r="A16" s="14"/>
      <c r="B16" s="6"/>
      <c r="C16" s="6"/>
      <c r="D16" s="6"/>
      <c r="E16" s="6"/>
      <c r="F16" s="6"/>
    </row>
    <row r="17" spans="1:6" x14ac:dyDescent="0.25">
      <c r="A17" s="115" t="s">
        <v>43</v>
      </c>
      <c r="B17" s="6"/>
      <c r="C17" s="6"/>
      <c r="D17" s="6"/>
      <c r="E17" s="6"/>
      <c r="F17" s="6"/>
    </row>
    <row r="18" spans="1:6" x14ac:dyDescent="0.25">
      <c r="A18" s="7" t="s">
        <v>18</v>
      </c>
      <c r="B18" s="8">
        <v>3224866</v>
      </c>
      <c r="C18" s="8">
        <v>3268566</v>
      </c>
      <c r="D18" s="8">
        <v>3318208</v>
      </c>
      <c r="E18" s="8">
        <v>3364294</v>
      </c>
      <c r="F18" s="8">
        <v>3467486</v>
      </c>
    </row>
    <row r="19" spans="1:6" x14ac:dyDescent="0.25">
      <c r="B19" s="6"/>
      <c r="C19" s="6"/>
      <c r="D19" s="6"/>
      <c r="E19" s="6"/>
      <c r="F19" s="6"/>
    </row>
    <row r="20" spans="1:6" x14ac:dyDescent="0.25">
      <c r="A20" s="9" t="s">
        <v>157</v>
      </c>
      <c r="B20" s="6">
        <v>1391689</v>
      </c>
      <c r="C20" s="6">
        <v>1482202</v>
      </c>
      <c r="D20" s="6">
        <v>1536299</v>
      </c>
      <c r="E20" s="6">
        <v>1586024</v>
      </c>
      <c r="F20" s="6">
        <v>1646908</v>
      </c>
    </row>
    <row r="21" spans="1:6" x14ac:dyDescent="0.25">
      <c r="A21" s="17" t="s">
        <v>158</v>
      </c>
      <c r="B21" s="6">
        <v>464207</v>
      </c>
      <c r="C21" s="6">
        <v>411602</v>
      </c>
      <c r="D21" s="6">
        <v>422577</v>
      </c>
      <c r="E21" s="6">
        <v>433847</v>
      </c>
      <c r="F21" s="6">
        <v>445418</v>
      </c>
    </row>
    <row r="22" spans="1:6" x14ac:dyDescent="0.25">
      <c r="A22" s="17" t="s">
        <v>145</v>
      </c>
      <c r="B22" s="6">
        <v>263670</v>
      </c>
      <c r="C22" s="6">
        <v>231321</v>
      </c>
      <c r="D22" s="6">
        <v>240869</v>
      </c>
      <c r="E22" s="6">
        <v>247293</v>
      </c>
      <c r="F22" s="6">
        <v>253889</v>
      </c>
    </row>
    <row r="23" spans="1:6" x14ac:dyDescent="0.25">
      <c r="A23" s="7" t="s">
        <v>23</v>
      </c>
      <c r="B23" s="8">
        <v>2119566</v>
      </c>
      <c r="C23" s="8">
        <v>2125125</v>
      </c>
      <c r="D23" s="8">
        <v>2199745</v>
      </c>
      <c r="E23" s="8">
        <v>2267164</v>
      </c>
      <c r="F23" s="8">
        <v>2346215</v>
      </c>
    </row>
    <row r="24" spans="1:6" x14ac:dyDescent="0.25">
      <c r="A24" s="7"/>
      <c r="B24" s="6"/>
      <c r="C24" s="6"/>
      <c r="D24" s="6"/>
      <c r="E24" s="6"/>
      <c r="F24" s="6"/>
    </row>
    <row r="25" spans="1:6" x14ac:dyDescent="0.25">
      <c r="A25" s="7" t="s">
        <v>24</v>
      </c>
      <c r="B25" s="8">
        <v>1105300</v>
      </c>
      <c r="C25" s="8">
        <v>1143441</v>
      </c>
      <c r="D25" s="8">
        <v>1118463</v>
      </c>
      <c r="E25" s="8">
        <v>1097130</v>
      </c>
      <c r="F25" s="8">
        <v>1121271</v>
      </c>
    </row>
    <row r="26" spans="1:6" x14ac:dyDescent="0.25">
      <c r="A26" s="7" t="s">
        <v>57</v>
      </c>
      <c r="B26" s="23">
        <v>3.8230638326468336</v>
      </c>
      <c r="C26" s="23">
        <v>4.0000005366983613</v>
      </c>
      <c r="D26" s="23">
        <v>3.9999994504105434</v>
      </c>
      <c r="E26" s="23">
        <v>3.9999989252500674</v>
      </c>
      <c r="F26" s="23">
        <v>4</v>
      </c>
    </row>
    <row r="27" spans="1:6" x14ac:dyDescent="0.25">
      <c r="A27" s="7" t="s">
        <v>25</v>
      </c>
      <c r="B27" s="8">
        <v>3224866</v>
      </c>
      <c r="C27" s="8">
        <v>3268566</v>
      </c>
      <c r="D27" s="8">
        <v>3318208</v>
      </c>
      <c r="E27" s="8">
        <v>3364294</v>
      </c>
      <c r="F27" s="8">
        <v>3467486</v>
      </c>
    </row>
    <row r="28" spans="1:6" x14ac:dyDescent="0.25">
      <c r="B28" s="6"/>
      <c r="C28" s="6"/>
      <c r="D28" s="6"/>
      <c r="E28" s="6"/>
      <c r="F28" s="6"/>
    </row>
    <row r="29" spans="1:6" x14ac:dyDescent="0.25">
      <c r="A29" s="7" t="s">
        <v>26</v>
      </c>
      <c r="B29" s="6"/>
      <c r="C29" s="6"/>
      <c r="D29" s="6"/>
      <c r="E29" s="6"/>
      <c r="F29" s="6"/>
    </row>
    <row r="30" spans="1:6" x14ac:dyDescent="0.25">
      <c r="A30" s="1" t="s">
        <v>51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</row>
    <row r="31" spans="1:6" ht="27.6" x14ac:dyDescent="0.25">
      <c r="A31" s="24" t="s">
        <v>46</v>
      </c>
      <c r="B31" s="6">
        <v>0</v>
      </c>
      <c r="C31" s="6">
        <v>0</v>
      </c>
      <c r="D31" s="6">
        <v>-78726</v>
      </c>
      <c r="E31" s="6">
        <v>-78724</v>
      </c>
      <c r="F31" s="6">
        <v>-33759</v>
      </c>
    </row>
    <row r="32" spans="1:6" x14ac:dyDescent="0.25">
      <c r="B32" s="6"/>
      <c r="C32" s="6"/>
      <c r="D32" s="6"/>
      <c r="E32" s="6"/>
      <c r="F32" s="6"/>
    </row>
    <row r="33" spans="1:8" x14ac:dyDescent="0.25">
      <c r="A33" s="115" t="s">
        <v>47</v>
      </c>
      <c r="B33" s="115"/>
      <c r="C33" s="6"/>
      <c r="D33" s="6"/>
      <c r="E33" s="6"/>
      <c r="F33" s="6"/>
    </row>
    <row r="34" spans="1:8" x14ac:dyDescent="0.25">
      <c r="A34" s="7" t="s">
        <v>48</v>
      </c>
      <c r="B34" s="8">
        <v>3239281</v>
      </c>
      <c r="C34" s="8">
        <v>3225673</v>
      </c>
      <c r="D34" s="8">
        <v>3281230</v>
      </c>
      <c r="E34" s="8">
        <v>3357977</v>
      </c>
      <c r="F34" s="8">
        <v>3472568</v>
      </c>
    </row>
    <row r="35" spans="1:8" x14ac:dyDescent="0.25">
      <c r="A35" s="7"/>
      <c r="B35" s="6"/>
      <c r="C35" s="6"/>
      <c r="D35" s="6"/>
      <c r="E35" s="6"/>
      <c r="F35" s="6"/>
    </row>
    <row r="36" spans="1:8" x14ac:dyDescent="0.25">
      <c r="A36" s="9" t="s">
        <v>49</v>
      </c>
      <c r="B36" s="6">
        <v>2021433</v>
      </c>
      <c r="C36" s="6">
        <v>2035457</v>
      </c>
      <c r="D36" s="6">
        <v>2115642</v>
      </c>
      <c r="E36" s="6">
        <v>2189556</v>
      </c>
      <c r="F36" s="6">
        <v>2275326</v>
      </c>
      <c r="H36" s="5"/>
    </row>
    <row r="37" spans="1:8" x14ac:dyDescent="0.25">
      <c r="A37" s="9" t="s">
        <v>50</v>
      </c>
      <c r="B37" s="6">
        <v>1053656</v>
      </c>
      <c r="C37" s="6">
        <v>973777</v>
      </c>
      <c r="D37" s="6">
        <v>954680</v>
      </c>
      <c r="E37" s="6">
        <v>978746</v>
      </c>
      <c r="F37" s="6">
        <v>1006720</v>
      </c>
    </row>
    <row r="38" spans="1:8" x14ac:dyDescent="0.25">
      <c r="A38" s="9" t="s">
        <v>54</v>
      </c>
      <c r="B38" s="6">
        <v>164192</v>
      </c>
      <c r="C38" s="6">
        <v>216439</v>
      </c>
      <c r="D38" s="6">
        <v>210908</v>
      </c>
      <c r="E38" s="6">
        <v>189675</v>
      </c>
      <c r="F38" s="6">
        <v>190522</v>
      </c>
    </row>
    <row r="39" spans="1:8" x14ac:dyDescent="0.25">
      <c r="A39" s="7" t="s">
        <v>25</v>
      </c>
      <c r="B39" s="8">
        <v>3239281</v>
      </c>
      <c r="C39" s="8">
        <v>3225673</v>
      </c>
      <c r="D39" s="8">
        <v>3281230</v>
      </c>
      <c r="E39" s="8">
        <v>3357977</v>
      </c>
      <c r="F39" s="8">
        <v>3472568</v>
      </c>
    </row>
    <row r="42" spans="1:8" x14ac:dyDescent="0.25">
      <c r="A42" s="1" t="s">
        <v>132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49CF3-89BB-4329-9075-2CAF4D5EE6FF}">
  <sheetPr>
    <tabColor rgb="FF0000FF"/>
  </sheetPr>
  <dimension ref="A1:P99"/>
  <sheetViews>
    <sheetView showGridLines="0" zoomScaleNormal="100" workbookViewId="0"/>
  </sheetViews>
  <sheetFormatPr defaultColWidth="9.109375" defaultRowHeight="13.8" x14ac:dyDescent="0.25"/>
  <cols>
    <col min="1" max="1" width="22.33203125" style="1" customWidth="1"/>
    <col min="2" max="2" width="15" style="1" customWidth="1"/>
    <col min="3" max="3" width="13.33203125" style="1" customWidth="1"/>
    <col min="4" max="4" width="9.88671875" style="1" customWidth="1"/>
    <col min="5" max="5" width="13.5546875" style="1" bestFit="1" customWidth="1"/>
    <col min="6" max="6" width="12.33203125" style="1" customWidth="1"/>
    <col min="7" max="7" width="11.109375" style="1" customWidth="1"/>
    <col min="8" max="8" width="12.88671875" style="1" customWidth="1"/>
    <col min="9" max="9" width="15" style="1" customWidth="1"/>
    <col min="10" max="10" width="16.6640625" style="1" customWidth="1"/>
    <col min="11" max="11" width="18.6640625" style="1" customWidth="1"/>
    <col min="12" max="12" width="14.109375" style="1" customWidth="1"/>
    <col min="13" max="13" width="17.109375" style="1" customWidth="1"/>
    <col min="14" max="14" width="19.6640625" style="1" customWidth="1"/>
    <col min="15" max="15" width="17.6640625" style="1" customWidth="1"/>
    <col min="16" max="16" width="19.5546875" style="1" customWidth="1"/>
    <col min="17" max="16384" width="9.109375" style="1"/>
  </cols>
  <sheetData>
    <row r="1" spans="1:15" x14ac:dyDescent="0.25">
      <c r="A1" s="28" t="s">
        <v>133</v>
      </c>
    </row>
    <row r="2" spans="1:15" x14ac:dyDescent="0.25">
      <c r="A2" s="28" t="s">
        <v>134</v>
      </c>
    </row>
    <row r="3" spans="1:15" x14ac:dyDescent="0.25">
      <c r="A3" s="28" t="s">
        <v>135</v>
      </c>
    </row>
    <row r="4" spans="1:15" x14ac:dyDescent="0.25">
      <c r="A4" s="28" t="s">
        <v>136</v>
      </c>
    </row>
    <row r="5" spans="1:15" x14ac:dyDescent="0.25">
      <c r="A5" s="28" t="s">
        <v>137</v>
      </c>
    </row>
    <row r="6" spans="1:15" x14ac:dyDescent="0.25">
      <c r="A6" s="28" t="s">
        <v>138</v>
      </c>
    </row>
    <row r="7" spans="1:15" x14ac:dyDescent="0.25">
      <c r="A7" s="2"/>
      <c r="C7" s="29"/>
    </row>
    <row r="8" spans="1:15" x14ac:dyDescent="0.25">
      <c r="A8" s="30" t="s">
        <v>159</v>
      </c>
      <c r="B8" s="31">
        <v>0.03</v>
      </c>
    </row>
    <row r="9" spans="1:15" x14ac:dyDescent="0.25">
      <c r="A9" s="30" t="s">
        <v>139</v>
      </c>
      <c r="B9" s="31">
        <v>0.3</v>
      </c>
    </row>
    <row r="10" spans="1:15" x14ac:dyDescent="0.25">
      <c r="A10" s="30" t="s">
        <v>160</v>
      </c>
      <c r="B10" s="32">
        <v>1</v>
      </c>
    </row>
    <row r="11" spans="1:15" x14ac:dyDescent="0.25">
      <c r="A11" s="30" t="s">
        <v>161</v>
      </c>
      <c r="B11" s="33">
        <v>30000000</v>
      </c>
    </row>
    <row r="12" spans="1:15" x14ac:dyDescent="0.25">
      <c r="A12" s="30" t="s">
        <v>162</v>
      </c>
      <c r="B12" s="31">
        <v>0.03</v>
      </c>
    </row>
    <row r="13" spans="1:15" x14ac:dyDescent="0.25">
      <c r="A13" s="30" t="s">
        <v>163</v>
      </c>
      <c r="B13" s="159">
        <v>200</v>
      </c>
      <c r="C13" s="1" t="s">
        <v>164</v>
      </c>
    </row>
    <row r="14" spans="1:15" x14ac:dyDescent="0.25">
      <c r="A14" s="30" t="s">
        <v>165</v>
      </c>
      <c r="B14" s="32">
        <v>1E-3</v>
      </c>
    </row>
    <row r="16" spans="1:15" x14ac:dyDescent="0.25">
      <c r="N16" s="34"/>
      <c r="O16" s="34"/>
    </row>
    <row r="17" spans="1:16" x14ac:dyDescent="0.25">
      <c r="A17" s="261" t="s">
        <v>166</v>
      </c>
      <c r="B17" s="261"/>
      <c r="N17" s="34"/>
      <c r="O17" s="34"/>
    </row>
    <row r="18" spans="1:16" ht="41.4" x14ac:dyDescent="0.25">
      <c r="A18" s="35" t="s">
        <v>167</v>
      </c>
      <c r="B18" s="35" t="s">
        <v>168</v>
      </c>
      <c r="C18" s="35" t="s">
        <v>169</v>
      </c>
      <c r="D18" s="35" t="s">
        <v>170</v>
      </c>
      <c r="E18" s="35" t="s">
        <v>171</v>
      </c>
      <c r="F18" s="35" t="s">
        <v>172</v>
      </c>
      <c r="G18" s="35" t="s">
        <v>173</v>
      </c>
      <c r="H18" s="35" t="s">
        <v>174</v>
      </c>
      <c r="I18" s="35" t="s">
        <v>175</v>
      </c>
      <c r="J18" s="35" t="s">
        <v>176</v>
      </c>
      <c r="K18" s="35" t="s">
        <v>177</v>
      </c>
      <c r="L18" s="35" t="s">
        <v>178</v>
      </c>
      <c r="M18" s="35" t="s">
        <v>179</v>
      </c>
      <c r="N18" s="35" t="s">
        <v>180</v>
      </c>
      <c r="O18" s="35" t="s">
        <v>181</v>
      </c>
      <c r="P18" s="35" t="s">
        <v>182</v>
      </c>
    </row>
    <row r="19" spans="1:16" x14ac:dyDescent="0.25">
      <c r="A19" s="36">
        <v>0</v>
      </c>
      <c r="B19" s="37"/>
      <c r="C19" s="37"/>
      <c r="D19" s="38">
        <v>1</v>
      </c>
      <c r="E19" s="39">
        <f>$B$11</f>
        <v>30000000</v>
      </c>
      <c r="F19" s="37"/>
      <c r="G19" s="37"/>
      <c r="H19" s="40">
        <v>1</v>
      </c>
      <c r="I19" s="37"/>
      <c r="J19" s="33">
        <f>$E19*($B$13/10000)</f>
        <v>600000</v>
      </c>
      <c r="K19" s="37"/>
      <c r="L19" s="37"/>
      <c r="M19" s="41">
        <v>1</v>
      </c>
      <c r="N19" s="33">
        <f>J19*M19*H19</f>
        <v>600000</v>
      </c>
      <c r="O19" s="37"/>
      <c r="P19" s="37"/>
    </row>
    <row r="20" spans="1:16" x14ac:dyDescent="0.25">
      <c r="A20" s="36">
        <v>1</v>
      </c>
      <c r="B20" s="42">
        <v>0.21913191736106019</v>
      </c>
      <c r="C20" s="43">
        <f>_xlfn.NORM.INV(B20, 0, 1)</f>
        <v>-0.77512832676338872</v>
      </c>
      <c r="D20" s="44">
        <f>$D$19*EXP(($B$8-($B$9^2)/2)*$A20+$B$9*$C20*SQRT($A20))</f>
        <v>0.78072016404483702</v>
      </c>
      <c r="E20" s="33">
        <f>(E19-J19)*(D20/D19)</f>
        <v>22953172.822918206</v>
      </c>
      <c r="F20" s="45">
        <f>$B$14</f>
        <v>1E-3</v>
      </c>
      <c r="G20" s="41">
        <f>1-F20</f>
        <v>0.999</v>
      </c>
      <c r="H20" s="43">
        <f>H19*G20</f>
        <v>0.999</v>
      </c>
      <c r="I20" s="46">
        <f>H19*F20</f>
        <v>1E-3</v>
      </c>
      <c r="J20" s="33">
        <f t="shared" ref="J20:J28" si="0">$E20*($B$13/10000)</f>
        <v>459063.45645836415</v>
      </c>
      <c r="K20" s="33">
        <f>MIN(0, E20-$B$11)</f>
        <v>-7046827.1770817935</v>
      </c>
      <c r="L20" s="37"/>
      <c r="M20" s="43">
        <f>(1+$B$12)^-A20</f>
        <v>0.970873786407767</v>
      </c>
      <c r="N20" s="33">
        <f t="shared" ref="N20:N29" si="1">J20*M20*H20</f>
        <v>445246.98349699593</v>
      </c>
      <c r="O20" s="33">
        <f>K20*M20*I20</f>
        <v>-6841.579783574557</v>
      </c>
      <c r="P20" s="37"/>
    </row>
    <row r="21" spans="1:16" x14ac:dyDescent="0.25">
      <c r="A21" s="36">
        <f>A20+1</f>
        <v>2</v>
      </c>
      <c r="B21" s="42">
        <v>0.58400707816921804</v>
      </c>
      <c r="C21" s="43">
        <f t="shared" ref="C21:C29" si="2">_xlfn.NORM.INV(B21, 0, 1)</f>
        <v>0.21215534443895664</v>
      </c>
      <c r="D21" s="44">
        <f t="shared" ref="D21:D29" si="3">$D$19*EXP(($B$8-($B$9^2)/2)*$A21+$B$9*$C21*SQRT($A21))</f>
        <v>1.0618470477685447</v>
      </c>
      <c r="E21" s="33">
        <f t="shared" ref="E21:E29" si="4">(E20-J20)*(D21/D20)</f>
        <v>30593937.140307307</v>
      </c>
      <c r="F21" s="45">
        <f t="shared" ref="F21:F29" si="5">$B$14</f>
        <v>1E-3</v>
      </c>
      <c r="G21" s="41">
        <f t="shared" ref="G21:G29" si="6">1-F21</f>
        <v>0.999</v>
      </c>
      <c r="H21" s="43">
        <f t="shared" ref="H21:H29" si="7">H20*G21</f>
        <v>0.99800100000000003</v>
      </c>
      <c r="I21" s="46">
        <f t="shared" ref="I21:I29" si="8">H20*F21</f>
        <v>9.990000000000001E-4</v>
      </c>
      <c r="J21" s="33">
        <f t="shared" si="0"/>
        <v>611878.74280614615</v>
      </c>
      <c r="K21" s="33">
        <f t="shared" ref="K21:K29" si="9">MIN(0, E21-$B$11)</f>
        <v>0</v>
      </c>
      <c r="L21" s="37"/>
      <c r="M21" s="43">
        <f t="shared" ref="M21:M29" si="10">(1+$B$12)^-A21</f>
        <v>0.94259590913375435</v>
      </c>
      <c r="N21" s="33">
        <f t="shared" si="1"/>
        <v>575601.46780966793</v>
      </c>
      <c r="O21" s="33">
        <f t="shared" ref="O21:O29" si="11">K21*M21*I21</f>
        <v>0</v>
      </c>
      <c r="P21" s="37"/>
    </row>
    <row r="22" spans="1:16" x14ac:dyDescent="0.25">
      <c r="A22" s="36">
        <f t="shared" ref="A22:A29" si="12">A21+1</f>
        <v>3</v>
      </c>
      <c r="B22" s="42">
        <v>0.95167887491592751</v>
      </c>
      <c r="C22" s="43">
        <f t="shared" si="2"/>
        <v>1.6613546000794448</v>
      </c>
      <c r="D22" s="44">
        <f t="shared" si="3"/>
        <v>2.2665643278523109</v>
      </c>
      <c r="E22" s="33">
        <f t="shared" si="4"/>
        <v>63998166.385799155</v>
      </c>
      <c r="F22" s="45">
        <f t="shared" si="5"/>
        <v>1E-3</v>
      </c>
      <c r="G22" s="41">
        <f t="shared" si="6"/>
        <v>0.999</v>
      </c>
      <c r="H22" s="43">
        <f t="shared" si="7"/>
        <v>0.997002999</v>
      </c>
      <c r="I22" s="46">
        <f t="shared" si="8"/>
        <v>9.980010000000001E-4</v>
      </c>
      <c r="J22" s="33">
        <f t="shared" si="0"/>
        <v>1279963.3277159831</v>
      </c>
      <c r="K22" s="33">
        <f t="shared" si="9"/>
        <v>0</v>
      </c>
      <c r="L22" s="37"/>
      <c r="M22" s="43">
        <f t="shared" si="10"/>
        <v>0.91514165935315961</v>
      </c>
      <c r="N22" s="33">
        <f t="shared" si="1"/>
        <v>1167837.2332182282</v>
      </c>
      <c r="O22" s="33">
        <f t="shared" si="11"/>
        <v>0</v>
      </c>
      <c r="P22" s="37"/>
    </row>
    <row r="23" spans="1:16" x14ac:dyDescent="0.25">
      <c r="A23" s="36">
        <f t="shared" si="12"/>
        <v>4</v>
      </c>
      <c r="B23" s="42">
        <v>0.39613730759020682</v>
      </c>
      <c r="C23" s="43">
        <f t="shared" si="2"/>
        <v>-0.26335805734076023</v>
      </c>
      <c r="D23" s="44">
        <f t="shared" si="3"/>
        <v>0.80411351303300183</v>
      </c>
      <c r="E23" s="33">
        <f t="shared" si="4"/>
        <v>22250661.043421574</v>
      </c>
      <c r="F23" s="45">
        <f t="shared" si="5"/>
        <v>1E-3</v>
      </c>
      <c r="G23" s="41">
        <f t="shared" si="6"/>
        <v>0.999</v>
      </c>
      <c r="H23" s="43">
        <f t="shared" si="7"/>
        <v>0.99600599600100004</v>
      </c>
      <c r="I23" s="46">
        <f t="shared" si="8"/>
        <v>9.97002999E-4</v>
      </c>
      <c r="J23" s="33">
        <f t="shared" si="0"/>
        <v>445013.2208684315</v>
      </c>
      <c r="K23" s="33">
        <f t="shared" si="9"/>
        <v>-7749338.9565784261</v>
      </c>
      <c r="L23" s="37"/>
      <c r="M23" s="43">
        <f t="shared" si="10"/>
        <v>0.888487047915689</v>
      </c>
      <c r="N23" s="33">
        <f t="shared" si="1"/>
        <v>393809.29971101263</v>
      </c>
      <c r="O23" s="33">
        <f t="shared" si="11"/>
        <v>-6864.5523796266179</v>
      </c>
      <c r="P23" s="37"/>
    </row>
    <row r="24" spans="1:16" x14ac:dyDescent="0.25">
      <c r="A24" s="36">
        <f t="shared" si="12"/>
        <v>5</v>
      </c>
      <c r="B24" s="42">
        <v>0.56172177162554748</v>
      </c>
      <c r="C24" s="43">
        <f t="shared" si="2"/>
        <v>0.155335973872092</v>
      </c>
      <c r="D24" s="44">
        <f t="shared" si="3"/>
        <v>1.0296331143001205</v>
      </c>
      <c r="E24" s="33">
        <f t="shared" si="4"/>
        <v>27921203.552694909</v>
      </c>
      <c r="F24" s="45">
        <f t="shared" si="5"/>
        <v>1E-3</v>
      </c>
      <c r="G24" s="41">
        <f t="shared" si="6"/>
        <v>0.999</v>
      </c>
      <c r="H24" s="43">
        <f t="shared" si="7"/>
        <v>0.99500999000499901</v>
      </c>
      <c r="I24" s="46">
        <f t="shared" si="8"/>
        <v>9.960059960010001E-4</v>
      </c>
      <c r="J24" s="33">
        <f t="shared" si="0"/>
        <v>558424.07105389819</v>
      </c>
      <c r="K24" s="33">
        <f t="shared" si="9"/>
        <v>-2078796.4473050907</v>
      </c>
      <c r="L24" s="37"/>
      <c r="M24" s="43">
        <f t="shared" si="10"/>
        <v>0.86260878438416411</v>
      </c>
      <c r="N24" s="33">
        <f t="shared" si="1"/>
        <v>479297.81375762983</v>
      </c>
      <c r="O24" s="33">
        <f t="shared" si="11"/>
        <v>-1786.0260760438948</v>
      </c>
      <c r="P24" s="37"/>
    </row>
    <row r="25" spans="1:16" x14ac:dyDescent="0.25">
      <c r="A25" s="36">
        <f t="shared" si="12"/>
        <v>6</v>
      </c>
      <c r="B25" s="42">
        <v>0.31889801649771665</v>
      </c>
      <c r="C25" s="43">
        <f t="shared" si="2"/>
        <v>-0.47078254170310541</v>
      </c>
      <c r="D25" s="44">
        <f t="shared" si="3"/>
        <v>0.64664805166325834</v>
      </c>
      <c r="E25" s="33">
        <f t="shared" si="4"/>
        <v>17184847.489993427</v>
      </c>
      <c r="F25" s="45">
        <f t="shared" si="5"/>
        <v>1E-3</v>
      </c>
      <c r="G25" s="41">
        <f t="shared" si="6"/>
        <v>0.999</v>
      </c>
      <c r="H25" s="43">
        <f t="shared" si="7"/>
        <v>0.994014980014994</v>
      </c>
      <c r="I25" s="46">
        <f t="shared" si="8"/>
        <v>9.9500999000499903E-4</v>
      </c>
      <c r="J25" s="33">
        <f t="shared" si="0"/>
        <v>343696.94979986857</v>
      </c>
      <c r="K25" s="33">
        <f t="shared" si="9"/>
        <v>-12815152.510006573</v>
      </c>
      <c r="L25" s="37"/>
      <c r="M25" s="43">
        <f t="shared" si="10"/>
        <v>0.83748425668365445</v>
      </c>
      <c r="N25" s="33">
        <f t="shared" si="1"/>
        <v>286118.05167968484</v>
      </c>
      <c r="O25" s="33">
        <f t="shared" si="11"/>
        <v>-10678.93324937338</v>
      </c>
      <c r="P25" s="37"/>
    </row>
    <row r="26" spans="1:16" x14ac:dyDescent="0.25">
      <c r="A26" s="36">
        <f t="shared" si="12"/>
        <v>7</v>
      </c>
      <c r="B26" s="42">
        <v>0.2384155808504439</v>
      </c>
      <c r="C26" s="43">
        <f t="shared" si="2"/>
        <v>-0.71140845405157016</v>
      </c>
      <c r="D26" s="44">
        <f t="shared" si="3"/>
        <v>0.51188107567084484</v>
      </c>
      <c r="E26" s="33">
        <f t="shared" si="4"/>
        <v>13331310.953269701</v>
      </c>
      <c r="F26" s="45">
        <f t="shared" si="5"/>
        <v>1E-3</v>
      </c>
      <c r="G26" s="41">
        <f t="shared" si="6"/>
        <v>0.999</v>
      </c>
      <c r="H26" s="43">
        <f t="shared" si="7"/>
        <v>0.99302096503497905</v>
      </c>
      <c r="I26" s="46">
        <f t="shared" si="8"/>
        <v>9.9401498001499395E-4</v>
      </c>
      <c r="J26" s="33">
        <f t="shared" si="0"/>
        <v>266626.21906539402</v>
      </c>
      <c r="K26" s="33">
        <f t="shared" si="9"/>
        <v>-16668689.046730299</v>
      </c>
      <c r="L26" s="37"/>
      <c r="M26" s="43">
        <f t="shared" si="10"/>
        <v>0.81309151134335378</v>
      </c>
      <c r="N26" s="33">
        <f t="shared" si="1"/>
        <v>215278.51985738386</v>
      </c>
      <c r="O26" s="33">
        <f t="shared" si="11"/>
        <v>-13472.053578386996</v>
      </c>
      <c r="P26" s="37"/>
    </row>
    <row r="27" spans="1:16" x14ac:dyDescent="0.25">
      <c r="A27" s="36">
        <f t="shared" si="12"/>
        <v>8</v>
      </c>
      <c r="B27" s="42">
        <v>0.2004465665745776</v>
      </c>
      <c r="C27" s="43">
        <f t="shared" si="2"/>
        <v>-0.84002720507006734</v>
      </c>
      <c r="D27" s="44">
        <f t="shared" si="3"/>
        <v>0.43483583074922288</v>
      </c>
      <c r="E27" s="33">
        <f t="shared" si="4"/>
        <v>11098267.370852116</v>
      </c>
      <c r="F27" s="45">
        <f t="shared" si="5"/>
        <v>1E-3</v>
      </c>
      <c r="G27" s="41">
        <f t="shared" si="6"/>
        <v>0.999</v>
      </c>
      <c r="H27" s="43">
        <f t="shared" si="7"/>
        <v>0.9920279440699441</v>
      </c>
      <c r="I27" s="46">
        <f t="shared" si="8"/>
        <v>9.9302096503497907E-4</v>
      </c>
      <c r="J27" s="33">
        <f t="shared" si="0"/>
        <v>221965.34741704233</v>
      </c>
      <c r="K27" s="33">
        <f t="shared" si="9"/>
        <v>-18901732.629147884</v>
      </c>
      <c r="L27" s="37"/>
      <c r="M27" s="43">
        <f t="shared" si="10"/>
        <v>0.78940923431393573</v>
      </c>
      <c r="N27" s="33">
        <f t="shared" si="1"/>
        <v>173824.61939083497</v>
      </c>
      <c r="O27" s="33">
        <f t="shared" si="11"/>
        <v>-14817.066689536261</v>
      </c>
      <c r="P27" s="37"/>
    </row>
    <row r="28" spans="1:16" x14ac:dyDescent="0.25">
      <c r="A28" s="36">
        <f t="shared" si="12"/>
        <v>9</v>
      </c>
      <c r="B28" s="42">
        <v>0.64262652524099306</v>
      </c>
      <c r="C28" s="43">
        <f t="shared" si="2"/>
        <v>0.36548828577144649</v>
      </c>
      <c r="D28" s="44">
        <f t="shared" si="3"/>
        <v>1.2140227803859236</v>
      </c>
      <c r="E28" s="33">
        <f t="shared" si="4"/>
        <v>30365663.289653584</v>
      </c>
      <c r="F28" s="45">
        <f t="shared" si="5"/>
        <v>1E-3</v>
      </c>
      <c r="G28" s="41">
        <f t="shared" si="6"/>
        <v>0.999</v>
      </c>
      <c r="H28" s="43">
        <f t="shared" si="7"/>
        <v>0.99103591612587416</v>
      </c>
      <c r="I28" s="46">
        <f t="shared" si="8"/>
        <v>9.9202794406994411E-4</v>
      </c>
      <c r="J28" s="33">
        <f t="shared" si="0"/>
        <v>607313.26579307171</v>
      </c>
      <c r="K28" s="33">
        <f t="shared" si="9"/>
        <v>0</v>
      </c>
      <c r="L28" s="37"/>
      <c r="M28" s="43">
        <f t="shared" si="10"/>
        <v>0.76641673234362695</v>
      </c>
      <c r="N28" s="33">
        <f t="shared" si="1"/>
        <v>461282.67058207712</v>
      </c>
      <c r="O28" s="33">
        <f t="shared" si="11"/>
        <v>0</v>
      </c>
      <c r="P28" s="37"/>
    </row>
    <row r="29" spans="1:16" x14ac:dyDescent="0.25">
      <c r="A29" s="36">
        <f t="shared" si="12"/>
        <v>10</v>
      </c>
      <c r="B29" s="42">
        <v>6.1450360936032844E-4</v>
      </c>
      <c r="C29" s="43">
        <f t="shared" si="2"/>
        <v>-3.2320612216927156</v>
      </c>
      <c r="D29" s="44">
        <f t="shared" si="3"/>
        <v>4.0107076083709864E-2</v>
      </c>
      <c r="E29" s="33">
        <f t="shared" si="4"/>
        <v>983112.03695307649</v>
      </c>
      <c r="F29" s="45">
        <f t="shared" si="5"/>
        <v>1E-3</v>
      </c>
      <c r="G29" s="41">
        <f t="shared" si="6"/>
        <v>0.999</v>
      </c>
      <c r="H29" s="43">
        <f t="shared" si="7"/>
        <v>0.99004488020974823</v>
      </c>
      <c r="I29" s="46">
        <f t="shared" si="8"/>
        <v>9.9103591612587408E-4</v>
      </c>
      <c r="J29" s="37"/>
      <c r="K29" s="33">
        <f t="shared" si="9"/>
        <v>-29016887.963046923</v>
      </c>
      <c r="L29" s="33">
        <f>MIN(0, E29-$B$11)</f>
        <v>-29016887.963046923</v>
      </c>
      <c r="M29" s="43">
        <f t="shared" si="10"/>
        <v>0.74409391489672516</v>
      </c>
      <c r="N29" s="33">
        <f t="shared" si="1"/>
        <v>0</v>
      </c>
      <c r="O29" s="33">
        <f t="shared" si="11"/>
        <v>-21397.743630161251</v>
      </c>
      <c r="P29" s="33">
        <f>L29*M29*H29</f>
        <v>-21376345.886531092</v>
      </c>
    </row>
    <row r="31" spans="1:16" x14ac:dyDescent="0.25">
      <c r="A31" s="30" t="s">
        <v>183</v>
      </c>
      <c r="B31" s="47">
        <f>-SUM(N19:N29)-SUM(O20:O29)-P29</f>
        <v>16653907.18241428</v>
      </c>
    </row>
    <row r="32" spans="1:16" x14ac:dyDescent="0.25">
      <c r="A32" s="2"/>
      <c r="B32" s="34"/>
    </row>
    <row r="34" spans="1:16" x14ac:dyDescent="0.25">
      <c r="A34" s="261" t="s">
        <v>184</v>
      </c>
      <c r="B34" s="261"/>
      <c r="N34" s="34"/>
      <c r="O34" s="34"/>
    </row>
    <row r="35" spans="1:16" ht="41.4" x14ac:dyDescent="0.25">
      <c r="A35" s="35" t="s">
        <v>167</v>
      </c>
      <c r="B35" s="35" t="s">
        <v>168</v>
      </c>
      <c r="C35" s="35" t="s">
        <v>169</v>
      </c>
      <c r="D35" s="35" t="s">
        <v>170</v>
      </c>
      <c r="E35" s="35" t="s">
        <v>171</v>
      </c>
      <c r="F35" s="35" t="s">
        <v>172</v>
      </c>
      <c r="G35" s="35" t="s">
        <v>173</v>
      </c>
      <c r="H35" s="35" t="s">
        <v>174</v>
      </c>
      <c r="I35" s="35" t="s">
        <v>175</v>
      </c>
      <c r="J35" s="35" t="s">
        <v>176</v>
      </c>
      <c r="K35" s="35" t="s">
        <v>177</v>
      </c>
      <c r="L35" s="35" t="s">
        <v>178</v>
      </c>
      <c r="M35" s="35" t="s">
        <v>179</v>
      </c>
      <c r="N35" s="35" t="s">
        <v>180</v>
      </c>
      <c r="O35" s="35" t="s">
        <v>181</v>
      </c>
      <c r="P35" s="35" t="s">
        <v>182</v>
      </c>
    </row>
    <row r="36" spans="1:16" x14ac:dyDescent="0.25">
      <c r="A36" s="36">
        <v>0</v>
      </c>
      <c r="B36" s="37"/>
      <c r="C36" s="37"/>
      <c r="D36" s="38">
        <v>1</v>
      </c>
      <c r="E36" s="39">
        <f>$B$11</f>
        <v>30000000</v>
      </c>
      <c r="F36" s="37"/>
      <c r="G36" s="37"/>
      <c r="H36" s="40">
        <v>1</v>
      </c>
      <c r="I36" s="37"/>
      <c r="J36" s="33">
        <f>$E36*($B$13/10000)</f>
        <v>600000</v>
      </c>
      <c r="K36" s="37"/>
      <c r="L36" s="37"/>
      <c r="M36" s="41">
        <v>1</v>
      </c>
      <c r="N36" s="33">
        <f>J36*M36*H36</f>
        <v>600000</v>
      </c>
      <c r="O36" s="37"/>
      <c r="P36" s="37"/>
    </row>
    <row r="37" spans="1:16" x14ac:dyDescent="0.25">
      <c r="A37" s="36">
        <v>1</v>
      </c>
      <c r="B37" s="42">
        <v>0.60307613820588812</v>
      </c>
      <c r="C37" s="43">
        <f>_xlfn.NORM.INV(B37, 0, 1)</f>
        <v>0.26131743342917652</v>
      </c>
      <c r="D37" s="44">
        <f>$D$19*EXP(($B$8-($B$9^2)/2)*$A37+$B$9*$C37*SQRT($A37))</f>
        <v>1.0654478530127616</v>
      </c>
      <c r="E37" s="33">
        <f>(E36-J36)*(D37/D36)</f>
        <v>31324166.878575191</v>
      </c>
      <c r="F37" s="45">
        <f>$B$14</f>
        <v>1E-3</v>
      </c>
      <c r="G37" s="41">
        <f>1-F37</f>
        <v>0.999</v>
      </c>
      <c r="H37" s="43">
        <f>H36*G37</f>
        <v>0.999</v>
      </c>
      <c r="I37" s="46">
        <f>H36*F37</f>
        <v>1E-3</v>
      </c>
      <c r="J37" s="33">
        <f t="shared" ref="J37:J45" si="13">$E37*($B$13/10000)</f>
        <v>626483.33757150383</v>
      </c>
      <c r="K37" s="33">
        <f>MIN(0, E37-$B$11)</f>
        <v>0</v>
      </c>
      <c r="L37" s="37"/>
      <c r="M37" s="43">
        <f>(1+$B$12)^-A37</f>
        <v>0.970873786407767</v>
      </c>
      <c r="N37" s="33">
        <f t="shared" ref="N37:N46" si="14">J37*M37*H37</f>
        <v>607628.01381935179</v>
      </c>
      <c r="O37" s="33">
        <f>K37*M37*I37</f>
        <v>0</v>
      </c>
      <c r="P37" s="37"/>
    </row>
    <row r="38" spans="1:16" x14ac:dyDescent="0.25">
      <c r="A38" s="36">
        <f>A37+1</f>
        <v>2</v>
      </c>
      <c r="B38" s="42">
        <v>0.125612</v>
      </c>
      <c r="C38" s="43">
        <f t="shared" ref="C38:C46" si="15">_xlfn.NORM.INV(B38, 0, 1)</f>
        <v>-1.1473814605963528</v>
      </c>
      <c r="D38" s="44">
        <f t="shared" ref="D38:D46" si="16">$D$19*EXP(($B$8-($B$9^2)/2)*$A38+$B$9*$C38*SQRT($A38))</f>
        <v>0.59643039883796678</v>
      </c>
      <c r="E38" s="33">
        <f t="shared" ref="E38:E46" si="17">(E37-J37)*(D38/D37)</f>
        <v>17184352.651319496</v>
      </c>
      <c r="F38" s="45">
        <f t="shared" ref="F38:F46" si="18">$B$14</f>
        <v>1E-3</v>
      </c>
      <c r="G38" s="41">
        <f t="shared" ref="G38:G46" si="19">1-F38</f>
        <v>0.999</v>
      </c>
      <c r="H38" s="43">
        <f t="shared" ref="H38:H46" si="20">H37*G38</f>
        <v>0.99800100000000003</v>
      </c>
      <c r="I38" s="46">
        <f t="shared" ref="I38:I46" si="21">H37*F38</f>
        <v>9.990000000000001E-4</v>
      </c>
      <c r="J38" s="33">
        <f t="shared" si="13"/>
        <v>343687.05302638991</v>
      </c>
      <c r="K38" s="33">
        <f t="shared" ref="K38:K46" si="22">MIN(0, E38-$B$11)</f>
        <v>-12815647.348680504</v>
      </c>
      <c r="L38" s="37"/>
      <c r="M38" s="43">
        <f t="shared" ref="M38:M46" si="23">(1+$B$12)^-A38</f>
        <v>0.94259590913375435</v>
      </c>
      <c r="N38" s="33">
        <f t="shared" si="14"/>
        <v>323310.41814251122</v>
      </c>
      <c r="O38" s="33">
        <f t="shared" ref="O38:O46" si="24">K38*M38*I38</f>
        <v>-12067.896787003321</v>
      </c>
      <c r="P38" s="37"/>
    </row>
    <row r="39" spans="1:16" x14ac:dyDescent="0.25">
      <c r="A39" s="36">
        <f t="shared" ref="A39:A46" si="25">A38+1</f>
        <v>3</v>
      </c>
      <c r="B39" s="42">
        <v>0.55626149999999996</v>
      </c>
      <c r="C39" s="43">
        <f t="shared" si="15"/>
        <v>0.14149741756899981</v>
      </c>
      <c r="D39" s="44">
        <f t="shared" si="16"/>
        <v>1.0289349261003053</v>
      </c>
      <c r="E39" s="33">
        <f t="shared" si="17"/>
        <v>29052759.628985953</v>
      </c>
      <c r="F39" s="45">
        <f t="shared" si="18"/>
        <v>1E-3</v>
      </c>
      <c r="G39" s="41">
        <f t="shared" si="19"/>
        <v>0.999</v>
      </c>
      <c r="H39" s="43">
        <f t="shared" si="20"/>
        <v>0.997002999</v>
      </c>
      <c r="I39" s="46">
        <f t="shared" si="21"/>
        <v>9.980010000000001E-4</v>
      </c>
      <c r="J39" s="33">
        <f t="shared" si="13"/>
        <v>581055.19257971912</v>
      </c>
      <c r="K39" s="33">
        <f t="shared" si="22"/>
        <v>-947240.37101404741</v>
      </c>
      <c r="L39" s="37"/>
      <c r="M39" s="43">
        <f t="shared" si="23"/>
        <v>0.91514165935315961</v>
      </c>
      <c r="N39" s="33">
        <f t="shared" si="14"/>
        <v>530154.16438552586</v>
      </c>
      <c r="O39" s="33">
        <f t="shared" si="24"/>
        <v>-865.12627354535073</v>
      </c>
      <c r="P39" s="37"/>
    </row>
    <row r="40" spans="1:16" x14ac:dyDescent="0.25">
      <c r="A40" s="36">
        <f t="shared" si="25"/>
        <v>4</v>
      </c>
      <c r="B40" s="42">
        <v>0.16918758478035878</v>
      </c>
      <c r="C40" s="43">
        <f t="shared" si="15"/>
        <v>-0.95738063400908457</v>
      </c>
      <c r="D40" s="44">
        <f t="shared" si="16"/>
        <v>0.53023849642097187</v>
      </c>
      <c r="E40" s="33">
        <f t="shared" si="17"/>
        <v>14672253.189149348</v>
      </c>
      <c r="F40" s="45">
        <f t="shared" si="18"/>
        <v>1E-3</v>
      </c>
      <c r="G40" s="41">
        <f t="shared" si="19"/>
        <v>0.999</v>
      </c>
      <c r="H40" s="43">
        <f t="shared" si="20"/>
        <v>0.99600599600100004</v>
      </c>
      <c r="I40" s="46">
        <f t="shared" si="21"/>
        <v>9.97002999E-4</v>
      </c>
      <c r="J40" s="33">
        <f t="shared" si="13"/>
        <v>293445.06378298695</v>
      </c>
      <c r="K40" s="33">
        <f t="shared" si="22"/>
        <v>-15327746.810850652</v>
      </c>
      <c r="L40" s="37"/>
      <c r="M40" s="43">
        <f t="shared" si="23"/>
        <v>0.888487047915689</v>
      </c>
      <c r="N40" s="33">
        <f t="shared" si="14"/>
        <v>259680.81318239609</v>
      </c>
      <c r="O40" s="33">
        <f t="shared" si="24"/>
        <v>-13577.689843521339</v>
      </c>
      <c r="P40" s="37"/>
    </row>
    <row r="41" spans="1:16" x14ac:dyDescent="0.25">
      <c r="A41" s="36">
        <f t="shared" si="25"/>
        <v>5</v>
      </c>
      <c r="B41" s="42">
        <v>7.6269041182611574E-2</v>
      </c>
      <c r="C41" s="43">
        <f t="shared" si="15"/>
        <v>-1.4306237312024623</v>
      </c>
      <c r="D41" s="44">
        <f t="shared" si="16"/>
        <v>0.35533595888914005</v>
      </c>
      <c r="E41" s="33">
        <f t="shared" si="17"/>
        <v>9635866.8927229028</v>
      </c>
      <c r="F41" s="45">
        <f t="shared" si="18"/>
        <v>1E-3</v>
      </c>
      <c r="G41" s="41">
        <f t="shared" si="19"/>
        <v>0.999</v>
      </c>
      <c r="H41" s="43">
        <f t="shared" si="20"/>
        <v>0.99500999000499901</v>
      </c>
      <c r="I41" s="46">
        <f t="shared" si="21"/>
        <v>9.960059960010001E-4</v>
      </c>
      <c r="J41" s="33">
        <f t="shared" si="13"/>
        <v>192717.33785445805</v>
      </c>
      <c r="K41" s="33">
        <f t="shared" si="22"/>
        <v>-20364133.107277095</v>
      </c>
      <c r="L41" s="37"/>
      <c r="M41" s="43">
        <f t="shared" si="23"/>
        <v>0.86260878438416411</v>
      </c>
      <c r="N41" s="33">
        <f t="shared" si="14"/>
        <v>165410.13092882407</v>
      </c>
      <c r="O41" s="33">
        <f t="shared" si="24"/>
        <v>-17496.12031171986</v>
      </c>
      <c r="P41" s="37"/>
    </row>
    <row r="42" spans="1:16" x14ac:dyDescent="0.25">
      <c r="A42" s="36">
        <f t="shared" si="25"/>
        <v>6</v>
      </c>
      <c r="B42" s="42">
        <v>0.71598687464788546</v>
      </c>
      <c r="C42" s="43">
        <f t="shared" si="15"/>
        <v>0.57096074780604777</v>
      </c>
      <c r="D42" s="44">
        <f t="shared" si="16"/>
        <v>1.3903684008159003</v>
      </c>
      <c r="E42" s="33">
        <f t="shared" si="17"/>
        <v>36949417.633704871</v>
      </c>
      <c r="F42" s="45">
        <f t="shared" si="18"/>
        <v>1E-3</v>
      </c>
      <c r="G42" s="41">
        <f t="shared" si="19"/>
        <v>0.999</v>
      </c>
      <c r="H42" s="43">
        <f t="shared" si="20"/>
        <v>0.994014980014994</v>
      </c>
      <c r="I42" s="46">
        <f t="shared" si="21"/>
        <v>9.9500999000499903E-4</v>
      </c>
      <c r="J42" s="33">
        <f t="shared" si="13"/>
        <v>738988.3526740974</v>
      </c>
      <c r="K42" s="33">
        <f t="shared" si="22"/>
        <v>0</v>
      </c>
      <c r="L42" s="37"/>
      <c r="M42" s="43">
        <f t="shared" si="23"/>
        <v>0.83748425668365445</v>
      </c>
      <c r="N42" s="33">
        <f t="shared" si="14"/>
        <v>615187.0355678479</v>
      </c>
      <c r="O42" s="33">
        <f t="shared" si="24"/>
        <v>0</v>
      </c>
      <c r="P42" s="37"/>
    </row>
    <row r="43" spans="1:16" x14ac:dyDescent="0.25">
      <c r="A43" s="36">
        <f t="shared" si="25"/>
        <v>7</v>
      </c>
      <c r="B43" s="42">
        <v>0.92553680098994839</v>
      </c>
      <c r="C43" s="43">
        <f t="shared" si="15"/>
        <v>1.4433340297882917</v>
      </c>
      <c r="D43" s="44">
        <f t="shared" si="16"/>
        <v>2.8309458275078598</v>
      </c>
      <c r="E43" s="33">
        <f t="shared" si="17"/>
        <v>73728490.682935119</v>
      </c>
      <c r="F43" s="45">
        <f t="shared" si="18"/>
        <v>1E-3</v>
      </c>
      <c r="G43" s="41">
        <f t="shared" si="19"/>
        <v>0.999</v>
      </c>
      <c r="H43" s="43">
        <f t="shared" si="20"/>
        <v>0.99302096503497905</v>
      </c>
      <c r="I43" s="46">
        <f t="shared" si="21"/>
        <v>9.9401498001499395E-4</v>
      </c>
      <c r="J43" s="33">
        <f t="shared" si="13"/>
        <v>1474569.8136587024</v>
      </c>
      <c r="K43" s="33">
        <f t="shared" si="22"/>
        <v>0</v>
      </c>
      <c r="L43" s="37"/>
      <c r="M43" s="43">
        <f t="shared" si="23"/>
        <v>0.81309151134335378</v>
      </c>
      <c r="N43" s="33">
        <f t="shared" si="14"/>
        <v>1190592.613222956</v>
      </c>
      <c r="O43" s="33">
        <f t="shared" si="24"/>
        <v>0</v>
      </c>
      <c r="P43" s="37"/>
    </row>
    <row r="44" spans="1:16" x14ac:dyDescent="0.25">
      <c r="A44" s="36">
        <f t="shared" si="25"/>
        <v>8</v>
      </c>
      <c r="B44" s="42">
        <v>0.12633238608826791</v>
      </c>
      <c r="C44" s="43">
        <f t="shared" si="15"/>
        <v>-1.1439008170355722</v>
      </c>
      <c r="D44" s="44">
        <f t="shared" si="16"/>
        <v>0.33600406204350269</v>
      </c>
      <c r="E44" s="33">
        <f t="shared" si="17"/>
        <v>8575794.9427166432</v>
      </c>
      <c r="F44" s="45">
        <f t="shared" si="18"/>
        <v>1E-3</v>
      </c>
      <c r="G44" s="41">
        <f t="shared" si="19"/>
        <v>0.999</v>
      </c>
      <c r="H44" s="43">
        <f t="shared" si="20"/>
        <v>0.9920279440699441</v>
      </c>
      <c r="I44" s="46">
        <f t="shared" si="21"/>
        <v>9.9302096503497907E-4</v>
      </c>
      <c r="J44" s="33">
        <f t="shared" si="13"/>
        <v>171515.89885433286</v>
      </c>
      <c r="K44" s="33">
        <f t="shared" si="22"/>
        <v>-21424205.057283357</v>
      </c>
      <c r="L44" s="37"/>
      <c r="M44" s="43">
        <f t="shared" si="23"/>
        <v>0.78940923431393573</v>
      </c>
      <c r="N44" s="33">
        <f t="shared" si="14"/>
        <v>134316.84803401111</v>
      </c>
      <c r="O44" s="33">
        <f t="shared" si="24"/>
        <v>-16794.43262331123</v>
      </c>
      <c r="P44" s="37"/>
    </row>
    <row r="45" spans="1:16" x14ac:dyDescent="0.25">
      <c r="A45" s="36">
        <f t="shared" si="25"/>
        <v>9</v>
      </c>
      <c r="B45" s="42">
        <v>0.87627135677578372</v>
      </c>
      <c r="C45" s="43">
        <f t="shared" si="15"/>
        <v>1.1565474897635575</v>
      </c>
      <c r="D45" s="44">
        <f t="shared" si="16"/>
        <v>2.4741397028492749</v>
      </c>
      <c r="E45" s="33">
        <f t="shared" si="17"/>
        <v>61884253.213438094</v>
      </c>
      <c r="F45" s="45">
        <f t="shared" si="18"/>
        <v>1E-3</v>
      </c>
      <c r="G45" s="41">
        <f t="shared" si="19"/>
        <v>0.999</v>
      </c>
      <c r="H45" s="43">
        <f t="shared" si="20"/>
        <v>0.99103591612587416</v>
      </c>
      <c r="I45" s="46">
        <f t="shared" si="21"/>
        <v>9.9202794406994411E-4</v>
      </c>
      <c r="J45" s="33">
        <f t="shared" si="13"/>
        <v>1237685.064268762</v>
      </c>
      <c r="K45" s="33">
        <f t="shared" si="22"/>
        <v>0</v>
      </c>
      <c r="L45" s="37"/>
      <c r="M45" s="43">
        <f t="shared" si="23"/>
        <v>0.76641673234362695</v>
      </c>
      <c r="N45" s="33">
        <f t="shared" si="14"/>
        <v>940079.36915373313</v>
      </c>
      <c r="O45" s="33">
        <f t="shared" si="24"/>
        <v>0</v>
      </c>
      <c r="P45" s="37"/>
    </row>
    <row r="46" spans="1:16" x14ac:dyDescent="0.25">
      <c r="A46" s="36">
        <f t="shared" si="25"/>
        <v>10</v>
      </c>
      <c r="B46" s="42">
        <v>0.60134734956617675</v>
      </c>
      <c r="C46" s="43">
        <f t="shared" si="15"/>
        <v>0.25683609994742645</v>
      </c>
      <c r="D46" s="44">
        <f t="shared" si="16"/>
        <v>1.0981820363337444</v>
      </c>
      <c r="E46" s="33">
        <f t="shared" si="17"/>
        <v>26918840.367020831</v>
      </c>
      <c r="F46" s="45">
        <f t="shared" si="18"/>
        <v>1E-3</v>
      </c>
      <c r="G46" s="41">
        <f t="shared" si="19"/>
        <v>0.999</v>
      </c>
      <c r="H46" s="43">
        <f t="shared" si="20"/>
        <v>0.99004488020974823</v>
      </c>
      <c r="I46" s="46">
        <f t="shared" si="21"/>
        <v>9.9103591612587408E-4</v>
      </c>
      <c r="J46" s="37"/>
      <c r="K46" s="33">
        <f t="shared" si="22"/>
        <v>-3081159.6329791695</v>
      </c>
      <c r="L46" s="33">
        <f>MIN(0, E46-$B$11)</f>
        <v>-3081159.6329791695</v>
      </c>
      <c r="M46" s="43">
        <f t="shared" si="23"/>
        <v>0.74409391489672516</v>
      </c>
      <c r="N46" s="33">
        <f t="shared" si="14"/>
        <v>0</v>
      </c>
      <c r="O46" s="33">
        <f t="shared" si="24"/>
        <v>-2272.1204284226428</v>
      </c>
      <c r="P46" s="33">
        <f>L46*M46*H46</f>
        <v>-2269848.3079942199</v>
      </c>
    </row>
    <row r="48" spans="1:16" x14ac:dyDescent="0.25">
      <c r="A48" s="30" t="s">
        <v>183</v>
      </c>
      <c r="B48" s="47">
        <f>-SUM(N36:N46)-SUM(O37:O46)-P46</f>
        <v>-3033437.7121754144</v>
      </c>
    </row>
    <row r="51" spans="1:16" x14ac:dyDescent="0.25">
      <c r="A51" s="261" t="s">
        <v>185</v>
      </c>
      <c r="B51" s="261"/>
      <c r="N51" s="34"/>
      <c r="O51" s="34"/>
    </row>
    <row r="52" spans="1:16" ht="41.4" x14ac:dyDescent="0.25">
      <c r="A52" s="35" t="s">
        <v>167</v>
      </c>
      <c r="B52" s="35" t="s">
        <v>168</v>
      </c>
      <c r="C52" s="35" t="s">
        <v>169</v>
      </c>
      <c r="D52" s="35" t="s">
        <v>170</v>
      </c>
      <c r="E52" s="35" t="s">
        <v>171</v>
      </c>
      <c r="F52" s="35" t="s">
        <v>172</v>
      </c>
      <c r="G52" s="35" t="s">
        <v>173</v>
      </c>
      <c r="H52" s="35" t="s">
        <v>174</v>
      </c>
      <c r="I52" s="35" t="s">
        <v>175</v>
      </c>
      <c r="J52" s="35" t="s">
        <v>176</v>
      </c>
      <c r="K52" s="35" t="s">
        <v>177</v>
      </c>
      <c r="L52" s="35" t="s">
        <v>178</v>
      </c>
      <c r="M52" s="35" t="s">
        <v>179</v>
      </c>
      <c r="N52" s="35" t="s">
        <v>180</v>
      </c>
      <c r="O52" s="35" t="s">
        <v>181</v>
      </c>
      <c r="P52" s="35" t="s">
        <v>182</v>
      </c>
    </row>
    <row r="53" spans="1:16" x14ac:dyDescent="0.25">
      <c r="A53" s="36">
        <v>0</v>
      </c>
      <c r="B53" s="37"/>
      <c r="C53" s="37"/>
      <c r="D53" s="38">
        <v>1</v>
      </c>
      <c r="E53" s="39">
        <f>$B$11</f>
        <v>30000000</v>
      </c>
      <c r="F53" s="37"/>
      <c r="G53" s="37"/>
      <c r="H53" s="40">
        <v>1</v>
      </c>
      <c r="I53" s="37"/>
      <c r="J53" s="33">
        <f>$E53*($B$13/10000)</f>
        <v>600000</v>
      </c>
      <c r="K53" s="37"/>
      <c r="L53" s="37"/>
      <c r="M53" s="41">
        <v>1</v>
      </c>
      <c r="N53" s="33">
        <f>J53*M53*H53</f>
        <v>600000</v>
      </c>
      <c r="O53" s="37"/>
      <c r="P53" s="37"/>
    </row>
    <row r="54" spans="1:16" x14ac:dyDescent="0.25">
      <c r="A54" s="36">
        <v>1</v>
      </c>
      <c r="B54" s="42">
        <v>0.32675884366408703</v>
      </c>
      <c r="C54" s="43">
        <f>_xlfn.NORM.INV(B54, 0, 1)</f>
        <v>-0.44888074439504494</v>
      </c>
      <c r="D54" s="44">
        <f>$D$19*EXP(($B$8-($B$9^2)/2)*$A54+$B$9*$C54*SQRT($A54))</f>
        <v>0.86099703061922406</v>
      </c>
      <c r="E54" s="33">
        <f>(E53-J53)*(D54/D53)</f>
        <v>25313312.700205188</v>
      </c>
      <c r="F54" s="45">
        <f>$B$14</f>
        <v>1E-3</v>
      </c>
      <c r="G54" s="41">
        <f>1-F54</f>
        <v>0.999</v>
      </c>
      <c r="H54" s="43">
        <f>H53*G54</f>
        <v>0.999</v>
      </c>
      <c r="I54" s="46">
        <f>H53*F54</f>
        <v>1E-3</v>
      </c>
      <c r="J54" s="33">
        <f t="shared" ref="J54:J62" si="26">$E54*($B$13/10000)</f>
        <v>506266.25400410377</v>
      </c>
      <c r="K54" s="33">
        <f>MIN(0, E54-$B$11)</f>
        <v>-4686687.2997948118</v>
      </c>
      <c r="L54" s="37"/>
      <c r="M54" s="43">
        <f>(1+$B$12)^-A54</f>
        <v>0.970873786407767</v>
      </c>
      <c r="N54" s="33">
        <f t="shared" ref="N54:N63" si="27">J54*M54*H54</f>
        <v>491029.11432048515</v>
      </c>
      <c r="O54" s="33">
        <f>K54*M54*I54</f>
        <v>-4550.1818444609817</v>
      </c>
      <c r="P54" s="37"/>
    </row>
    <row r="55" spans="1:16" x14ac:dyDescent="0.25">
      <c r="A55" s="36">
        <f>A54+1</f>
        <v>2</v>
      </c>
      <c r="B55" s="42">
        <v>0.52446832202340377</v>
      </c>
      <c r="C55" s="43">
        <f t="shared" ref="C55:C63" si="28">_xlfn.NORM.INV(B55, 0, 1)</f>
        <v>6.1371491605184153E-2</v>
      </c>
      <c r="D55" s="44">
        <f t="shared" ref="D55:D63" si="29">$D$19*EXP(($B$8-($B$9^2)/2)*$A55+$B$9*$C55*SQRT($A55))</f>
        <v>0.99604555821026997</v>
      </c>
      <c r="E55" s="33">
        <f t="shared" ref="E55:E63" si="30">(E54-J54)*(D55/D54)</f>
        <v>28698064.623154301</v>
      </c>
      <c r="F55" s="45">
        <f t="shared" ref="F55:F63" si="31">$B$14</f>
        <v>1E-3</v>
      </c>
      <c r="G55" s="41">
        <f t="shared" ref="G55:G63" si="32">1-F55</f>
        <v>0.999</v>
      </c>
      <c r="H55" s="43">
        <f t="shared" ref="H55:H63" si="33">H54*G55</f>
        <v>0.99800100000000003</v>
      </c>
      <c r="I55" s="46">
        <f t="shared" ref="I55:I63" si="34">H54*F55</f>
        <v>9.990000000000001E-4</v>
      </c>
      <c r="J55" s="33">
        <f t="shared" si="26"/>
        <v>573961.29246308608</v>
      </c>
      <c r="K55" s="33">
        <f t="shared" ref="K55:K63" si="35">MIN(0, E55-$B$11)</f>
        <v>-1301935.3768456988</v>
      </c>
      <c r="L55" s="37"/>
      <c r="M55" s="43">
        <f t="shared" ref="M55:M63" si="36">(1+$B$12)^-A55</f>
        <v>0.94259590913375435</v>
      </c>
      <c r="N55" s="33">
        <f t="shared" si="27"/>
        <v>539932.08015783993</v>
      </c>
      <c r="O55" s="33">
        <f t="shared" ref="O55:O63" si="37">K55*M55*I55</f>
        <v>-1225.9717612110974</v>
      </c>
      <c r="P55" s="37"/>
    </row>
    <row r="56" spans="1:16" x14ac:dyDescent="0.25">
      <c r="A56" s="36">
        <f t="shared" ref="A56:A63" si="38">A55+1</f>
        <v>3</v>
      </c>
      <c r="B56" s="42">
        <v>0.96150861201037574</v>
      </c>
      <c r="C56" s="43">
        <f t="shared" si="28"/>
        <v>1.7684675288559475</v>
      </c>
      <c r="D56" s="44">
        <f t="shared" si="29"/>
        <v>2.3962923375024832</v>
      </c>
      <c r="E56" s="33">
        <f t="shared" si="30"/>
        <v>67661135.331559122</v>
      </c>
      <c r="F56" s="45">
        <f t="shared" si="31"/>
        <v>1E-3</v>
      </c>
      <c r="G56" s="41">
        <f t="shared" si="32"/>
        <v>0.999</v>
      </c>
      <c r="H56" s="43">
        <f t="shared" si="33"/>
        <v>0.997002999</v>
      </c>
      <c r="I56" s="46">
        <f t="shared" si="34"/>
        <v>9.980010000000001E-4</v>
      </c>
      <c r="J56" s="33">
        <f t="shared" si="26"/>
        <v>1353222.7066311825</v>
      </c>
      <c r="K56" s="33">
        <f t="shared" si="35"/>
        <v>0</v>
      </c>
      <c r="L56" s="37"/>
      <c r="M56" s="43">
        <f t="shared" si="36"/>
        <v>0.91514165935315961</v>
      </c>
      <c r="N56" s="33">
        <f t="shared" si="27"/>
        <v>1234679.0157342011</v>
      </c>
      <c r="O56" s="33">
        <f t="shared" si="37"/>
        <v>0</v>
      </c>
      <c r="P56" s="37"/>
    </row>
    <row r="57" spans="1:16" x14ac:dyDescent="0.25">
      <c r="A57" s="36">
        <f t="shared" si="38"/>
        <v>4</v>
      </c>
      <c r="B57" s="42">
        <v>0.91376456108351245</v>
      </c>
      <c r="C57" s="43">
        <f t="shared" si="28"/>
        <v>1.3643072729777905</v>
      </c>
      <c r="D57" s="44">
        <f t="shared" si="29"/>
        <v>2.1352513408147611</v>
      </c>
      <c r="E57" s="33">
        <f t="shared" si="30"/>
        <v>59084635.510945328</v>
      </c>
      <c r="F57" s="45">
        <f t="shared" si="31"/>
        <v>1E-3</v>
      </c>
      <c r="G57" s="41">
        <f t="shared" si="32"/>
        <v>0.999</v>
      </c>
      <c r="H57" s="43">
        <f t="shared" si="33"/>
        <v>0.99600599600100004</v>
      </c>
      <c r="I57" s="46">
        <f t="shared" si="34"/>
        <v>9.97002999E-4</v>
      </c>
      <c r="J57" s="33">
        <f t="shared" si="26"/>
        <v>1181692.7102189066</v>
      </c>
      <c r="K57" s="33">
        <f t="shared" si="35"/>
        <v>0</v>
      </c>
      <c r="L57" s="37"/>
      <c r="M57" s="43">
        <f t="shared" si="36"/>
        <v>0.888487047915689</v>
      </c>
      <c r="N57" s="33">
        <f t="shared" si="27"/>
        <v>1045725.2882886837</v>
      </c>
      <c r="O57" s="33">
        <f t="shared" si="37"/>
        <v>0</v>
      </c>
      <c r="P57" s="37"/>
    </row>
    <row r="58" spans="1:16" x14ac:dyDescent="0.25">
      <c r="A58" s="36">
        <f t="shared" si="38"/>
        <v>5</v>
      </c>
      <c r="B58" s="42">
        <v>0.91710192469551111</v>
      </c>
      <c r="C58" s="43">
        <f t="shared" si="28"/>
        <v>1.3858387383072091</v>
      </c>
      <c r="D58" s="44">
        <f t="shared" si="29"/>
        <v>2.3505489283531551</v>
      </c>
      <c r="E58" s="33">
        <f t="shared" si="30"/>
        <v>63741301.80703111</v>
      </c>
      <c r="F58" s="45">
        <f t="shared" si="31"/>
        <v>1E-3</v>
      </c>
      <c r="G58" s="41">
        <f t="shared" si="32"/>
        <v>0.999</v>
      </c>
      <c r="H58" s="43">
        <f t="shared" si="33"/>
        <v>0.99500999000499901</v>
      </c>
      <c r="I58" s="46">
        <f t="shared" si="34"/>
        <v>9.960059960010001E-4</v>
      </c>
      <c r="J58" s="33">
        <f t="shared" si="26"/>
        <v>1274826.0361406223</v>
      </c>
      <c r="K58" s="33">
        <f t="shared" si="35"/>
        <v>0</v>
      </c>
      <c r="L58" s="37"/>
      <c r="M58" s="43">
        <f t="shared" si="36"/>
        <v>0.86260878438416411</v>
      </c>
      <c r="N58" s="33">
        <f t="shared" si="27"/>
        <v>1094188.7424199712</v>
      </c>
      <c r="O58" s="33">
        <f t="shared" si="37"/>
        <v>0</v>
      </c>
      <c r="P58" s="37"/>
    </row>
    <row r="59" spans="1:16" x14ac:dyDescent="0.25">
      <c r="A59" s="36">
        <f t="shared" si="38"/>
        <v>6</v>
      </c>
      <c r="B59" s="42">
        <v>0.81511346916180294</v>
      </c>
      <c r="C59" s="43">
        <f t="shared" si="28"/>
        <v>0.89689853544314979</v>
      </c>
      <c r="D59" s="44">
        <f t="shared" si="29"/>
        <v>1.7666465214384333</v>
      </c>
      <c r="E59" s="33">
        <f t="shared" si="30"/>
        <v>46949110.820883773</v>
      </c>
      <c r="F59" s="45">
        <f t="shared" si="31"/>
        <v>1E-3</v>
      </c>
      <c r="G59" s="41">
        <f t="shared" si="32"/>
        <v>0.999</v>
      </c>
      <c r="H59" s="43">
        <f t="shared" si="33"/>
        <v>0.994014980014994</v>
      </c>
      <c r="I59" s="46">
        <f t="shared" si="34"/>
        <v>9.9500999000499903E-4</v>
      </c>
      <c r="J59" s="33">
        <f t="shared" si="26"/>
        <v>938982.21641767549</v>
      </c>
      <c r="K59" s="33">
        <f t="shared" si="35"/>
        <v>0</v>
      </c>
      <c r="L59" s="37"/>
      <c r="M59" s="43">
        <f t="shared" si="36"/>
        <v>0.83748425668365445</v>
      </c>
      <c r="N59" s="33">
        <f t="shared" si="27"/>
        <v>781676.30664088076</v>
      </c>
      <c r="O59" s="33">
        <f t="shared" si="37"/>
        <v>0</v>
      </c>
      <c r="P59" s="37"/>
    </row>
    <row r="60" spans="1:16" x14ac:dyDescent="0.25">
      <c r="A60" s="36">
        <f t="shared" si="38"/>
        <v>7</v>
      </c>
      <c r="B60" s="42">
        <v>0.57402186024259994</v>
      </c>
      <c r="C60" s="43">
        <f t="shared" si="28"/>
        <v>0.18662293961763901</v>
      </c>
      <c r="D60" s="44">
        <f t="shared" si="29"/>
        <v>1.0440708656693776</v>
      </c>
      <c r="E60" s="33">
        <f t="shared" si="30"/>
        <v>27191537.310197793</v>
      </c>
      <c r="F60" s="45">
        <f t="shared" si="31"/>
        <v>1E-3</v>
      </c>
      <c r="G60" s="41">
        <f t="shared" si="32"/>
        <v>0.999</v>
      </c>
      <c r="H60" s="43">
        <f t="shared" si="33"/>
        <v>0.99302096503497905</v>
      </c>
      <c r="I60" s="46">
        <f t="shared" si="34"/>
        <v>9.9401498001499395E-4</v>
      </c>
      <c r="J60" s="33">
        <f t="shared" si="26"/>
        <v>543830.74620395584</v>
      </c>
      <c r="K60" s="33">
        <f t="shared" si="35"/>
        <v>-2808462.6898022071</v>
      </c>
      <c r="L60" s="37"/>
      <c r="M60" s="43">
        <f t="shared" si="36"/>
        <v>0.81309151134335378</v>
      </c>
      <c r="N60" s="33">
        <f t="shared" si="27"/>
        <v>439098.14460898837</v>
      </c>
      <c r="O60" s="33">
        <f t="shared" si="37"/>
        <v>-2269.8701573857716</v>
      </c>
      <c r="P60" s="37"/>
    </row>
    <row r="61" spans="1:16" x14ac:dyDescent="0.25">
      <c r="A61" s="36">
        <f t="shared" si="38"/>
        <v>8</v>
      </c>
      <c r="B61" s="42">
        <v>0.26994487462196859</v>
      </c>
      <c r="C61" s="43">
        <f t="shared" si="28"/>
        <v>-0.61297972000943313</v>
      </c>
      <c r="D61" s="44">
        <f t="shared" si="29"/>
        <v>0.52722359573075805</v>
      </c>
      <c r="E61" s="33">
        <f t="shared" si="30"/>
        <v>13456270.196410116</v>
      </c>
      <c r="F61" s="45">
        <f t="shared" si="31"/>
        <v>1E-3</v>
      </c>
      <c r="G61" s="41">
        <f t="shared" si="32"/>
        <v>0.999</v>
      </c>
      <c r="H61" s="43">
        <f t="shared" si="33"/>
        <v>0.9920279440699441</v>
      </c>
      <c r="I61" s="46">
        <f t="shared" si="34"/>
        <v>9.9302096503497907E-4</v>
      </c>
      <c r="J61" s="33">
        <f t="shared" si="26"/>
        <v>269125.40392820234</v>
      </c>
      <c r="K61" s="33">
        <f t="shared" si="35"/>
        <v>-16543729.803589884</v>
      </c>
      <c r="L61" s="37"/>
      <c r="M61" s="43">
        <f t="shared" si="36"/>
        <v>0.78940923431393573</v>
      </c>
      <c r="N61" s="33">
        <f t="shared" si="27"/>
        <v>210756.41513686435</v>
      </c>
      <c r="O61" s="33">
        <f t="shared" si="37"/>
        <v>-12968.628464009267</v>
      </c>
      <c r="P61" s="37"/>
    </row>
    <row r="62" spans="1:16" x14ac:dyDescent="0.25">
      <c r="A62" s="36">
        <f t="shared" si="38"/>
        <v>9</v>
      </c>
      <c r="B62" s="42">
        <v>0.10093917427203503</v>
      </c>
      <c r="C62" s="43">
        <f t="shared" si="28"/>
        <v>-1.2762183363088935</v>
      </c>
      <c r="D62" s="44">
        <f t="shared" si="29"/>
        <v>0.27703913458656082</v>
      </c>
      <c r="E62" s="33">
        <f t="shared" si="30"/>
        <v>6929422.7545205569</v>
      </c>
      <c r="F62" s="45">
        <f t="shared" si="31"/>
        <v>1E-3</v>
      </c>
      <c r="G62" s="41">
        <f t="shared" si="32"/>
        <v>0.999</v>
      </c>
      <c r="H62" s="43">
        <f t="shared" si="33"/>
        <v>0.99103591612587416</v>
      </c>
      <c r="I62" s="46">
        <f t="shared" si="34"/>
        <v>9.9202794406994411E-4</v>
      </c>
      <c r="J62" s="33">
        <f t="shared" si="26"/>
        <v>138588.45509041115</v>
      </c>
      <c r="K62" s="33">
        <f t="shared" si="35"/>
        <v>-23070577.245479442</v>
      </c>
      <c r="L62" s="37"/>
      <c r="M62" s="43">
        <f t="shared" si="36"/>
        <v>0.76641673234362695</v>
      </c>
      <c r="N62" s="33">
        <f t="shared" si="27"/>
        <v>105264.37717850099</v>
      </c>
      <c r="O62" s="33">
        <f t="shared" si="37"/>
        <v>-17540.717112358267</v>
      </c>
      <c r="P62" s="37"/>
    </row>
    <row r="63" spans="1:16" x14ac:dyDescent="0.25">
      <c r="A63" s="36">
        <f t="shared" si="38"/>
        <v>10</v>
      </c>
      <c r="B63" s="42">
        <v>6.6990928903821745E-3</v>
      </c>
      <c r="C63" s="43">
        <f t="shared" si="28"/>
        <v>-2.4730060953234205</v>
      </c>
      <c r="D63" s="44">
        <f t="shared" si="29"/>
        <v>8.2405789912203486E-2</v>
      </c>
      <c r="E63" s="33">
        <f t="shared" si="30"/>
        <v>2019945.9020204886</v>
      </c>
      <c r="F63" s="45">
        <f t="shared" si="31"/>
        <v>1E-3</v>
      </c>
      <c r="G63" s="41">
        <f t="shared" si="32"/>
        <v>0.999</v>
      </c>
      <c r="H63" s="43">
        <f t="shared" si="33"/>
        <v>0.99004488020974823</v>
      </c>
      <c r="I63" s="46">
        <f t="shared" si="34"/>
        <v>9.9103591612587408E-4</v>
      </c>
      <c r="J63" s="37"/>
      <c r="K63" s="33">
        <f t="shared" si="35"/>
        <v>-27980054.097979512</v>
      </c>
      <c r="L63" s="33">
        <f>MIN(0, E63-$B$11)</f>
        <v>-27980054.097979512</v>
      </c>
      <c r="M63" s="43">
        <f t="shared" si="36"/>
        <v>0.74409391489672516</v>
      </c>
      <c r="N63" s="33">
        <f t="shared" si="27"/>
        <v>0</v>
      </c>
      <c r="O63" s="33">
        <f t="shared" si="37"/>
        <v>-20633.157666978866</v>
      </c>
      <c r="P63" s="33">
        <f>L63*M63*H63</f>
        <v>-20612524.509311885</v>
      </c>
    </row>
    <row r="65" spans="1:16" x14ac:dyDescent="0.25">
      <c r="A65" s="30" t="s">
        <v>183</v>
      </c>
      <c r="B65" s="47">
        <f>-SUM(N53:N63)-SUM(O54:O63)-P63</f>
        <v>14129363.551831873</v>
      </c>
    </row>
    <row r="68" spans="1:16" x14ac:dyDescent="0.25">
      <c r="A68" s="261" t="s">
        <v>186</v>
      </c>
      <c r="B68" s="261"/>
      <c r="N68" s="34"/>
      <c r="O68" s="34"/>
    </row>
    <row r="69" spans="1:16" ht="41.4" x14ac:dyDescent="0.25">
      <c r="A69" s="35" t="s">
        <v>167</v>
      </c>
      <c r="B69" s="35" t="s">
        <v>168</v>
      </c>
      <c r="C69" s="35" t="s">
        <v>169</v>
      </c>
      <c r="D69" s="35" t="s">
        <v>170</v>
      </c>
      <c r="E69" s="35" t="s">
        <v>171</v>
      </c>
      <c r="F69" s="35" t="s">
        <v>172</v>
      </c>
      <c r="G69" s="35" t="s">
        <v>173</v>
      </c>
      <c r="H69" s="35" t="s">
        <v>174</v>
      </c>
      <c r="I69" s="35" t="s">
        <v>175</v>
      </c>
      <c r="J69" s="35" t="s">
        <v>176</v>
      </c>
      <c r="K69" s="35" t="s">
        <v>177</v>
      </c>
      <c r="L69" s="35" t="s">
        <v>178</v>
      </c>
      <c r="M69" s="35" t="s">
        <v>179</v>
      </c>
      <c r="N69" s="35" t="s">
        <v>180</v>
      </c>
      <c r="O69" s="35" t="s">
        <v>181</v>
      </c>
      <c r="P69" s="35" t="s">
        <v>182</v>
      </c>
    </row>
    <row r="70" spans="1:16" x14ac:dyDescent="0.25">
      <c r="A70" s="36">
        <v>0</v>
      </c>
      <c r="B70" s="37"/>
      <c r="C70" s="37"/>
      <c r="D70" s="38">
        <v>1</v>
      </c>
      <c r="E70" s="39">
        <f>$B$11</f>
        <v>30000000</v>
      </c>
      <c r="F70" s="37"/>
      <c r="G70" s="37"/>
      <c r="H70" s="40">
        <v>1</v>
      </c>
      <c r="I70" s="37"/>
      <c r="J70" s="33">
        <f>$E70*($B$13/10000)</f>
        <v>600000</v>
      </c>
      <c r="K70" s="37"/>
      <c r="L70" s="37"/>
      <c r="M70" s="41">
        <v>1</v>
      </c>
      <c r="N70" s="33">
        <f>J70*M70*H70</f>
        <v>600000</v>
      </c>
      <c r="O70" s="37"/>
      <c r="P70" s="37"/>
    </row>
    <row r="71" spans="1:16" x14ac:dyDescent="0.25">
      <c r="A71" s="36">
        <v>1</v>
      </c>
      <c r="B71" s="42">
        <v>0.28965676326196632</v>
      </c>
      <c r="C71" s="43">
        <f>_xlfn.NORM.INV(B71, 0, 1)</f>
        <v>-0.55438772271986292</v>
      </c>
      <c r="D71" s="44">
        <f>$D$19*EXP(($B$8-($B$9^2)/2)*$A71+$B$9*$C71*SQRT($A71))</f>
        <v>0.83417145450087116</v>
      </c>
      <c r="E71" s="33">
        <f>(E70-J70)*(D71/D70)</f>
        <v>24524640.762325611</v>
      </c>
      <c r="F71" s="45">
        <f>$B$14</f>
        <v>1E-3</v>
      </c>
      <c r="G71" s="41">
        <f>1-F71</f>
        <v>0.999</v>
      </c>
      <c r="H71" s="43">
        <f>H70*G71</f>
        <v>0.999</v>
      </c>
      <c r="I71" s="46">
        <f>H70*F71</f>
        <v>1E-3</v>
      </c>
      <c r="J71" s="33">
        <f t="shared" ref="J71:J79" si="39">$E71*($B$13/10000)</f>
        <v>490492.81524651224</v>
      </c>
      <c r="K71" s="33">
        <f>MIN(0, E71-$B$11)</f>
        <v>-5475359.237674389</v>
      </c>
      <c r="L71" s="37"/>
      <c r="M71" s="43">
        <f>(1+$B$12)^-A71</f>
        <v>0.970873786407767</v>
      </c>
      <c r="N71" s="33">
        <f t="shared" ref="N71:N80" si="40">J71*M71*H71</f>
        <v>475730.4101274425</v>
      </c>
      <c r="O71" s="33">
        <f>K71*M71*I71</f>
        <v>-5315.8827550236792</v>
      </c>
      <c r="P71" s="37"/>
    </row>
    <row r="72" spans="1:16" x14ac:dyDescent="0.25">
      <c r="A72" s="36">
        <f>A71+1</f>
        <v>2</v>
      </c>
      <c r="B72" s="42">
        <v>0.4177789417150769</v>
      </c>
      <c r="C72" s="43">
        <f t="shared" ref="C72:C80" si="41">_xlfn.NORM.INV(B72, 0, 1)</f>
        <v>-0.20757876865074912</v>
      </c>
      <c r="D72" s="44">
        <f t="shared" ref="D72:D80" si="42">$D$19*EXP(($B$8-($B$9^2)/2)*$A72+$B$9*$C72*SQRT($A72))</f>
        <v>0.88863543408852297</v>
      </c>
      <c r="E72" s="33">
        <f t="shared" ref="E72:E80" si="43">(E71-J71)*(D72/D71)</f>
        <v>25603364.126958523</v>
      </c>
      <c r="F72" s="45">
        <f t="shared" ref="F72:F80" si="44">$B$14</f>
        <v>1E-3</v>
      </c>
      <c r="G72" s="41">
        <f t="shared" ref="G72:G80" si="45">1-F72</f>
        <v>0.999</v>
      </c>
      <c r="H72" s="43">
        <f t="shared" ref="H72:H80" si="46">H71*G72</f>
        <v>0.99800100000000003</v>
      </c>
      <c r="I72" s="46">
        <f t="shared" ref="I72:I80" si="47">H71*F72</f>
        <v>9.990000000000001E-4</v>
      </c>
      <c r="J72" s="33">
        <f t="shared" si="39"/>
        <v>512067.28253917047</v>
      </c>
      <c r="K72" s="33">
        <f t="shared" ref="K72:K80" si="48">MIN(0, E72-$B$11)</f>
        <v>-4396635.8730414771</v>
      </c>
      <c r="L72" s="37"/>
      <c r="M72" s="43">
        <f t="shared" ref="M72:M80" si="49">(1+$B$12)^-A72</f>
        <v>0.94259590913375435</v>
      </c>
      <c r="N72" s="33">
        <f t="shared" si="40"/>
        <v>481707.6633437408</v>
      </c>
      <c r="O72" s="33">
        <f t="shared" ref="O72:O80" si="50">K72*M72*I72</f>
        <v>-4140.1067368917293</v>
      </c>
      <c r="P72" s="37"/>
    </row>
    <row r="73" spans="1:16" x14ac:dyDescent="0.25">
      <c r="A73" s="36">
        <f t="shared" ref="A73:A80" si="51">A72+1</f>
        <v>3</v>
      </c>
      <c r="B73" s="42">
        <v>0.79819528706440035</v>
      </c>
      <c r="C73" s="43">
        <f t="shared" si="41"/>
        <v>0.83519233291675088</v>
      </c>
      <c r="D73" s="44">
        <f t="shared" si="42"/>
        <v>1.4754730738613575</v>
      </c>
      <c r="E73" s="33">
        <f t="shared" si="43"/>
        <v>41661103.600011565</v>
      </c>
      <c r="F73" s="45">
        <f t="shared" si="44"/>
        <v>1E-3</v>
      </c>
      <c r="G73" s="41">
        <f t="shared" si="45"/>
        <v>0.999</v>
      </c>
      <c r="H73" s="43">
        <f t="shared" si="46"/>
        <v>0.997002999</v>
      </c>
      <c r="I73" s="46">
        <f t="shared" si="47"/>
        <v>9.980010000000001E-4</v>
      </c>
      <c r="J73" s="33">
        <f t="shared" si="39"/>
        <v>833222.07200023136</v>
      </c>
      <c r="K73" s="33">
        <f t="shared" si="48"/>
        <v>0</v>
      </c>
      <c r="L73" s="37"/>
      <c r="M73" s="43">
        <f t="shared" si="49"/>
        <v>0.91514165935315961</v>
      </c>
      <c r="N73" s="33">
        <f t="shared" si="40"/>
        <v>760230.96767740219</v>
      </c>
      <c r="O73" s="33">
        <f t="shared" si="50"/>
        <v>0</v>
      </c>
      <c r="P73" s="37"/>
    </row>
    <row r="74" spans="1:16" x14ac:dyDescent="0.25">
      <c r="A74" s="36">
        <f t="shared" si="51"/>
        <v>4</v>
      </c>
      <c r="B74" s="42">
        <v>0.274364014501988</v>
      </c>
      <c r="C74" s="43">
        <f t="shared" si="41"/>
        <v>-0.59966723440412284</v>
      </c>
      <c r="D74" s="44">
        <f t="shared" si="42"/>
        <v>0.65717801845804835</v>
      </c>
      <c r="E74" s="33">
        <f t="shared" si="43"/>
        <v>18184802.390327886</v>
      </c>
      <c r="F74" s="45">
        <f t="shared" si="44"/>
        <v>1E-3</v>
      </c>
      <c r="G74" s="41">
        <f t="shared" si="45"/>
        <v>0.999</v>
      </c>
      <c r="H74" s="43">
        <f t="shared" si="46"/>
        <v>0.99600599600100004</v>
      </c>
      <c r="I74" s="46">
        <f t="shared" si="47"/>
        <v>9.97002999E-4</v>
      </c>
      <c r="J74" s="33">
        <f t="shared" si="39"/>
        <v>363696.04780655773</v>
      </c>
      <c r="K74" s="33">
        <f t="shared" si="48"/>
        <v>-11815197.609672114</v>
      </c>
      <c r="L74" s="37"/>
      <c r="M74" s="43">
        <f t="shared" si="49"/>
        <v>0.888487047915689</v>
      </c>
      <c r="N74" s="33">
        <f t="shared" si="40"/>
        <v>321848.60848596814</v>
      </c>
      <c r="O74" s="33">
        <f t="shared" si="50"/>
        <v>-10466.188577076291</v>
      </c>
      <c r="P74" s="37"/>
    </row>
    <row r="75" spans="1:16" x14ac:dyDescent="0.25">
      <c r="A75" s="36">
        <f t="shared" si="51"/>
        <v>5</v>
      </c>
      <c r="B75" s="42">
        <v>0.35185946963489467</v>
      </c>
      <c r="C75" s="43">
        <f t="shared" si="41"/>
        <v>-0.38030511470775552</v>
      </c>
      <c r="D75" s="44">
        <f t="shared" si="42"/>
        <v>0.71884003645604111</v>
      </c>
      <c r="E75" s="33">
        <f t="shared" si="43"/>
        <v>19493233.755752578</v>
      </c>
      <c r="F75" s="45">
        <f t="shared" si="44"/>
        <v>1E-3</v>
      </c>
      <c r="G75" s="41">
        <f t="shared" si="45"/>
        <v>0.999</v>
      </c>
      <c r="H75" s="43">
        <f t="shared" si="46"/>
        <v>0.99500999000499901</v>
      </c>
      <c r="I75" s="46">
        <f t="shared" si="47"/>
        <v>9.960059960010001E-4</v>
      </c>
      <c r="J75" s="33">
        <f t="shared" si="39"/>
        <v>389864.67511505156</v>
      </c>
      <c r="K75" s="33">
        <f t="shared" si="48"/>
        <v>-10506766.244247422</v>
      </c>
      <c r="L75" s="37"/>
      <c r="M75" s="43">
        <f t="shared" si="49"/>
        <v>0.86260878438416411</v>
      </c>
      <c r="N75" s="33">
        <f t="shared" si="40"/>
        <v>334622.54965355404</v>
      </c>
      <c r="O75" s="33">
        <f t="shared" si="50"/>
        <v>-9027.0302854570982</v>
      </c>
      <c r="P75" s="37"/>
    </row>
    <row r="76" spans="1:16" x14ac:dyDescent="0.25">
      <c r="A76" s="36">
        <f t="shared" si="51"/>
        <v>6</v>
      </c>
      <c r="B76" s="42">
        <v>0.41007015226574839</v>
      </c>
      <c r="C76" s="43">
        <f t="shared" si="41"/>
        <v>-0.22736452289864106</v>
      </c>
      <c r="D76" s="44">
        <f t="shared" si="42"/>
        <v>0.77330780058960691</v>
      </c>
      <c r="E76" s="33">
        <f t="shared" si="43"/>
        <v>20550864.696450029</v>
      </c>
      <c r="F76" s="45">
        <f t="shared" si="44"/>
        <v>1E-3</v>
      </c>
      <c r="G76" s="41">
        <f t="shared" si="45"/>
        <v>0.999</v>
      </c>
      <c r="H76" s="43">
        <f t="shared" si="46"/>
        <v>0.994014980014994</v>
      </c>
      <c r="I76" s="46">
        <f t="shared" si="47"/>
        <v>9.9500999000499903E-4</v>
      </c>
      <c r="J76" s="33">
        <f t="shared" si="39"/>
        <v>411017.29392900056</v>
      </c>
      <c r="K76" s="33">
        <f t="shared" si="48"/>
        <v>-9449135.3035499714</v>
      </c>
      <c r="L76" s="37"/>
      <c r="M76" s="43">
        <f t="shared" si="49"/>
        <v>0.83748425668365445</v>
      </c>
      <c r="N76" s="33">
        <f t="shared" si="40"/>
        <v>342160.3462413589</v>
      </c>
      <c r="O76" s="33">
        <f t="shared" si="50"/>
        <v>-7874.0136016419401</v>
      </c>
      <c r="P76" s="37"/>
    </row>
    <row r="77" spans="1:16" x14ac:dyDescent="0.25">
      <c r="A77" s="36">
        <f t="shared" si="51"/>
        <v>7</v>
      </c>
      <c r="B77" s="42">
        <v>0.71475766321782142</v>
      </c>
      <c r="C77" s="43">
        <f t="shared" si="41"/>
        <v>0.56733783910390223</v>
      </c>
      <c r="D77" s="44">
        <f t="shared" si="42"/>
        <v>1.4124283392649206</v>
      </c>
      <c r="E77" s="33">
        <f t="shared" si="43"/>
        <v>36784953.155914165</v>
      </c>
      <c r="F77" s="45">
        <f t="shared" si="44"/>
        <v>1E-3</v>
      </c>
      <c r="G77" s="41">
        <f t="shared" si="45"/>
        <v>0.999</v>
      </c>
      <c r="H77" s="43">
        <f t="shared" si="46"/>
        <v>0.99302096503497905</v>
      </c>
      <c r="I77" s="46">
        <f t="shared" si="47"/>
        <v>9.9401498001499395E-4</v>
      </c>
      <c r="J77" s="33">
        <f t="shared" si="39"/>
        <v>735699.06311828329</v>
      </c>
      <c r="K77" s="33">
        <f t="shared" si="48"/>
        <v>0</v>
      </c>
      <c r="L77" s="37"/>
      <c r="M77" s="43">
        <f t="shared" si="49"/>
        <v>0.81309151134335378</v>
      </c>
      <c r="N77" s="33">
        <f t="shared" si="40"/>
        <v>594015.86957103782</v>
      </c>
      <c r="O77" s="33">
        <f t="shared" si="50"/>
        <v>0</v>
      </c>
      <c r="P77" s="37"/>
    </row>
    <row r="78" spans="1:16" x14ac:dyDescent="0.25">
      <c r="A78" s="36">
        <f t="shared" si="51"/>
        <v>8</v>
      </c>
      <c r="B78" s="42">
        <v>0.6073977510099221</v>
      </c>
      <c r="C78" s="43">
        <f t="shared" si="41"/>
        <v>0.2725430454245818</v>
      </c>
      <c r="D78" s="44">
        <f t="shared" si="42"/>
        <v>1.1176859621031026</v>
      </c>
      <c r="E78" s="33">
        <f t="shared" si="43"/>
        <v>28526576.622482006</v>
      </c>
      <c r="F78" s="45">
        <f t="shared" si="44"/>
        <v>1E-3</v>
      </c>
      <c r="G78" s="41">
        <f t="shared" si="45"/>
        <v>0.999</v>
      </c>
      <c r="H78" s="43">
        <f t="shared" si="46"/>
        <v>0.9920279440699441</v>
      </c>
      <c r="I78" s="46">
        <f t="shared" si="47"/>
        <v>9.9302096503497907E-4</v>
      </c>
      <c r="J78" s="33">
        <f t="shared" si="39"/>
        <v>570531.5324496401</v>
      </c>
      <c r="K78" s="33">
        <f t="shared" si="48"/>
        <v>-1473423.3775179945</v>
      </c>
      <c r="L78" s="37"/>
      <c r="M78" s="43">
        <f t="shared" si="49"/>
        <v>0.78940923431393573</v>
      </c>
      <c r="N78" s="33">
        <f t="shared" si="40"/>
        <v>446792.38283170911</v>
      </c>
      <c r="O78" s="33">
        <f t="shared" si="50"/>
        <v>-1155.0164672702863</v>
      </c>
      <c r="P78" s="37"/>
    </row>
    <row r="79" spans="1:16" x14ac:dyDescent="0.25">
      <c r="A79" s="36">
        <f t="shared" si="51"/>
        <v>9</v>
      </c>
      <c r="B79" s="42">
        <v>0.69914735845409925</v>
      </c>
      <c r="C79" s="43">
        <f t="shared" si="41"/>
        <v>0.52194980022968784</v>
      </c>
      <c r="D79" s="44">
        <f t="shared" si="42"/>
        <v>1.3975976805016521</v>
      </c>
      <c r="E79" s="33">
        <f t="shared" si="43"/>
        <v>34957318.154296227</v>
      </c>
      <c r="F79" s="45">
        <f t="shared" si="44"/>
        <v>1E-3</v>
      </c>
      <c r="G79" s="41">
        <f t="shared" si="45"/>
        <v>0.999</v>
      </c>
      <c r="H79" s="43">
        <f t="shared" si="46"/>
        <v>0.99103591612587416</v>
      </c>
      <c r="I79" s="46">
        <f t="shared" si="47"/>
        <v>9.9202794406994411E-4</v>
      </c>
      <c r="J79" s="33">
        <f t="shared" si="39"/>
        <v>699146.36308592453</v>
      </c>
      <c r="K79" s="33">
        <f t="shared" si="48"/>
        <v>0</v>
      </c>
      <c r="L79" s="37"/>
      <c r="M79" s="43">
        <f t="shared" si="49"/>
        <v>0.76641673234362695</v>
      </c>
      <c r="N79" s="33">
        <f t="shared" si="40"/>
        <v>531034.17899306654</v>
      </c>
      <c r="O79" s="33">
        <f t="shared" si="50"/>
        <v>0</v>
      </c>
      <c r="P79" s="37"/>
    </row>
    <row r="80" spans="1:16" x14ac:dyDescent="0.25">
      <c r="A80" s="36">
        <f t="shared" si="51"/>
        <v>10</v>
      </c>
      <c r="B80" s="42">
        <v>0.84261668690389069</v>
      </c>
      <c r="C80" s="43">
        <f t="shared" si="41"/>
        <v>1.0052704786793498</v>
      </c>
      <c r="D80" s="44">
        <f t="shared" si="42"/>
        <v>2.2337534079341066</v>
      </c>
      <c r="E80" s="33">
        <f t="shared" si="43"/>
        <v>54754175.007460326</v>
      </c>
      <c r="F80" s="45">
        <f t="shared" si="44"/>
        <v>1E-3</v>
      </c>
      <c r="G80" s="41">
        <f t="shared" si="45"/>
        <v>0.999</v>
      </c>
      <c r="H80" s="43">
        <f t="shared" si="46"/>
        <v>0.99004488020974823</v>
      </c>
      <c r="I80" s="46">
        <f t="shared" si="47"/>
        <v>9.9103591612587408E-4</v>
      </c>
      <c r="J80" s="37"/>
      <c r="K80" s="33">
        <f t="shared" si="48"/>
        <v>0</v>
      </c>
      <c r="L80" s="33">
        <f>MIN(0, E80-$B$11)</f>
        <v>0</v>
      </c>
      <c r="M80" s="43">
        <f t="shared" si="49"/>
        <v>0.74409391489672516</v>
      </c>
      <c r="N80" s="33">
        <f t="shared" si="40"/>
        <v>0</v>
      </c>
      <c r="O80" s="33">
        <f t="shared" si="50"/>
        <v>0</v>
      </c>
      <c r="P80" s="33">
        <f>L80*M80*H80</f>
        <v>0</v>
      </c>
    </row>
    <row r="82" spans="1:16" x14ac:dyDescent="0.25">
      <c r="A82" s="30" t="s">
        <v>183</v>
      </c>
      <c r="B82" s="47">
        <f>-SUM(N70:N80)-SUM(O71:O80)-P80</f>
        <v>-4850164.7385019194</v>
      </c>
    </row>
    <row r="85" spans="1:16" x14ac:dyDescent="0.25">
      <c r="A85" s="261" t="s">
        <v>187</v>
      </c>
      <c r="B85" s="261"/>
      <c r="N85" s="34"/>
      <c r="O85" s="34"/>
    </row>
    <row r="86" spans="1:16" ht="41.4" x14ac:dyDescent="0.25">
      <c r="A86" s="35" t="s">
        <v>167</v>
      </c>
      <c r="B86" s="35" t="s">
        <v>168</v>
      </c>
      <c r="C86" s="35" t="s">
        <v>169</v>
      </c>
      <c r="D86" s="35" t="s">
        <v>170</v>
      </c>
      <c r="E86" s="35" t="s">
        <v>171</v>
      </c>
      <c r="F86" s="35" t="s">
        <v>172</v>
      </c>
      <c r="G86" s="35" t="s">
        <v>173</v>
      </c>
      <c r="H86" s="35" t="s">
        <v>174</v>
      </c>
      <c r="I86" s="35" t="s">
        <v>175</v>
      </c>
      <c r="J86" s="35" t="s">
        <v>176</v>
      </c>
      <c r="K86" s="35" t="s">
        <v>177</v>
      </c>
      <c r="L86" s="35" t="s">
        <v>178</v>
      </c>
      <c r="M86" s="35" t="s">
        <v>179</v>
      </c>
      <c r="N86" s="35" t="s">
        <v>180</v>
      </c>
      <c r="O86" s="35" t="s">
        <v>181</v>
      </c>
      <c r="P86" s="35" t="s">
        <v>182</v>
      </c>
    </row>
    <row r="87" spans="1:16" x14ac:dyDescent="0.25">
      <c r="A87" s="36">
        <v>0</v>
      </c>
      <c r="B87" s="37"/>
      <c r="C87" s="37"/>
      <c r="D87" s="38">
        <v>1</v>
      </c>
      <c r="E87" s="39">
        <f>$B$11</f>
        <v>30000000</v>
      </c>
      <c r="F87" s="37"/>
      <c r="G87" s="37"/>
      <c r="H87" s="40">
        <v>1</v>
      </c>
      <c r="I87" s="37"/>
      <c r="J87" s="33">
        <f>$E87*($B$13/10000)</f>
        <v>600000</v>
      </c>
      <c r="K87" s="37"/>
      <c r="L87" s="37"/>
      <c r="M87" s="41">
        <v>1</v>
      </c>
      <c r="N87" s="33">
        <f>J87*M87*H87</f>
        <v>600000</v>
      </c>
      <c r="O87" s="37"/>
      <c r="P87" s="37"/>
    </row>
    <row r="88" spans="1:16" x14ac:dyDescent="0.25">
      <c r="A88" s="36">
        <v>1</v>
      </c>
      <c r="B88" s="42">
        <v>0.62394139512760227</v>
      </c>
      <c r="C88" s="43">
        <f>_xlfn.NORM.INV(B88, 0, 1)</f>
        <v>0.31584888675038419</v>
      </c>
      <c r="D88" s="44">
        <f>$D$19*EXP(($B$8-($B$9^2)/2)*$A88+$B$9*$C88*SQRT($A88))</f>
        <v>1.0830213331508911</v>
      </c>
      <c r="E88" s="33">
        <f>(E87-J87)*(D88/D87)</f>
        <v>31840827.1946362</v>
      </c>
      <c r="F88" s="45">
        <f>$B$14</f>
        <v>1E-3</v>
      </c>
      <c r="G88" s="41">
        <f>1-F88</f>
        <v>0.999</v>
      </c>
      <c r="H88" s="43">
        <f>H87*G88</f>
        <v>0.999</v>
      </c>
      <c r="I88" s="46">
        <f>H87*F88</f>
        <v>1E-3</v>
      </c>
      <c r="J88" s="33">
        <f t="shared" ref="J88:J96" si="52">$E88*($B$13/10000)</f>
        <v>636816.54389272397</v>
      </c>
      <c r="K88" s="33">
        <f>MIN(0, E88-$B$11)</f>
        <v>0</v>
      </c>
      <c r="L88" s="37"/>
      <c r="M88" s="43">
        <f>(1+$B$12)^-A88</f>
        <v>0.970873786407767</v>
      </c>
      <c r="N88" s="33">
        <f t="shared" ref="N88:N97" si="53">J88*M88*H88</f>
        <v>617650.22072702064</v>
      </c>
      <c r="O88" s="33">
        <f>K88*M88*I88</f>
        <v>0</v>
      </c>
      <c r="P88" s="37"/>
    </row>
    <row r="89" spans="1:16" x14ac:dyDescent="0.25">
      <c r="A89" s="36">
        <f>A88+1</f>
        <v>2</v>
      </c>
      <c r="B89" s="42">
        <v>0.85749977261857468</v>
      </c>
      <c r="C89" s="43">
        <f t="shared" ref="C89:C97" si="54">_xlfn.NORM.INV(B89, 0, 1)</f>
        <v>1.0691536176051368</v>
      </c>
      <c r="D89" s="44">
        <f t="shared" ref="D89:D97" si="55">$D$19*EXP(($B$8-($B$9^2)/2)*$A89+$B$9*$C89*SQRT($A89))</f>
        <v>1.5274557822944828</v>
      </c>
      <c r="E89" s="33">
        <f t="shared" ref="E89:E97" si="56">(E88-J88)*(D89/D88)</f>
        <v>44009055.999468639</v>
      </c>
      <c r="F89" s="45">
        <f t="shared" ref="F89:F97" si="57">$B$14</f>
        <v>1E-3</v>
      </c>
      <c r="G89" s="41">
        <f t="shared" ref="G89:G97" si="58">1-F89</f>
        <v>0.999</v>
      </c>
      <c r="H89" s="43">
        <f t="shared" ref="H89:H97" si="59">H88*G89</f>
        <v>0.99800100000000003</v>
      </c>
      <c r="I89" s="46">
        <f t="shared" ref="I89:I97" si="60">H88*F89</f>
        <v>9.990000000000001E-4</v>
      </c>
      <c r="J89" s="33">
        <f t="shared" si="52"/>
        <v>880181.11998937279</v>
      </c>
      <c r="K89" s="33">
        <f t="shared" ref="K89:K97" si="61">MIN(0, E89-$B$11)</f>
        <v>0</v>
      </c>
      <c r="L89" s="37"/>
      <c r="M89" s="43">
        <f t="shared" ref="M89:M97" si="62">(1+$B$12)^-A89</f>
        <v>0.94259590913375435</v>
      </c>
      <c r="N89" s="33">
        <f t="shared" si="53"/>
        <v>827996.64240787458</v>
      </c>
      <c r="O89" s="33">
        <f t="shared" ref="O89:O97" si="63">K89*M89*I89</f>
        <v>0</v>
      </c>
      <c r="P89" s="37"/>
    </row>
    <row r="90" spans="1:16" x14ac:dyDescent="0.25">
      <c r="A90" s="36">
        <f t="shared" ref="A90:A97" si="64">A89+1</f>
        <v>3</v>
      </c>
      <c r="B90" s="42">
        <v>0.59386144448828837</v>
      </c>
      <c r="C90" s="43">
        <f t="shared" si="54"/>
        <v>0.23748943940573361</v>
      </c>
      <c r="D90" s="44">
        <f t="shared" si="55"/>
        <v>1.0815585823130121</v>
      </c>
      <c r="E90" s="33">
        <f t="shared" si="56"/>
        <v>30538628.556130454</v>
      </c>
      <c r="F90" s="45">
        <f t="shared" si="57"/>
        <v>1E-3</v>
      </c>
      <c r="G90" s="41">
        <f t="shared" si="58"/>
        <v>0.999</v>
      </c>
      <c r="H90" s="43">
        <f t="shared" si="59"/>
        <v>0.997002999</v>
      </c>
      <c r="I90" s="46">
        <f t="shared" si="60"/>
        <v>9.980010000000001E-4</v>
      </c>
      <c r="J90" s="33">
        <f t="shared" si="52"/>
        <v>610772.57112260908</v>
      </c>
      <c r="K90" s="33">
        <f t="shared" si="61"/>
        <v>0</v>
      </c>
      <c r="L90" s="37"/>
      <c r="M90" s="43">
        <f t="shared" si="62"/>
        <v>0.91514165935315961</v>
      </c>
      <c r="N90" s="33">
        <f t="shared" si="53"/>
        <v>557268.27022319578</v>
      </c>
      <c r="O90" s="33">
        <f t="shared" si="63"/>
        <v>0</v>
      </c>
      <c r="P90" s="37"/>
    </row>
    <row r="91" spans="1:16" x14ac:dyDescent="0.25">
      <c r="A91" s="36">
        <f t="shared" si="64"/>
        <v>4</v>
      </c>
      <c r="B91" s="42">
        <v>0.83478562768142572</v>
      </c>
      <c r="C91" s="43">
        <f t="shared" si="54"/>
        <v>0.97325064684313112</v>
      </c>
      <c r="D91" s="44">
        <f t="shared" si="55"/>
        <v>1.6886854535162907</v>
      </c>
      <c r="E91" s="33">
        <f t="shared" si="56"/>
        <v>46727690.837357596</v>
      </c>
      <c r="F91" s="45">
        <f t="shared" si="57"/>
        <v>1E-3</v>
      </c>
      <c r="G91" s="41">
        <f t="shared" si="58"/>
        <v>0.999</v>
      </c>
      <c r="H91" s="43">
        <f t="shared" si="59"/>
        <v>0.99600599600100004</v>
      </c>
      <c r="I91" s="46">
        <f t="shared" si="60"/>
        <v>9.97002999E-4</v>
      </c>
      <c r="J91" s="33">
        <f t="shared" si="52"/>
        <v>934553.8167471519</v>
      </c>
      <c r="K91" s="33">
        <f t="shared" si="61"/>
        <v>0</v>
      </c>
      <c r="L91" s="37"/>
      <c r="M91" s="43">
        <f t="shared" si="62"/>
        <v>0.888487047915689</v>
      </c>
      <c r="N91" s="33">
        <f t="shared" si="53"/>
        <v>827022.5846262218</v>
      </c>
      <c r="O91" s="33">
        <f t="shared" si="63"/>
        <v>0</v>
      </c>
      <c r="P91" s="37"/>
    </row>
    <row r="92" spans="1:16" x14ac:dyDescent="0.25">
      <c r="A92" s="36">
        <f t="shared" si="64"/>
        <v>5</v>
      </c>
      <c r="B92" s="42">
        <v>0.46892975271925663</v>
      </c>
      <c r="C92" s="43">
        <f t="shared" si="54"/>
        <v>-7.7960460169951534E-2</v>
      </c>
      <c r="D92" s="44">
        <f t="shared" si="55"/>
        <v>0.88047172275343633</v>
      </c>
      <c r="E92" s="33">
        <f t="shared" si="56"/>
        <v>23876301.035734646</v>
      </c>
      <c r="F92" s="45">
        <f t="shared" si="57"/>
        <v>1E-3</v>
      </c>
      <c r="G92" s="41">
        <f t="shared" si="58"/>
        <v>0.999</v>
      </c>
      <c r="H92" s="43">
        <f t="shared" si="59"/>
        <v>0.99500999000499901</v>
      </c>
      <c r="I92" s="46">
        <f t="shared" si="60"/>
        <v>9.960059960010001E-4</v>
      </c>
      <c r="J92" s="33">
        <f t="shared" si="52"/>
        <v>477526.02071469295</v>
      </c>
      <c r="K92" s="33">
        <f t="shared" si="61"/>
        <v>-6123698.964265354</v>
      </c>
      <c r="L92" s="37"/>
      <c r="M92" s="43">
        <f t="shared" si="62"/>
        <v>0.86260878438416411</v>
      </c>
      <c r="N92" s="33">
        <f t="shared" si="53"/>
        <v>409862.66460358608</v>
      </c>
      <c r="O92" s="33">
        <f t="shared" si="63"/>
        <v>-5261.2587664364783</v>
      </c>
      <c r="P92" s="37"/>
    </row>
    <row r="93" spans="1:16" x14ac:dyDescent="0.25">
      <c r="A93" s="36">
        <f t="shared" si="64"/>
        <v>6</v>
      </c>
      <c r="B93" s="42">
        <v>0.16252626490463062</v>
      </c>
      <c r="C93" s="43">
        <f t="shared" si="54"/>
        <v>-0.98412810480242185</v>
      </c>
      <c r="D93" s="44">
        <f t="shared" si="55"/>
        <v>0.44344410821619995</v>
      </c>
      <c r="E93" s="33">
        <f t="shared" si="56"/>
        <v>11784647.538070556</v>
      </c>
      <c r="F93" s="45">
        <f t="shared" si="57"/>
        <v>1E-3</v>
      </c>
      <c r="G93" s="41">
        <f t="shared" si="58"/>
        <v>0.999</v>
      </c>
      <c r="H93" s="43">
        <f t="shared" si="59"/>
        <v>0.994014980014994</v>
      </c>
      <c r="I93" s="46">
        <f t="shared" si="60"/>
        <v>9.9500999000499903E-4</v>
      </c>
      <c r="J93" s="33">
        <f t="shared" si="52"/>
        <v>235692.95076141111</v>
      </c>
      <c r="K93" s="33">
        <f t="shared" si="61"/>
        <v>-18215352.461929444</v>
      </c>
      <c r="L93" s="37"/>
      <c r="M93" s="43">
        <f t="shared" si="62"/>
        <v>0.83748425668365445</v>
      </c>
      <c r="N93" s="33">
        <f t="shared" si="53"/>
        <v>196207.75775216561</v>
      </c>
      <c r="O93" s="33">
        <f t="shared" si="63"/>
        <v>-15178.947960460428</v>
      </c>
      <c r="P93" s="37"/>
    </row>
    <row r="94" spans="1:16" x14ac:dyDescent="0.25">
      <c r="A94" s="36">
        <f t="shared" si="64"/>
        <v>7</v>
      </c>
      <c r="B94" s="42">
        <v>0.23450899226484689</v>
      </c>
      <c r="C94" s="43">
        <f t="shared" si="54"/>
        <v>-0.7240777810589567</v>
      </c>
      <c r="D94" s="44">
        <f t="shared" si="55"/>
        <v>0.50675941149156289</v>
      </c>
      <c r="E94" s="33">
        <f t="shared" si="56"/>
        <v>13197923.529867211</v>
      </c>
      <c r="F94" s="45">
        <f t="shared" si="57"/>
        <v>1E-3</v>
      </c>
      <c r="G94" s="41">
        <f t="shared" si="58"/>
        <v>0.999</v>
      </c>
      <c r="H94" s="43">
        <f t="shared" si="59"/>
        <v>0.99302096503497905</v>
      </c>
      <c r="I94" s="46">
        <f t="shared" si="60"/>
        <v>9.9401498001499395E-4</v>
      </c>
      <c r="J94" s="33">
        <f t="shared" si="52"/>
        <v>263958.47059734422</v>
      </c>
      <c r="K94" s="33">
        <f t="shared" si="61"/>
        <v>-16802076.470132791</v>
      </c>
      <c r="L94" s="37"/>
      <c r="M94" s="43">
        <f t="shared" si="62"/>
        <v>0.81309151134335378</v>
      </c>
      <c r="N94" s="33">
        <f t="shared" si="53"/>
        <v>213124.53461329686</v>
      </c>
      <c r="O94" s="33">
        <f t="shared" si="63"/>
        <v>-13579.860647660622</v>
      </c>
      <c r="P94" s="37"/>
    </row>
    <row r="95" spans="1:16" x14ac:dyDescent="0.25">
      <c r="A95" s="36">
        <f t="shared" si="64"/>
        <v>8</v>
      </c>
      <c r="B95" s="42">
        <v>0.20940245880723796</v>
      </c>
      <c r="C95" s="43">
        <f t="shared" si="54"/>
        <v>-0.8084963305055598</v>
      </c>
      <c r="D95" s="44">
        <f t="shared" si="55"/>
        <v>0.44662682098345585</v>
      </c>
      <c r="E95" s="33">
        <f t="shared" si="56"/>
        <v>11399207.525579371</v>
      </c>
      <c r="F95" s="45">
        <f t="shared" si="57"/>
        <v>1E-3</v>
      </c>
      <c r="G95" s="41">
        <f t="shared" si="58"/>
        <v>0.999</v>
      </c>
      <c r="H95" s="43">
        <f t="shared" si="59"/>
        <v>0.9920279440699441</v>
      </c>
      <c r="I95" s="46">
        <f t="shared" si="60"/>
        <v>9.9302096503497907E-4</v>
      </c>
      <c r="J95" s="33">
        <f t="shared" si="52"/>
        <v>227984.15051158742</v>
      </c>
      <c r="K95" s="33">
        <f t="shared" si="61"/>
        <v>-18600792.474420629</v>
      </c>
      <c r="L95" s="37"/>
      <c r="M95" s="43">
        <f t="shared" si="62"/>
        <v>0.78940923431393573</v>
      </c>
      <c r="N95" s="33">
        <f t="shared" si="53"/>
        <v>178538.04051387173</v>
      </c>
      <c r="O95" s="33">
        <f t="shared" si="63"/>
        <v>-14581.159726421307</v>
      </c>
      <c r="P95" s="37"/>
    </row>
    <row r="96" spans="1:16" x14ac:dyDescent="0.25">
      <c r="A96" s="36">
        <f t="shared" si="64"/>
        <v>9</v>
      </c>
      <c r="B96" s="42">
        <v>0.59190339227055644</v>
      </c>
      <c r="C96" s="43">
        <f t="shared" si="54"/>
        <v>0.23244395118674899</v>
      </c>
      <c r="D96" s="44">
        <f t="shared" si="55"/>
        <v>1.0770217102704629</v>
      </c>
      <c r="E96" s="33">
        <f t="shared" si="56"/>
        <v>26938933.221107557</v>
      </c>
      <c r="F96" s="45">
        <f t="shared" si="57"/>
        <v>1E-3</v>
      </c>
      <c r="G96" s="41">
        <f t="shared" si="58"/>
        <v>0.999</v>
      </c>
      <c r="H96" s="43">
        <f t="shared" si="59"/>
        <v>0.99103591612587416</v>
      </c>
      <c r="I96" s="46">
        <f t="shared" si="60"/>
        <v>9.9202794406994411E-4</v>
      </c>
      <c r="J96" s="33">
        <f t="shared" si="52"/>
        <v>538778.66442215117</v>
      </c>
      <c r="K96" s="33">
        <f t="shared" si="61"/>
        <v>-3061066.7788924426</v>
      </c>
      <c r="L96" s="37"/>
      <c r="M96" s="43">
        <f t="shared" si="62"/>
        <v>0.76641673234362695</v>
      </c>
      <c r="N96" s="33">
        <f t="shared" si="53"/>
        <v>409227.45340124908</v>
      </c>
      <c r="O96" s="33">
        <f t="shared" si="63"/>
        <v>-2327.3499340425469</v>
      </c>
      <c r="P96" s="37"/>
    </row>
    <row r="97" spans="1:16" x14ac:dyDescent="0.25">
      <c r="A97" s="36">
        <f t="shared" si="64"/>
        <v>10</v>
      </c>
      <c r="B97" s="42">
        <v>0.48084412981019475</v>
      </c>
      <c r="C97" s="43">
        <f t="shared" si="54"/>
        <v>-4.8035111929789522E-2</v>
      </c>
      <c r="D97" s="44">
        <f t="shared" si="55"/>
        <v>0.82236568679418121</v>
      </c>
      <c r="E97" s="33">
        <f t="shared" si="56"/>
        <v>20157979.199907809</v>
      </c>
      <c r="F97" s="45">
        <f t="shared" si="57"/>
        <v>1E-3</v>
      </c>
      <c r="G97" s="41">
        <f t="shared" si="58"/>
        <v>0.999</v>
      </c>
      <c r="H97" s="43">
        <f t="shared" si="59"/>
        <v>0.99004488020974823</v>
      </c>
      <c r="I97" s="46">
        <f t="shared" si="60"/>
        <v>9.9103591612587408E-4</v>
      </c>
      <c r="J97" s="37"/>
      <c r="K97" s="33">
        <f t="shared" si="61"/>
        <v>-9842020.8000921905</v>
      </c>
      <c r="L97" s="33">
        <f>MIN(0, E97-$B$11)</f>
        <v>-9842020.8000921905</v>
      </c>
      <c r="M97" s="43">
        <f t="shared" si="62"/>
        <v>0.74409391489672516</v>
      </c>
      <c r="N97" s="33">
        <f t="shared" si="53"/>
        <v>0</v>
      </c>
      <c r="O97" s="33">
        <f t="shared" si="63"/>
        <v>-7257.7403252644826</v>
      </c>
      <c r="P97" s="33">
        <f>L97*M97*H97</f>
        <v>-7250482.5849392181</v>
      </c>
    </row>
    <row r="99" spans="1:16" x14ac:dyDescent="0.25">
      <c r="A99" s="30" t="s">
        <v>183</v>
      </c>
      <c r="B99" s="47">
        <f>-SUM(N87:N97)-SUM(O88:O97)-P97</f>
        <v>2471770.7334310208</v>
      </c>
    </row>
  </sheetData>
  <mergeCells count="5">
    <mergeCell ref="A17:B17"/>
    <mergeCell ref="A34:B34"/>
    <mergeCell ref="A51:B51"/>
    <mergeCell ref="A68:B68"/>
    <mergeCell ref="A85:B8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1236A-5032-47E9-9B94-6183BDF82B3F}">
  <sheetPr>
    <tabColor rgb="FF0000FF"/>
  </sheetPr>
  <dimension ref="A1:G109"/>
  <sheetViews>
    <sheetView showGridLines="0" zoomScaleNormal="100" workbookViewId="0"/>
  </sheetViews>
  <sheetFormatPr defaultColWidth="9.109375" defaultRowHeight="13.8" x14ac:dyDescent="0.25"/>
  <cols>
    <col min="1" max="1" width="10.88671875" style="4" customWidth="1"/>
    <col min="2" max="2" width="15.33203125" style="1" bestFit="1" customWidth="1"/>
    <col min="3" max="3" width="9.109375" style="4"/>
    <col min="4" max="5" width="9.109375" style="1"/>
    <col min="6" max="6" width="27.6640625" style="1" customWidth="1"/>
    <col min="7" max="7" width="18.6640625" style="1" customWidth="1"/>
    <col min="8" max="16384" width="9.109375" style="1"/>
  </cols>
  <sheetData>
    <row r="1" spans="1:7" x14ac:dyDescent="0.25">
      <c r="A1" s="28" t="s">
        <v>133</v>
      </c>
    </row>
    <row r="2" spans="1:7" x14ac:dyDescent="0.25">
      <c r="A2" s="28" t="s">
        <v>134</v>
      </c>
    </row>
    <row r="3" spans="1:7" x14ac:dyDescent="0.25">
      <c r="A3" s="28" t="s">
        <v>135</v>
      </c>
    </row>
    <row r="4" spans="1:7" x14ac:dyDescent="0.25">
      <c r="A4" s="28" t="s">
        <v>136</v>
      </c>
    </row>
    <row r="5" spans="1:7" x14ac:dyDescent="0.25">
      <c r="A5" s="28" t="s">
        <v>137</v>
      </c>
    </row>
    <row r="6" spans="1:7" x14ac:dyDescent="0.25">
      <c r="A6" s="28" t="s">
        <v>138</v>
      </c>
    </row>
    <row r="8" spans="1:7" x14ac:dyDescent="0.25">
      <c r="F8" s="48" t="s">
        <v>188</v>
      </c>
    </row>
    <row r="9" spans="1:7" x14ac:dyDescent="0.25">
      <c r="A9" s="4" t="s">
        <v>189</v>
      </c>
      <c r="B9" s="4" t="s">
        <v>183</v>
      </c>
      <c r="C9" s="4" t="s">
        <v>190</v>
      </c>
      <c r="F9" s="48"/>
      <c r="G9" s="3"/>
    </row>
    <row r="10" spans="1:7" x14ac:dyDescent="0.25">
      <c r="A10" s="4">
        <v>1</v>
      </c>
      <c r="B10" s="19">
        <v>-415552.72837018193</v>
      </c>
      <c r="C10" s="49">
        <f>RANK(B10, $B$10:$B$109, 1)</f>
        <v>35</v>
      </c>
      <c r="F10" s="1" t="s">
        <v>191</v>
      </c>
      <c r="G10" s="50">
        <f>AVERAGE(B10:B109)</f>
        <v>6053059.7658536602</v>
      </c>
    </row>
    <row r="11" spans="1:7" x14ac:dyDescent="0.25">
      <c r="A11" s="4">
        <v>2</v>
      </c>
      <c r="B11" s="19">
        <v>7095424.5689442949</v>
      </c>
      <c r="C11" s="49">
        <f t="shared" ref="C11:C74" si="0">RANK(B11, $B$10:$B$109, 1)</f>
        <v>60</v>
      </c>
      <c r="F11" s="1" t="s">
        <v>192</v>
      </c>
      <c r="G11" s="51">
        <f>SUMIF($C$10:$C$109,"&gt;95",$B$10:$B$109)/5</f>
        <v>19430207.484369118</v>
      </c>
    </row>
    <row r="12" spans="1:7" x14ac:dyDescent="0.25">
      <c r="A12" s="4">
        <v>3</v>
      </c>
      <c r="B12" s="19">
        <v>-546356.77798182634</v>
      </c>
      <c r="C12" s="49">
        <f t="shared" si="0"/>
        <v>13</v>
      </c>
    </row>
    <row r="13" spans="1:7" x14ac:dyDescent="0.25">
      <c r="A13" s="4">
        <v>4</v>
      </c>
      <c r="B13" s="19">
        <v>19400399.491832647</v>
      </c>
      <c r="C13" s="49">
        <f t="shared" si="0"/>
        <v>98</v>
      </c>
      <c r="F13" s="1" t="s">
        <v>50</v>
      </c>
      <c r="G13" s="50">
        <f>G11-G10</f>
        <v>13377147.718515458</v>
      </c>
    </row>
    <row r="14" spans="1:7" x14ac:dyDescent="0.25">
      <c r="A14" s="4">
        <v>5</v>
      </c>
      <c r="B14" s="19">
        <v>15401854.23846386</v>
      </c>
      <c r="C14" s="49">
        <f t="shared" si="0"/>
        <v>83</v>
      </c>
    </row>
    <row r="15" spans="1:7" x14ac:dyDescent="0.25">
      <c r="A15" s="4">
        <v>6</v>
      </c>
      <c r="B15" s="19">
        <v>4950437.2482715342</v>
      </c>
      <c r="C15" s="49">
        <f t="shared" si="0"/>
        <v>52</v>
      </c>
    </row>
    <row r="16" spans="1:7" x14ac:dyDescent="0.25">
      <c r="A16" s="4">
        <v>7</v>
      </c>
      <c r="B16" s="19">
        <v>10022549.72918481</v>
      </c>
      <c r="C16" s="49">
        <f t="shared" si="0"/>
        <v>70</v>
      </c>
    </row>
    <row r="17" spans="1:3" x14ac:dyDescent="0.25">
      <c r="A17" s="4">
        <v>8</v>
      </c>
      <c r="B17" s="19">
        <v>1975098.5774415247</v>
      </c>
      <c r="C17" s="49">
        <f t="shared" si="0"/>
        <v>46</v>
      </c>
    </row>
    <row r="18" spans="1:3" x14ac:dyDescent="0.25">
      <c r="A18" s="4">
        <v>9</v>
      </c>
      <c r="B18" s="19">
        <v>1291509.9338522404</v>
      </c>
      <c r="C18" s="49">
        <f t="shared" si="0"/>
        <v>45</v>
      </c>
    </row>
    <row r="19" spans="1:3" x14ac:dyDescent="0.25">
      <c r="A19" s="4">
        <v>10</v>
      </c>
      <c r="B19" s="19">
        <v>6486157.3795480086</v>
      </c>
      <c r="C19" s="49">
        <f t="shared" si="0"/>
        <v>58</v>
      </c>
    </row>
    <row r="20" spans="1:3" x14ac:dyDescent="0.25">
      <c r="A20" s="4">
        <v>11</v>
      </c>
      <c r="B20" s="19">
        <v>-441933.76081744028</v>
      </c>
      <c r="C20" s="49">
        <f t="shared" si="0"/>
        <v>31</v>
      </c>
    </row>
    <row r="21" spans="1:3" x14ac:dyDescent="0.25">
      <c r="A21" s="4">
        <v>12</v>
      </c>
      <c r="B21" s="19">
        <v>8134876.7472008998</v>
      </c>
      <c r="C21" s="49">
        <f t="shared" si="0"/>
        <v>63</v>
      </c>
    </row>
    <row r="22" spans="1:3" x14ac:dyDescent="0.25">
      <c r="A22" s="4">
        <v>13</v>
      </c>
      <c r="B22" s="19">
        <v>-586495.40756333759</v>
      </c>
      <c r="C22" s="49">
        <f t="shared" si="0"/>
        <v>10</v>
      </c>
    </row>
    <row r="23" spans="1:3" x14ac:dyDescent="0.25">
      <c r="A23" s="4">
        <v>14</v>
      </c>
      <c r="B23" s="19">
        <v>-490496.8851158875</v>
      </c>
      <c r="C23" s="49">
        <f t="shared" si="0"/>
        <v>21</v>
      </c>
    </row>
    <row r="24" spans="1:3" x14ac:dyDescent="0.25">
      <c r="A24" s="4">
        <v>15</v>
      </c>
      <c r="B24" s="19">
        <v>16732152.363361146</v>
      </c>
      <c r="C24" s="49">
        <f t="shared" si="0"/>
        <v>89</v>
      </c>
    </row>
    <row r="25" spans="1:3" x14ac:dyDescent="0.25">
      <c r="A25" s="4">
        <v>16</v>
      </c>
      <c r="B25" s="19">
        <v>15514199.224289883</v>
      </c>
      <c r="C25" s="49">
        <f t="shared" si="0"/>
        <v>84</v>
      </c>
    </row>
    <row r="26" spans="1:3" x14ac:dyDescent="0.25">
      <c r="A26" s="4">
        <v>17</v>
      </c>
      <c r="B26" s="19">
        <v>5701977.6524105575</v>
      </c>
      <c r="C26" s="49">
        <f t="shared" si="0"/>
        <v>56</v>
      </c>
    </row>
    <row r="27" spans="1:3" x14ac:dyDescent="0.25">
      <c r="A27" s="4">
        <v>18</v>
      </c>
      <c r="B27" s="19">
        <v>19218593.314142779</v>
      </c>
      <c r="C27" s="49">
        <f t="shared" si="0"/>
        <v>97</v>
      </c>
    </row>
    <row r="28" spans="1:3" x14ac:dyDescent="0.25">
      <c r="A28" s="4">
        <v>19</v>
      </c>
      <c r="B28" s="19">
        <v>4581701.1605495922</v>
      </c>
      <c r="C28" s="49">
        <f t="shared" si="0"/>
        <v>51</v>
      </c>
    </row>
    <row r="29" spans="1:3" x14ac:dyDescent="0.25">
      <c r="A29" s="4">
        <v>20</v>
      </c>
      <c r="B29" s="19">
        <v>7721273.5056820977</v>
      </c>
      <c r="C29" s="49">
        <f t="shared" si="0"/>
        <v>62</v>
      </c>
    </row>
    <row r="30" spans="1:3" x14ac:dyDescent="0.25">
      <c r="A30" s="4">
        <v>21</v>
      </c>
      <c r="B30" s="19">
        <v>17069669.740193065</v>
      </c>
      <c r="C30" s="49">
        <f t="shared" si="0"/>
        <v>91</v>
      </c>
    </row>
    <row r="31" spans="1:3" x14ac:dyDescent="0.25">
      <c r="A31" s="4">
        <v>22</v>
      </c>
      <c r="B31" s="19">
        <v>16713773.638876704</v>
      </c>
      <c r="C31" s="49">
        <f t="shared" si="0"/>
        <v>88</v>
      </c>
    </row>
    <row r="32" spans="1:3" x14ac:dyDescent="0.25">
      <c r="A32" s="4">
        <v>23</v>
      </c>
      <c r="B32" s="19">
        <v>-453505.14619718061</v>
      </c>
      <c r="C32" s="49">
        <f t="shared" si="0"/>
        <v>27</v>
      </c>
    </row>
    <row r="33" spans="1:3" x14ac:dyDescent="0.25">
      <c r="A33" s="4">
        <v>24</v>
      </c>
      <c r="B33" s="19">
        <v>10567765.072327029</v>
      </c>
      <c r="C33" s="49">
        <f t="shared" si="0"/>
        <v>71</v>
      </c>
    </row>
    <row r="34" spans="1:3" x14ac:dyDescent="0.25">
      <c r="A34" s="4">
        <v>25</v>
      </c>
      <c r="B34" s="19">
        <v>5679576.5495906472</v>
      </c>
      <c r="C34" s="49">
        <f t="shared" si="0"/>
        <v>55</v>
      </c>
    </row>
    <row r="35" spans="1:3" x14ac:dyDescent="0.25">
      <c r="A35" s="4">
        <v>26</v>
      </c>
      <c r="B35" s="19">
        <v>8917929.9352497365</v>
      </c>
      <c r="C35" s="49">
        <f t="shared" si="0"/>
        <v>65</v>
      </c>
    </row>
    <row r="36" spans="1:3" x14ac:dyDescent="0.25">
      <c r="A36" s="4">
        <v>27</v>
      </c>
      <c r="B36" s="19">
        <v>-364554.06114656734</v>
      </c>
      <c r="C36" s="49">
        <f t="shared" si="0"/>
        <v>41</v>
      </c>
    </row>
    <row r="37" spans="1:3" x14ac:dyDescent="0.25">
      <c r="A37" s="4">
        <v>28</v>
      </c>
      <c r="B37" s="19">
        <v>3247262.3133125976</v>
      </c>
      <c r="C37" s="49">
        <f t="shared" si="0"/>
        <v>49</v>
      </c>
    </row>
    <row r="38" spans="1:3" x14ac:dyDescent="0.25">
      <c r="A38" s="4">
        <v>29</v>
      </c>
      <c r="B38" s="19">
        <v>-793471.51046421018</v>
      </c>
      <c r="C38" s="49">
        <f t="shared" si="0"/>
        <v>3</v>
      </c>
    </row>
    <row r="39" spans="1:3" x14ac:dyDescent="0.25">
      <c r="A39" s="4">
        <v>30</v>
      </c>
      <c r="B39" s="19">
        <v>14868631.298503596</v>
      </c>
      <c r="C39" s="49">
        <f t="shared" si="0"/>
        <v>81</v>
      </c>
    </row>
    <row r="40" spans="1:3" x14ac:dyDescent="0.25">
      <c r="A40" s="4">
        <v>31</v>
      </c>
      <c r="B40" s="19">
        <v>19651072.918052975</v>
      </c>
      <c r="C40" s="49">
        <f t="shared" si="0"/>
        <v>99</v>
      </c>
    </row>
    <row r="41" spans="1:3" x14ac:dyDescent="0.25">
      <c r="A41" s="4">
        <v>32</v>
      </c>
      <c r="B41" s="19">
        <v>-214824.94912734849</v>
      </c>
      <c r="C41" s="49">
        <f t="shared" si="0"/>
        <v>43</v>
      </c>
    </row>
    <row r="42" spans="1:3" x14ac:dyDescent="0.25">
      <c r="A42" s="4">
        <v>33</v>
      </c>
      <c r="B42" s="19">
        <v>7272419.5891016321</v>
      </c>
      <c r="C42" s="49">
        <f t="shared" si="0"/>
        <v>61</v>
      </c>
    </row>
    <row r="43" spans="1:3" x14ac:dyDescent="0.25">
      <c r="A43" s="4">
        <v>34</v>
      </c>
      <c r="B43" s="19">
        <v>-528327.09165796742</v>
      </c>
      <c r="C43" s="49">
        <f t="shared" si="0"/>
        <v>16</v>
      </c>
    </row>
    <row r="44" spans="1:3" x14ac:dyDescent="0.25">
      <c r="A44" s="4">
        <v>35</v>
      </c>
      <c r="B44" s="19">
        <v>17912808.302612226</v>
      </c>
      <c r="C44" s="49">
        <f t="shared" si="0"/>
        <v>96</v>
      </c>
    </row>
    <row r="45" spans="1:3" x14ac:dyDescent="0.25">
      <c r="A45" s="4">
        <v>36</v>
      </c>
      <c r="B45" s="19">
        <v>-437994.07524572016</v>
      </c>
      <c r="C45" s="49">
        <f t="shared" si="0"/>
        <v>32</v>
      </c>
    </row>
    <row r="46" spans="1:3" x14ac:dyDescent="0.25">
      <c r="A46" s="4">
        <v>37</v>
      </c>
      <c r="B46" s="19">
        <v>16120269.297136595</v>
      </c>
      <c r="C46" s="49">
        <f t="shared" si="0"/>
        <v>85</v>
      </c>
    </row>
    <row r="47" spans="1:3" x14ac:dyDescent="0.25">
      <c r="A47" s="4">
        <v>38</v>
      </c>
      <c r="B47" s="19">
        <v>-415109.05825537932</v>
      </c>
      <c r="C47" s="49">
        <f t="shared" si="0"/>
        <v>36</v>
      </c>
    </row>
    <row r="48" spans="1:3" x14ac:dyDescent="0.25">
      <c r="A48" s="4">
        <v>39</v>
      </c>
      <c r="B48" s="19">
        <v>-430580.48361182725</v>
      </c>
      <c r="C48" s="49">
        <f t="shared" si="0"/>
        <v>34</v>
      </c>
    </row>
    <row r="49" spans="1:3" x14ac:dyDescent="0.25">
      <c r="A49" s="4">
        <v>40</v>
      </c>
      <c r="B49" s="19">
        <v>-540114.43167835835</v>
      </c>
      <c r="C49" s="49">
        <f t="shared" si="0"/>
        <v>15</v>
      </c>
    </row>
    <row r="50" spans="1:3" x14ac:dyDescent="0.25">
      <c r="A50" s="4">
        <v>41</v>
      </c>
      <c r="B50" s="19">
        <v>-458383.33806456433</v>
      </c>
      <c r="C50" s="49">
        <f t="shared" si="0"/>
        <v>26</v>
      </c>
    </row>
    <row r="51" spans="1:3" x14ac:dyDescent="0.25">
      <c r="A51" s="4">
        <v>42</v>
      </c>
      <c r="B51" s="19">
        <v>-451829.2076630498</v>
      </c>
      <c r="C51" s="49">
        <f t="shared" si="0"/>
        <v>28</v>
      </c>
    </row>
    <row r="52" spans="1:3" x14ac:dyDescent="0.25">
      <c r="A52" s="4">
        <v>43</v>
      </c>
      <c r="B52" s="19">
        <v>-138622.138103512</v>
      </c>
      <c r="C52" s="49">
        <f t="shared" si="0"/>
        <v>44</v>
      </c>
    </row>
    <row r="53" spans="1:3" x14ac:dyDescent="0.25">
      <c r="A53" s="4">
        <v>44</v>
      </c>
      <c r="B53" s="19">
        <v>-434201.52154771693</v>
      </c>
      <c r="C53" s="49">
        <f t="shared" si="0"/>
        <v>33</v>
      </c>
    </row>
    <row r="54" spans="1:3" x14ac:dyDescent="0.25">
      <c r="A54" s="4">
        <v>45</v>
      </c>
      <c r="B54" s="19">
        <v>6161377.9514987059</v>
      </c>
      <c r="C54" s="49">
        <f t="shared" si="0"/>
        <v>57</v>
      </c>
    </row>
    <row r="55" spans="1:3" x14ac:dyDescent="0.25">
      <c r="A55" s="4">
        <v>46</v>
      </c>
      <c r="B55" s="19">
        <v>11674503.997666771</v>
      </c>
      <c r="C55" s="49">
        <f t="shared" si="0"/>
        <v>74</v>
      </c>
    </row>
    <row r="56" spans="1:3" x14ac:dyDescent="0.25">
      <c r="A56" s="4">
        <v>47</v>
      </c>
      <c r="B56" s="19">
        <v>9934087.6082624774</v>
      </c>
      <c r="C56" s="49">
        <f t="shared" si="0"/>
        <v>69</v>
      </c>
    </row>
    <row r="57" spans="1:3" x14ac:dyDescent="0.25">
      <c r="A57" s="4">
        <v>48</v>
      </c>
      <c r="B57" s="19">
        <v>9672452.2189063914</v>
      </c>
      <c r="C57" s="49">
        <f t="shared" si="0"/>
        <v>67</v>
      </c>
    </row>
    <row r="58" spans="1:3" x14ac:dyDescent="0.25">
      <c r="A58" s="4">
        <v>49</v>
      </c>
      <c r="B58" s="19">
        <v>-478057.60308475792</v>
      </c>
      <c r="C58" s="49">
        <f t="shared" si="0"/>
        <v>22</v>
      </c>
    </row>
    <row r="59" spans="1:3" x14ac:dyDescent="0.25">
      <c r="A59" s="4">
        <v>50</v>
      </c>
      <c r="B59" s="19">
        <v>-377731.03167136159</v>
      </c>
      <c r="C59" s="49">
        <f t="shared" si="0"/>
        <v>40</v>
      </c>
    </row>
    <row r="60" spans="1:3" x14ac:dyDescent="0.25">
      <c r="A60" s="4">
        <v>51</v>
      </c>
      <c r="B60" s="19">
        <v>17286592.973604184</v>
      </c>
      <c r="C60" s="49">
        <f t="shared" si="0"/>
        <v>93</v>
      </c>
    </row>
    <row r="61" spans="1:3" x14ac:dyDescent="0.25">
      <c r="A61" s="4">
        <v>52</v>
      </c>
      <c r="B61" s="19">
        <v>20968163.395204961</v>
      </c>
      <c r="C61" s="49">
        <f t="shared" si="0"/>
        <v>100</v>
      </c>
    </row>
    <row r="62" spans="1:3" x14ac:dyDescent="0.25">
      <c r="A62" s="4">
        <v>53</v>
      </c>
      <c r="B62" s="19">
        <v>-517661.83028050425</v>
      </c>
      <c r="C62" s="49">
        <f t="shared" si="0"/>
        <v>17</v>
      </c>
    </row>
    <row r="63" spans="1:3" x14ac:dyDescent="0.25">
      <c r="A63" s="4">
        <v>54</v>
      </c>
      <c r="B63" s="19">
        <v>8241314.8845434468</v>
      </c>
      <c r="C63" s="49">
        <f t="shared" si="0"/>
        <v>64</v>
      </c>
    </row>
    <row r="64" spans="1:3" x14ac:dyDescent="0.25">
      <c r="A64" s="4">
        <v>55</v>
      </c>
      <c r="B64" s="19">
        <v>16993570.746970356</v>
      </c>
      <c r="C64" s="49">
        <f t="shared" si="0"/>
        <v>90</v>
      </c>
    </row>
    <row r="65" spans="1:3" x14ac:dyDescent="0.25">
      <c r="A65" s="4">
        <v>56</v>
      </c>
      <c r="B65" s="19">
        <v>15070867.951927215</v>
      </c>
      <c r="C65" s="49">
        <f t="shared" si="0"/>
        <v>82</v>
      </c>
    </row>
    <row r="66" spans="1:3" x14ac:dyDescent="0.25">
      <c r="A66" s="4">
        <v>57</v>
      </c>
      <c r="B66" s="19">
        <v>17691766.84158906</v>
      </c>
      <c r="C66" s="49">
        <f t="shared" si="0"/>
        <v>95</v>
      </c>
    </row>
    <row r="67" spans="1:3" x14ac:dyDescent="0.25">
      <c r="A67" s="4">
        <v>58</v>
      </c>
      <c r="B67" s="19">
        <v>-316870.76173713541</v>
      </c>
      <c r="C67" s="49">
        <f t="shared" si="0"/>
        <v>42</v>
      </c>
    </row>
    <row r="68" spans="1:3" x14ac:dyDescent="0.25">
      <c r="A68" s="4">
        <v>59</v>
      </c>
      <c r="B68" s="19">
        <v>-470346.84070827626</v>
      </c>
      <c r="C68" s="49">
        <f t="shared" si="0"/>
        <v>23</v>
      </c>
    </row>
    <row r="69" spans="1:3" x14ac:dyDescent="0.25">
      <c r="A69" s="4">
        <v>60</v>
      </c>
      <c r="B69" s="19">
        <v>12150052.251403302</v>
      </c>
      <c r="C69" s="49">
        <f t="shared" si="0"/>
        <v>76</v>
      </c>
    </row>
    <row r="70" spans="1:3" x14ac:dyDescent="0.25">
      <c r="A70" s="4">
        <v>61</v>
      </c>
      <c r="B70" s="19">
        <v>16456833.583448514</v>
      </c>
      <c r="C70" s="49">
        <f t="shared" si="0"/>
        <v>86</v>
      </c>
    </row>
    <row r="71" spans="1:3" x14ac:dyDescent="0.25">
      <c r="A71" s="4">
        <v>62</v>
      </c>
      <c r="B71" s="19">
        <v>-663868.46983272629</v>
      </c>
      <c r="C71" s="49">
        <f t="shared" si="0"/>
        <v>5</v>
      </c>
    </row>
    <row r="72" spans="1:3" x14ac:dyDescent="0.25">
      <c r="A72" s="4">
        <v>63</v>
      </c>
      <c r="B72" s="19">
        <v>-587164.36861021246</v>
      </c>
      <c r="C72" s="49">
        <f t="shared" si="0"/>
        <v>9</v>
      </c>
    </row>
    <row r="73" spans="1:3" x14ac:dyDescent="0.25">
      <c r="A73" s="4">
        <v>64</v>
      </c>
      <c r="B73" s="19">
        <v>14539386.210722819</v>
      </c>
      <c r="C73" s="49">
        <f t="shared" si="0"/>
        <v>80</v>
      </c>
    </row>
    <row r="74" spans="1:3" x14ac:dyDescent="0.25">
      <c r="A74" s="4">
        <v>65</v>
      </c>
      <c r="B74" s="19">
        <v>14119959.778786365</v>
      </c>
      <c r="C74" s="49">
        <f t="shared" si="0"/>
        <v>78</v>
      </c>
    </row>
    <row r="75" spans="1:3" x14ac:dyDescent="0.25">
      <c r="A75" s="4">
        <v>66</v>
      </c>
      <c r="B75" s="19">
        <v>5390709.5518103261</v>
      </c>
      <c r="C75" s="49">
        <f t="shared" ref="C75:C109" si="1">RANK(B75, $B$10:$B$109, 1)</f>
        <v>54</v>
      </c>
    </row>
    <row r="76" spans="1:3" x14ac:dyDescent="0.25">
      <c r="A76" s="4">
        <v>67</v>
      </c>
      <c r="B76" s="19">
        <v>-399779.50381419208</v>
      </c>
      <c r="C76" s="49">
        <f t="shared" si="1"/>
        <v>39</v>
      </c>
    </row>
    <row r="77" spans="1:3" x14ac:dyDescent="0.25">
      <c r="A77" s="4">
        <v>68</v>
      </c>
      <c r="B77" s="19">
        <v>-468322.18504473229</v>
      </c>
      <c r="C77" s="49">
        <f t="shared" si="1"/>
        <v>24</v>
      </c>
    </row>
    <row r="78" spans="1:3" x14ac:dyDescent="0.25">
      <c r="A78" s="4">
        <v>69</v>
      </c>
      <c r="B78" s="19">
        <v>-739368.58497000381</v>
      </c>
      <c r="C78" s="49">
        <f t="shared" si="1"/>
        <v>4</v>
      </c>
    </row>
    <row r="79" spans="1:3" x14ac:dyDescent="0.25">
      <c r="A79" s="4">
        <v>70</v>
      </c>
      <c r="B79" s="19">
        <v>17241137.895723939</v>
      </c>
      <c r="C79" s="49">
        <f t="shared" si="1"/>
        <v>92</v>
      </c>
    </row>
    <row r="80" spans="1:3" x14ac:dyDescent="0.25">
      <c r="A80" s="4">
        <v>71</v>
      </c>
      <c r="B80" s="19">
        <v>-461338.3749595714</v>
      </c>
      <c r="C80" s="49">
        <f t="shared" si="1"/>
        <v>25</v>
      </c>
    </row>
    <row r="81" spans="1:3" x14ac:dyDescent="0.25">
      <c r="A81" s="4">
        <v>72</v>
      </c>
      <c r="B81" s="19">
        <v>-493826.13712879957</v>
      </c>
      <c r="C81" s="49">
        <f t="shared" si="1"/>
        <v>20</v>
      </c>
    </row>
    <row r="82" spans="1:3" x14ac:dyDescent="0.25">
      <c r="A82" s="4">
        <v>73</v>
      </c>
      <c r="B82" s="19">
        <v>17624015.479645722</v>
      </c>
      <c r="C82" s="49">
        <f t="shared" si="1"/>
        <v>94</v>
      </c>
    </row>
    <row r="83" spans="1:3" x14ac:dyDescent="0.25">
      <c r="A83" s="4">
        <v>74</v>
      </c>
      <c r="B83" s="19">
        <v>-609143.07104578067</v>
      </c>
      <c r="C83" s="49">
        <f t="shared" si="1"/>
        <v>8</v>
      </c>
    </row>
    <row r="84" spans="1:3" x14ac:dyDescent="0.25">
      <c r="A84" s="4">
        <v>75</v>
      </c>
      <c r="B84" s="19">
        <v>11481307.815849187</v>
      </c>
      <c r="C84" s="49">
        <f t="shared" si="1"/>
        <v>73</v>
      </c>
    </row>
    <row r="85" spans="1:3" x14ac:dyDescent="0.25">
      <c r="A85" s="4">
        <v>76</v>
      </c>
      <c r="B85" s="19">
        <v>9917082.2150690369</v>
      </c>
      <c r="C85" s="49">
        <f t="shared" si="1"/>
        <v>68</v>
      </c>
    </row>
    <row r="86" spans="1:3" x14ac:dyDescent="0.25">
      <c r="A86" s="4">
        <v>77</v>
      </c>
      <c r="B86" s="19">
        <v>-494657.44072020566</v>
      </c>
      <c r="C86" s="49">
        <f t="shared" si="1"/>
        <v>19</v>
      </c>
    </row>
    <row r="87" spans="1:3" x14ac:dyDescent="0.25">
      <c r="A87" s="4">
        <v>78</v>
      </c>
      <c r="B87" s="19">
        <v>5243700.7012144383</v>
      </c>
      <c r="C87" s="49">
        <f t="shared" si="1"/>
        <v>53</v>
      </c>
    </row>
    <row r="88" spans="1:3" x14ac:dyDescent="0.25">
      <c r="A88" s="4">
        <v>79</v>
      </c>
      <c r="B88" s="19">
        <v>-566433.34223904391</v>
      </c>
      <c r="C88" s="49">
        <f t="shared" si="1"/>
        <v>11</v>
      </c>
    </row>
    <row r="89" spans="1:3" x14ac:dyDescent="0.25">
      <c r="A89" s="4">
        <v>80</v>
      </c>
      <c r="B89" s="19">
        <v>2333943.4531695712</v>
      </c>
      <c r="C89" s="49">
        <f t="shared" si="1"/>
        <v>47</v>
      </c>
    </row>
    <row r="90" spans="1:3" x14ac:dyDescent="0.25">
      <c r="A90" s="4">
        <v>81</v>
      </c>
      <c r="B90" s="19">
        <v>13666398.002214955</v>
      </c>
      <c r="C90" s="49">
        <f t="shared" si="1"/>
        <v>77</v>
      </c>
    </row>
    <row r="91" spans="1:3" x14ac:dyDescent="0.25">
      <c r="A91" s="4">
        <v>82</v>
      </c>
      <c r="B91" s="19">
        <v>11990610.574417308</v>
      </c>
      <c r="C91" s="49">
        <f t="shared" si="1"/>
        <v>75</v>
      </c>
    </row>
    <row r="92" spans="1:3" x14ac:dyDescent="0.25">
      <c r="A92" s="4">
        <v>83</v>
      </c>
      <c r="B92" s="19">
        <v>-642809.70872035669</v>
      </c>
      <c r="C92" s="49">
        <f t="shared" si="1"/>
        <v>6</v>
      </c>
    </row>
    <row r="93" spans="1:3" x14ac:dyDescent="0.25">
      <c r="A93" s="4">
        <v>84</v>
      </c>
      <c r="B93" s="19">
        <v>-450847.25251110591</v>
      </c>
      <c r="C93" s="49">
        <f t="shared" si="1"/>
        <v>30</v>
      </c>
    </row>
    <row r="94" spans="1:3" x14ac:dyDescent="0.25">
      <c r="A94" s="4">
        <v>85</v>
      </c>
      <c r="B94" s="19">
        <v>4287289.3923663609</v>
      </c>
      <c r="C94" s="49">
        <f t="shared" si="1"/>
        <v>50</v>
      </c>
    </row>
    <row r="95" spans="1:3" x14ac:dyDescent="0.25">
      <c r="A95" s="4">
        <v>86</v>
      </c>
      <c r="B95" s="19">
        <v>6983427.0956256567</v>
      </c>
      <c r="C95" s="49">
        <f t="shared" si="1"/>
        <v>59</v>
      </c>
    </row>
    <row r="96" spans="1:3" x14ac:dyDescent="0.25">
      <c r="A96" s="4">
        <v>87</v>
      </c>
      <c r="B96" s="19">
        <v>-451473.19055874797</v>
      </c>
      <c r="C96" s="49">
        <f t="shared" si="1"/>
        <v>29</v>
      </c>
    </row>
    <row r="97" spans="1:3" x14ac:dyDescent="0.25">
      <c r="A97" s="4">
        <v>88</v>
      </c>
      <c r="B97" s="19">
        <v>-542875.08351082494</v>
      </c>
      <c r="C97" s="49">
        <f t="shared" si="1"/>
        <v>14</v>
      </c>
    </row>
    <row r="98" spans="1:3" x14ac:dyDescent="0.25">
      <c r="A98" s="4">
        <v>89</v>
      </c>
      <c r="B98" s="19">
        <v>-552410.5294220607</v>
      </c>
      <c r="C98" s="49">
        <f t="shared" si="1"/>
        <v>12</v>
      </c>
    </row>
    <row r="99" spans="1:3" x14ac:dyDescent="0.25">
      <c r="A99" s="4">
        <v>90</v>
      </c>
      <c r="B99" s="19">
        <v>9667649.4037291501</v>
      </c>
      <c r="C99" s="49">
        <f t="shared" si="1"/>
        <v>66</v>
      </c>
    </row>
    <row r="100" spans="1:3" x14ac:dyDescent="0.25">
      <c r="A100" s="4">
        <v>91</v>
      </c>
      <c r="B100" s="19">
        <v>-619189.38146994903</v>
      </c>
      <c r="C100" s="49">
        <f t="shared" si="1"/>
        <v>7</v>
      </c>
    </row>
    <row r="101" spans="1:3" x14ac:dyDescent="0.25">
      <c r="A101" s="4">
        <v>92</v>
      </c>
      <c r="B101" s="19">
        <v>-496689.60395404877</v>
      </c>
      <c r="C101" s="49">
        <f t="shared" si="1"/>
        <v>18</v>
      </c>
    </row>
    <row r="102" spans="1:3" x14ac:dyDescent="0.25">
      <c r="A102" s="4">
        <v>93</v>
      </c>
      <c r="B102" s="19">
        <v>-411875.50332214712</v>
      </c>
      <c r="C102" s="49">
        <f t="shared" si="1"/>
        <v>37</v>
      </c>
    </row>
    <row r="103" spans="1:3" x14ac:dyDescent="0.25">
      <c r="A103" s="4">
        <v>94</v>
      </c>
      <c r="B103" s="19">
        <v>-402362.97886260465</v>
      </c>
      <c r="C103" s="49">
        <f t="shared" si="1"/>
        <v>38</v>
      </c>
    </row>
    <row r="104" spans="1:3" x14ac:dyDescent="0.25">
      <c r="A104" s="4">
        <v>95</v>
      </c>
      <c r="B104" s="19">
        <v>11254407.153654296</v>
      </c>
      <c r="C104" s="49">
        <f t="shared" si="1"/>
        <v>72</v>
      </c>
    </row>
    <row r="105" spans="1:3" x14ac:dyDescent="0.25">
      <c r="A105" s="4">
        <v>96</v>
      </c>
      <c r="B105" s="52">
        <f>'Q2(a)(cash flow)'!B31</f>
        <v>16653907.18241428</v>
      </c>
      <c r="C105" s="49">
        <f t="shared" si="1"/>
        <v>87</v>
      </c>
    </row>
    <row r="106" spans="1:3" x14ac:dyDescent="0.25">
      <c r="A106" s="4">
        <v>97</v>
      </c>
      <c r="B106" s="52">
        <f>'Q2(a)(cash flow)'!B48</f>
        <v>-3033437.7121754144</v>
      </c>
      <c r="C106" s="49">
        <f t="shared" si="1"/>
        <v>2</v>
      </c>
    </row>
    <row r="107" spans="1:3" x14ac:dyDescent="0.25">
      <c r="A107" s="4">
        <v>98</v>
      </c>
      <c r="B107" s="52">
        <f>'Q2(a)(cash flow)'!B65</f>
        <v>14129363.551831873</v>
      </c>
      <c r="C107" s="49">
        <f t="shared" si="1"/>
        <v>79</v>
      </c>
    </row>
    <row r="108" spans="1:3" x14ac:dyDescent="0.25">
      <c r="A108" s="4">
        <v>99</v>
      </c>
      <c r="B108" s="52">
        <f>'Q2(a)(cash flow)'!B82</f>
        <v>-4850164.7385019194</v>
      </c>
      <c r="C108" s="49">
        <f t="shared" si="1"/>
        <v>1</v>
      </c>
    </row>
    <row r="109" spans="1:3" x14ac:dyDescent="0.25">
      <c r="A109" s="4">
        <v>100</v>
      </c>
      <c r="B109" s="52">
        <f>'Q2(a)(cash flow)'!B99</f>
        <v>2471770.7334310208</v>
      </c>
      <c r="C109" s="49">
        <f t="shared" si="1"/>
        <v>48</v>
      </c>
    </row>
  </sheetData>
  <pageMargins left="0.7" right="0.7" top="0.75" bottom="0.75" header="0.3" footer="0.3"/>
  <pageSetup orientation="portrait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389A5-CBC0-48C1-9FFC-0F9D9DEDDBC3}">
  <dimension ref="A1:L19"/>
  <sheetViews>
    <sheetView workbookViewId="0">
      <selection activeCell="B34" sqref="B34"/>
    </sheetView>
  </sheetViews>
  <sheetFormatPr defaultRowHeight="13.2" x14ac:dyDescent="0.25"/>
  <cols>
    <col min="1" max="1" width="21.5546875" style="160" customWidth="1"/>
    <col min="2" max="4" width="14.5546875" style="160" customWidth="1"/>
    <col min="5" max="5" width="8.88671875" style="160"/>
    <col min="6" max="8" width="12.109375" style="160" customWidth="1"/>
    <col min="9" max="9" width="38.33203125" style="160" bestFit="1" customWidth="1"/>
    <col min="10" max="16384" width="8.88671875" style="160"/>
  </cols>
  <sheetData>
    <row r="1" spans="1:12" ht="15.6" x14ac:dyDescent="0.3">
      <c r="A1" s="179" t="s">
        <v>133</v>
      </c>
      <c r="B1" s="161"/>
      <c r="C1" s="164"/>
      <c r="D1" s="164"/>
      <c r="E1" s="161"/>
      <c r="F1" s="163"/>
      <c r="G1" s="163"/>
      <c r="H1" s="161"/>
      <c r="I1" s="161"/>
      <c r="J1" s="162"/>
      <c r="K1" s="161"/>
      <c r="L1" s="161"/>
    </row>
    <row r="2" spans="1:12" ht="15.6" x14ac:dyDescent="0.3">
      <c r="A2" s="179" t="s">
        <v>134</v>
      </c>
      <c r="B2" s="161"/>
      <c r="C2" s="164"/>
      <c r="D2" s="164"/>
      <c r="E2" s="161"/>
      <c r="F2" s="163"/>
      <c r="G2" s="163"/>
      <c r="H2" s="161"/>
      <c r="I2" s="161"/>
      <c r="J2" s="162"/>
      <c r="K2" s="161"/>
      <c r="L2" s="161"/>
    </row>
    <row r="3" spans="1:12" ht="15.6" x14ac:dyDescent="0.3">
      <c r="A3" s="179" t="s">
        <v>135</v>
      </c>
      <c r="B3" s="161"/>
      <c r="C3" s="164"/>
      <c r="D3" s="164"/>
      <c r="E3" s="161"/>
      <c r="F3" s="163"/>
      <c r="G3" s="163"/>
      <c r="H3" s="161"/>
      <c r="I3" s="161"/>
      <c r="J3" s="162"/>
      <c r="K3" s="161"/>
      <c r="L3" s="161"/>
    </row>
    <row r="4" spans="1:12" ht="15.6" x14ac:dyDescent="0.3">
      <c r="A4" s="179" t="s">
        <v>136</v>
      </c>
      <c r="B4" s="161"/>
      <c r="C4" s="164"/>
      <c r="D4" s="164"/>
      <c r="E4" s="161"/>
      <c r="F4" s="163"/>
      <c r="G4" s="163"/>
      <c r="H4" s="161"/>
      <c r="I4" s="161"/>
      <c r="J4" s="162"/>
      <c r="K4" s="161"/>
      <c r="L4" s="161"/>
    </row>
    <row r="5" spans="1:12" ht="15.6" x14ac:dyDescent="0.3">
      <c r="A5" s="179" t="s">
        <v>137</v>
      </c>
      <c r="B5" s="161"/>
      <c r="C5" s="164"/>
      <c r="D5" s="164"/>
      <c r="E5" s="161"/>
      <c r="F5" s="163"/>
      <c r="G5" s="163"/>
      <c r="H5" s="161"/>
      <c r="I5" s="161"/>
      <c r="J5" s="162"/>
      <c r="K5" s="161"/>
      <c r="L5" s="161"/>
    </row>
    <row r="6" spans="1:12" ht="15.6" x14ac:dyDescent="0.3">
      <c r="A6" s="179" t="s">
        <v>138</v>
      </c>
      <c r="B6" s="161"/>
      <c r="C6" s="164"/>
      <c r="D6" s="164"/>
      <c r="E6" s="161"/>
      <c r="F6" s="163"/>
      <c r="G6" s="163"/>
      <c r="H6" s="161"/>
      <c r="I6" s="161"/>
      <c r="J6" s="162"/>
      <c r="K6" s="161"/>
      <c r="L6" s="161"/>
    </row>
    <row r="7" spans="1:12" ht="14.4" x14ac:dyDescent="0.3">
      <c r="A7" s="161"/>
      <c r="B7" s="164"/>
      <c r="C7" s="164"/>
      <c r="D7" s="164"/>
      <c r="E7" s="161"/>
      <c r="F7" s="163"/>
      <c r="G7" s="163"/>
      <c r="H7" s="161"/>
      <c r="I7" s="161"/>
      <c r="J7" s="162"/>
      <c r="K7" s="161"/>
      <c r="L7" s="161"/>
    </row>
    <row r="8" spans="1:12" ht="14.4" x14ac:dyDescent="0.3">
      <c r="A8" s="161"/>
      <c r="B8" s="164"/>
      <c r="C8" s="164"/>
      <c r="D8" s="164"/>
      <c r="E8" s="161"/>
      <c r="F8" s="178" t="s">
        <v>193</v>
      </c>
      <c r="G8" s="163"/>
      <c r="H8" s="161"/>
      <c r="I8" s="161"/>
      <c r="J8" s="162"/>
      <c r="K8" s="161"/>
      <c r="L8" s="161"/>
    </row>
    <row r="9" spans="1:12" ht="14.4" x14ac:dyDescent="0.3">
      <c r="A9" s="161"/>
      <c r="B9" s="262" t="s">
        <v>194</v>
      </c>
      <c r="C9" s="263"/>
      <c r="D9" s="164"/>
      <c r="E9" s="161"/>
      <c r="F9" s="163"/>
      <c r="G9" s="163"/>
      <c r="H9" s="161"/>
      <c r="I9" s="161"/>
      <c r="J9" s="162"/>
      <c r="K9" s="161"/>
      <c r="L9" s="161"/>
    </row>
    <row r="10" spans="1:12" ht="43.2" x14ac:dyDescent="0.3">
      <c r="A10" s="177" t="s">
        <v>195</v>
      </c>
      <c r="B10" s="176" t="s">
        <v>196</v>
      </c>
      <c r="C10" s="176" t="s">
        <v>197</v>
      </c>
      <c r="D10" s="176" t="s">
        <v>198</v>
      </c>
      <c r="E10" s="161"/>
      <c r="F10" s="175" t="s">
        <v>199</v>
      </c>
      <c r="G10" s="175" t="s">
        <v>200</v>
      </c>
      <c r="H10" s="175" t="s">
        <v>201</v>
      </c>
      <c r="I10" s="175" t="s">
        <v>199</v>
      </c>
      <c r="J10" s="162"/>
      <c r="K10" s="161"/>
      <c r="L10" s="161"/>
    </row>
    <row r="11" spans="1:12" ht="14.4" x14ac:dyDescent="0.3">
      <c r="A11" s="161" t="s">
        <v>202</v>
      </c>
      <c r="B11" s="174">
        <v>200</v>
      </c>
      <c r="C11" s="174">
        <v>20</v>
      </c>
      <c r="D11" s="174">
        <v>210</v>
      </c>
      <c r="E11" s="161"/>
      <c r="F11" s="173">
        <f>_xlfn.NORM.DIST(D11,B11,C11,TRUE)</f>
        <v>0.69146246127401312</v>
      </c>
      <c r="G11" s="170">
        <f>1-F11</f>
        <v>0.30853753872598688</v>
      </c>
      <c r="H11" s="169" t="s">
        <v>203</v>
      </c>
      <c r="I11" s="161" t="s">
        <v>226</v>
      </c>
      <c r="J11" s="162"/>
      <c r="K11" s="161"/>
      <c r="L11" s="172"/>
    </row>
    <row r="12" spans="1:12" ht="14.4" x14ac:dyDescent="0.3">
      <c r="A12" s="161" t="s">
        <v>204</v>
      </c>
      <c r="B12" s="174">
        <v>40</v>
      </c>
      <c r="C12" s="174">
        <v>5</v>
      </c>
      <c r="D12" s="174">
        <v>45</v>
      </c>
      <c r="E12" s="161"/>
      <c r="F12" s="173">
        <f>_xlfn.NORM.DIST(D12,B12,C12,TRUE)</f>
        <v>0.84134474606854304</v>
      </c>
      <c r="G12" s="170">
        <f>1-F12</f>
        <v>0.15865525393145696</v>
      </c>
      <c r="H12" s="169" t="s">
        <v>203</v>
      </c>
      <c r="I12" s="161" t="s">
        <v>225</v>
      </c>
      <c r="J12" s="162"/>
      <c r="K12" s="161"/>
      <c r="L12" s="172"/>
    </row>
    <row r="13" spans="1:12" ht="14.4" x14ac:dyDescent="0.3">
      <c r="A13" s="161"/>
      <c r="B13" s="164"/>
      <c r="C13" s="164"/>
      <c r="D13" s="164"/>
      <c r="E13" s="161"/>
      <c r="F13" s="163"/>
      <c r="G13" s="163"/>
      <c r="H13" s="169"/>
      <c r="I13" s="161"/>
      <c r="J13" s="162"/>
      <c r="K13" s="161"/>
      <c r="L13" s="161"/>
    </row>
    <row r="14" spans="1:12" ht="14.4" x14ac:dyDescent="0.3">
      <c r="A14" s="161"/>
      <c r="B14" s="164"/>
      <c r="C14" s="164"/>
      <c r="D14" s="164"/>
      <c r="E14" s="161"/>
      <c r="F14" s="171">
        <f>(F11^(-2)+F12^(-2)-1)^(-1/2)</f>
        <v>0.63192109697264587</v>
      </c>
      <c r="G14" s="170">
        <f>1-F14</f>
        <v>0.36807890302735413</v>
      </c>
      <c r="H14" s="169" t="s">
        <v>207</v>
      </c>
      <c r="I14" s="165"/>
      <c r="J14" s="166"/>
      <c r="K14" s="165"/>
      <c r="L14" s="161"/>
    </row>
    <row r="15" spans="1:12" ht="14.4" x14ac:dyDescent="0.3">
      <c r="A15" s="161"/>
      <c r="B15" s="164"/>
      <c r="C15" s="164"/>
      <c r="D15" s="164"/>
      <c r="E15" s="161"/>
      <c r="F15" s="168"/>
      <c r="G15" s="167"/>
      <c r="H15" s="165"/>
      <c r="I15" s="165"/>
      <c r="J15" s="166"/>
      <c r="K15" s="165"/>
      <c r="L15" s="161"/>
    </row>
    <row r="16" spans="1:12" ht="14.4" x14ac:dyDescent="0.3">
      <c r="A16" s="161"/>
      <c r="B16" s="164"/>
      <c r="C16" s="164"/>
      <c r="D16" s="164"/>
      <c r="E16" s="161"/>
      <c r="F16" s="162"/>
      <c r="G16" s="163"/>
      <c r="H16" s="161"/>
      <c r="I16" s="161"/>
      <c r="J16" s="162"/>
      <c r="K16" s="161"/>
      <c r="L16" s="161"/>
    </row>
    <row r="17" spans="1:12" ht="14.4" x14ac:dyDescent="0.3">
      <c r="A17" s="161"/>
      <c r="B17" s="164"/>
      <c r="C17" s="164"/>
      <c r="D17" s="164"/>
      <c r="E17" s="161"/>
      <c r="F17" s="163"/>
      <c r="G17" s="163"/>
      <c r="H17" s="161"/>
      <c r="I17" s="161"/>
      <c r="J17" s="162"/>
      <c r="K17" s="161"/>
      <c r="L17" s="161"/>
    </row>
    <row r="18" spans="1:12" ht="14.4" x14ac:dyDescent="0.3">
      <c r="A18" s="161"/>
      <c r="B18" s="164"/>
      <c r="C18" s="164"/>
      <c r="D18" s="164"/>
      <c r="E18" s="161"/>
      <c r="F18" s="163"/>
      <c r="G18" s="163"/>
      <c r="H18" s="161"/>
      <c r="I18" s="161"/>
      <c r="J18" s="162"/>
      <c r="K18" s="161"/>
      <c r="L18" s="161"/>
    </row>
    <row r="19" spans="1:12" ht="14.4" x14ac:dyDescent="0.3">
      <c r="A19" s="161"/>
      <c r="B19" s="164"/>
      <c r="C19" s="164"/>
      <c r="D19" s="164"/>
      <c r="E19" s="161"/>
      <c r="F19" s="163"/>
      <c r="G19" s="163"/>
      <c r="H19" s="161"/>
      <c r="I19" s="161"/>
      <c r="J19" s="162"/>
      <c r="K19" s="161"/>
      <c r="L19" s="161"/>
    </row>
  </sheetData>
  <mergeCells count="1">
    <mergeCell ref="B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2BB38-D621-42D5-835F-B7D7FE16D5A9}">
  <dimension ref="A1:H135"/>
  <sheetViews>
    <sheetView topLeftCell="A94" workbookViewId="0">
      <selection activeCell="B34" sqref="B34"/>
    </sheetView>
  </sheetViews>
  <sheetFormatPr defaultColWidth="9.109375" defaultRowHeight="14.4" x14ac:dyDescent="0.3"/>
  <cols>
    <col min="1" max="1" width="9.44140625" style="161" customWidth="1"/>
    <col min="2" max="2" width="13.88671875" style="161" customWidth="1"/>
    <col min="3" max="3" width="10.5546875" style="161" bestFit="1" customWidth="1"/>
    <col min="4" max="4" width="12.77734375" style="161" bestFit="1" customWidth="1"/>
    <col min="5" max="5" width="9.88671875" style="161" customWidth="1"/>
    <col min="6" max="6" width="9.109375" style="161"/>
    <col min="7" max="7" width="12.21875" style="161" bestFit="1" customWidth="1"/>
    <col min="8" max="8" width="11.21875" style="161" bestFit="1" customWidth="1"/>
    <col min="9" max="16384" width="9.109375" style="161"/>
  </cols>
  <sheetData>
    <row r="1" spans="1:5" ht="15.6" x14ac:dyDescent="0.3">
      <c r="A1" s="179" t="s">
        <v>133</v>
      </c>
    </row>
    <row r="2" spans="1:5" ht="15.6" x14ac:dyDescent="0.3">
      <c r="A2" s="179" t="s">
        <v>134</v>
      </c>
    </row>
    <row r="3" spans="1:5" ht="15.6" x14ac:dyDescent="0.3">
      <c r="A3" s="179" t="s">
        <v>135</v>
      </c>
    </row>
    <row r="4" spans="1:5" ht="15.6" x14ac:dyDescent="0.3">
      <c r="A4" s="179" t="s">
        <v>136</v>
      </c>
    </row>
    <row r="5" spans="1:5" ht="15.6" x14ac:dyDescent="0.3">
      <c r="A5" s="179" t="s">
        <v>137</v>
      </c>
    </row>
    <row r="6" spans="1:5" ht="15.6" x14ac:dyDescent="0.3">
      <c r="A6" s="179" t="s">
        <v>138</v>
      </c>
    </row>
    <row r="7" spans="1:5" ht="15" thickBot="1" x14ac:dyDescent="0.35"/>
    <row r="8" spans="1:5" ht="19.2" thickTop="1" thickBot="1" x14ac:dyDescent="0.4">
      <c r="A8" s="264" t="s">
        <v>208</v>
      </c>
      <c r="B8" s="265"/>
      <c r="C8" s="265"/>
      <c r="D8" s="265"/>
      <c r="E8" s="266"/>
    </row>
    <row r="9" spans="1:5" ht="15" thickTop="1" x14ac:dyDescent="0.3"/>
    <row r="10" spans="1:5" x14ac:dyDescent="0.3">
      <c r="C10" s="267" t="s">
        <v>209</v>
      </c>
      <c r="D10" s="268"/>
      <c r="E10" s="269"/>
    </row>
    <row r="11" spans="1:5" ht="28.8" x14ac:dyDescent="0.3">
      <c r="A11" s="177" t="s">
        <v>210</v>
      </c>
      <c r="B11" s="177" t="s">
        <v>211</v>
      </c>
      <c r="C11" s="177" t="s">
        <v>227</v>
      </c>
      <c r="D11" s="177" t="s">
        <v>204</v>
      </c>
      <c r="E11" s="176" t="s">
        <v>212</v>
      </c>
    </row>
    <row r="12" spans="1:5" x14ac:dyDescent="0.3">
      <c r="A12" s="161">
        <v>1</v>
      </c>
      <c r="B12" s="161">
        <v>1877</v>
      </c>
      <c r="C12" s="161">
        <v>274</v>
      </c>
      <c r="D12" s="161">
        <v>69</v>
      </c>
      <c r="E12" s="161">
        <v>343</v>
      </c>
    </row>
    <row r="13" spans="1:5" x14ac:dyDescent="0.3">
      <c r="A13" s="161">
        <f t="shared" ref="A13:A44" si="0">+A12+1</f>
        <v>2</v>
      </c>
      <c r="B13" s="161">
        <v>7177</v>
      </c>
      <c r="C13" s="161">
        <v>272</v>
      </c>
      <c r="D13" s="161">
        <v>69</v>
      </c>
      <c r="E13" s="161">
        <v>341</v>
      </c>
    </row>
    <row r="14" spans="1:5" x14ac:dyDescent="0.3">
      <c r="A14" s="161">
        <f t="shared" si="0"/>
        <v>3</v>
      </c>
      <c r="B14" s="161">
        <v>8945</v>
      </c>
      <c r="C14" s="161">
        <v>271</v>
      </c>
      <c r="D14" s="161">
        <v>69</v>
      </c>
      <c r="E14" s="161">
        <v>340</v>
      </c>
    </row>
    <row r="15" spans="1:5" x14ac:dyDescent="0.3">
      <c r="A15" s="161">
        <f t="shared" si="0"/>
        <v>4</v>
      </c>
      <c r="B15" s="161">
        <v>8614</v>
      </c>
      <c r="C15" s="161">
        <v>263</v>
      </c>
      <c r="D15" s="161">
        <v>67</v>
      </c>
      <c r="E15" s="161">
        <v>330</v>
      </c>
    </row>
    <row r="16" spans="1:5" x14ac:dyDescent="0.3">
      <c r="A16" s="161">
        <f t="shared" si="0"/>
        <v>5</v>
      </c>
      <c r="B16" s="161">
        <v>1778</v>
      </c>
      <c r="C16" s="161">
        <v>263</v>
      </c>
      <c r="D16" s="161">
        <v>66</v>
      </c>
      <c r="E16" s="161">
        <v>329</v>
      </c>
    </row>
    <row r="17" spans="1:5" x14ac:dyDescent="0.3">
      <c r="A17" s="161">
        <f t="shared" si="0"/>
        <v>6</v>
      </c>
      <c r="B17" s="161">
        <v>4555</v>
      </c>
      <c r="C17" s="161">
        <v>264</v>
      </c>
      <c r="D17" s="161">
        <v>63</v>
      </c>
      <c r="E17" s="161">
        <v>327</v>
      </c>
    </row>
    <row r="18" spans="1:5" x14ac:dyDescent="0.3">
      <c r="A18" s="161">
        <f t="shared" si="0"/>
        <v>7</v>
      </c>
      <c r="B18" s="161">
        <v>8932</v>
      </c>
      <c r="C18" s="161">
        <v>263</v>
      </c>
      <c r="D18" s="161">
        <v>64</v>
      </c>
      <c r="E18" s="161">
        <v>327</v>
      </c>
    </row>
    <row r="19" spans="1:5" x14ac:dyDescent="0.3">
      <c r="A19" s="161">
        <f t="shared" si="0"/>
        <v>8</v>
      </c>
      <c r="B19" s="161">
        <v>3385</v>
      </c>
      <c r="C19" s="161">
        <v>261</v>
      </c>
      <c r="D19" s="161">
        <v>64</v>
      </c>
      <c r="E19" s="161">
        <v>325</v>
      </c>
    </row>
    <row r="20" spans="1:5" x14ac:dyDescent="0.3">
      <c r="A20" s="161">
        <f t="shared" si="0"/>
        <v>9</v>
      </c>
      <c r="B20" s="161">
        <v>9380</v>
      </c>
      <c r="C20" s="161">
        <v>260</v>
      </c>
      <c r="D20" s="161">
        <v>65</v>
      </c>
      <c r="E20" s="161">
        <v>325</v>
      </c>
    </row>
    <row r="21" spans="1:5" x14ac:dyDescent="0.3">
      <c r="A21" s="161">
        <f t="shared" si="0"/>
        <v>10</v>
      </c>
      <c r="B21" s="161">
        <v>1869</v>
      </c>
      <c r="C21" s="161">
        <v>260</v>
      </c>
      <c r="D21" s="161">
        <v>64</v>
      </c>
      <c r="E21" s="161">
        <v>324</v>
      </c>
    </row>
    <row r="22" spans="1:5" x14ac:dyDescent="0.3">
      <c r="A22" s="161">
        <f t="shared" si="0"/>
        <v>11</v>
      </c>
      <c r="B22" s="161">
        <v>7655</v>
      </c>
      <c r="C22" s="161">
        <v>261</v>
      </c>
      <c r="D22" s="161">
        <v>63</v>
      </c>
      <c r="E22" s="161">
        <v>324</v>
      </c>
    </row>
    <row r="23" spans="1:5" x14ac:dyDescent="0.3">
      <c r="A23" s="161">
        <f t="shared" si="0"/>
        <v>12</v>
      </c>
      <c r="B23" s="161">
        <v>9105</v>
      </c>
      <c r="C23" s="161">
        <v>260</v>
      </c>
      <c r="D23" s="161">
        <v>63</v>
      </c>
      <c r="E23" s="161">
        <v>323</v>
      </c>
    </row>
    <row r="24" spans="1:5" x14ac:dyDescent="0.3">
      <c r="A24" s="161">
        <f t="shared" si="0"/>
        <v>13</v>
      </c>
      <c r="B24" s="161">
        <v>8647</v>
      </c>
      <c r="C24" s="161">
        <v>256</v>
      </c>
      <c r="D24" s="161">
        <v>64</v>
      </c>
      <c r="E24" s="161">
        <v>320</v>
      </c>
    </row>
    <row r="25" spans="1:5" x14ac:dyDescent="0.3">
      <c r="A25" s="161">
        <f t="shared" si="0"/>
        <v>14</v>
      </c>
      <c r="B25" s="161">
        <v>6865</v>
      </c>
      <c r="C25" s="161">
        <v>257</v>
      </c>
      <c r="D25" s="161">
        <v>62</v>
      </c>
      <c r="E25" s="161">
        <v>319</v>
      </c>
    </row>
    <row r="26" spans="1:5" x14ac:dyDescent="0.3">
      <c r="A26" s="161">
        <f t="shared" si="0"/>
        <v>15</v>
      </c>
      <c r="B26" s="161">
        <v>975</v>
      </c>
      <c r="C26" s="161">
        <v>255</v>
      </c>
      <c r="D26" s="161">
        <v>63</v>
      </c>
      <c r="E26" s="161">
        <v>318</v>
      </c>
    </row>
    <row r="27" spans="1:5" x14ac:dyDescent="0.3">
      <c r="A27" s="161">
        <f t="shared" si="0"/>
        <v>16</v>
      </c>
      <c r="B27" s="161">
        <v>1980</v>
      </c>
      <c r="C27" s="161">
        <v>256</v>
      </c>
      <c r="D27" s="161">
        <v>62</v>
      </c>
      <c r="E27" s="161">
        <v>318</v>
      </c>
    </row>
    <row r="28" spans="1:5" x14ac:dyDescent="0.3">
      <c r="A28" s="161">
        <f t="shared" si="0"/>
        <v>17</v>
      </c>
      <c r="B28" s="161">
        <v>4096</v>
      </c>
      <c r="C28" s="161">
        <v>254</v>
      </c>
      <c r="D28" s="161">
        <v>64</v>
      </c>
      <c r="E28" s="161">
        <v>318</v>
      </c>
    </row>
    <row r="29" spans="1:5" x14ac:dyDescent="0.3">
      <c r="A29" s="161">
        <f t="shared" si="0"/>
        <v>18</v>
      </c>
      <c r="B29" s="161">
        <v>3104</v>
      </c>
      <c r="C29" s="161">
        <v>259</v>
      </c>
      <c r="D29" s="161">
        <v>58</v>
      </c>
      <c r="E29" s="161">
        <v>317</v>
      </c>
    </row>
    <row r="30" spans="1:5" x14ac:dyDescent="0.3">
      <c r="A30" s="161">
        <f t="shared" si="0"/>
        <v>19</v>
      </c>
      <c r="B30" s="161">
        <v>4919</v>
      </c>
      <c r="C30" s="161">
        <v>254</v>
      </c>
      <c r="D30" s="161">
        <v>63</v>
      </c>
      <c r="E30" s="161">
        <v>317</v>
      </c>
    </row>
    <row r="31" spans="1:5" x14ac:dyDescent="0.3">
      <c r="A31" s="161">
        <f t="shared" si="0"/>
        <v>20</v>
      </c>
      <c r="B31" s="161">
        <v>9833</v>
      </c>
      <c r="C31" s="161">
        <v>256</v>
      </c>
      <c r="D31" s="161">
        <v>61</v>
      </c>
      <c r="E31" s="161">
        <v>317</v>
      </c>
    </row>
    <row r="32" spans="1:5" x14ac:dyDescent="0.3">
      <c r="A32" s="161">
        <f t="shared" si="0"/>
        <v>21</v>
      </c>
      <c r="B32" s="161">
        <v>4644</v>
      </c>
      <c r="C32" s="161">
        <v>255</v>
      </c>
      <c r="D32" s="161">
        <v>61</v>
      </c>
      <c r="E32" s="161">
        <v>316</v>
      </c>
    </row>
    <row r="33" spans="1:5" x14ac:dyDescent="0.3">
      <c r="A33" s="161">
        <f t="shared" si="0"/>
        <v>22</v>
      </c>
      <c r="B33" s="161">
        <v>1747</v>
      </c>
      <c r="C33" s="161">
        <v>257</v>
      </c>
      <c r="D33" s="161">
        <v>58</v>
      </c>
      <c r="E33" s="161">
        <v>315</v>
      </c>
    </row>
    <row r="34" spans="1:5" x14ac:dyDescent="0.3">
      <c r="A34" s="161">
        <f t="shared" si="0"/>
        <v>23</v>
      </c>
      <c r="B34" s="161">
        <v>2428</v>
      </c>
      <c r="C34" s="161">
        <v>252</v>
      </c>
      <c r="D34" s="161">
        <v>63</v>
      </c>
      <c r="E34" s="161">
        <v>315</v>
      </c>
    </row>
    <row r="35" spans="1:5" x14ac:dyDescent="0.3">
      <c r="A35" s="161">
        <f t="shared" si="0"/>
        <v>24</v>
      </c>
      <c r="B35" s="161">
        <v>9696</v>
      </c>
      <c r="C35" s="161">
        <v>252</v>
      </c>
      <c r="D35" s="161">
        <v>63</v>
      </c>
      <c r="E35" s="161">
        <v>315</v>
      </c>
    </row>
    <row r="36" spans="1:5" x14ac:dyDescent="0.3">
      <c r="A36" s="161">
        <f t="shared" si="0"/>
        <v>25</v>
      </c>
      <c r="B36" s="161">
        <v>124</v>
      </c>
      <c r="C36" s="161">
        <v>250</v>
      </c>
      <c r="D36" s="161">
        <v>64</v>
      </c>
      <c r="E36" s="161">
        <v>314</v>
      </c>
    </row>
    <row r="37" spans="1:5" x14ac:dyDescent="0.3">
      <c r="A37" s="161">
        <f t="shared" si="0"/>
        <v>26</v>
      </c>
      <c r="B37" s="161">
        <v>214</v>
      </c>
      <c r="C37" s="161">
        <v>252</v>
      </c>
      <c r="D37" s="161">
        <v>62</v>
      </c>
      <c r="E37" s="161">
        <v>314</v>
      </c>
    </row>
    <row r="38" spans="1:5" x14ac:dyDescent="0.3">
      <c r="A38" s="161">
        <f t="shared" si="0"/>
        <v>27</v>
      </c>
      <c r="B38" s="161">
        <v>1943</v>
      </c>
      <c r="C38" s="161">
        <v>256</v>
      </c>
      <c r="D38" s="161">
        <v>58</v>
      </c>
      <c r="E38" s="161">
        <v>314</v>
      </c>
    </row>
    <row r="39" spans="1:5" x14ac:dyDescent="0.3">
      <c r="A39" s="161">
        <f t="shared" si="0"/>
        <v>28</v>
      </c>
      <c r="B39" s="161">
        <v>8174</v>
      </c>
      <c r="C39" s="161">
        <v>254</v>
      </c>
      <c r="D39" s="161">
        <v>60</v>
      </c>
      <c r="E39" s="161">
        <v>314</v>
      </c>
    </row>
    <row r="40" spans="1:5" x14ac:dyDescent="0.3">
      <c r="A40" s="161">
        <f t="shared" si="0"/>
        <v>29</v>
      </c>
      <c r="B40" s="161">
        <v>9586</v>
      </c>
      <c r="C40" s="161">
        <v>253</v>
      </c>
      <c r="D40" s="161">
        <v>61</v>
      </c>
      <c r="E40" s="161">
        <v>314</v>
      </c>
    </row>
    <row r="41" spans="1:5" x14ac:dyDescent="0.3">
      <c r="A41" s="161">
        <f t="shared" si="0"/>
        <v>30</v>
      </c>
      <c r="B41" s="161">
        <v>9865</v>
      </c>
      <c r="C41" s="161">
        <v>254</v>
      </c>
      <c r="D41" s="161">
        <v>60</v>
      </c>
      <c r="E41" s="161">
        <v>314</v>
      </c>
    </row>
    <row r="42" spans="1:5" x14ac:dyDescent="0.3">
      <c r="A42" s="161">
        <f t="shared" si="0"/>
        <v>31</v>
      </c>
      <c r="B42" s="161">
        <v>4138</v>
      </c>
      <c r="C42" s="161">
        <v>251</v>
      </c>
      <c r="D42" s="161">
        <v>62</v>
      </c>
      <c r="E42" s="161">
        <v>313</v>
      </c>
    </row>
    <row r="43" spans="1:5" x14ac:dyDescent="0.3">
      <c r="A43" s="161">
        <f t="shared" si="0"/>
        <v>32</v>
      </c>
      <c r="B43" s="161">
        <v>9215</v>
      </c>
      <c r="C43" s="161">
        <v>253</v>
      </c>
      <c r="D43" s="161">
        <v>60</v>
      </c>
      <c r="E43" s="161">
        <v>313</v>
      </c>
    </row>
    <row r="44" spans="1:5" x14ac:dyDescent="0.3">
      <c r="A44" s="161">
        <f t="shared" si="0"/>
        <v>33</v>
      </c>
      <c r="B44" s="161">
        <v>2098</v>
      </c>
      <c r="C44" s="161">
        <v>248</v>
      </c>
      <c r="D44" s="161">
        <v>64</v>
      </c>
      <c r="E44" s="161">
        <v>312</v>
      </c>
    </row>
    <row r="45" spans="1:5" x14ac:dyDescent="0.3">
      <c r="A45" s="161">
        <f t="shared" ref="A45:A76" si="1">+A44+1</f>
        <v>34</v>
      </c>
      <c r="B45" s="161">
        <v>6671</v>
      </c>
      <c r="C45" s="161">
        <v>253</v>
      </c>
      <c r="D45" s="161">
        <v>59</v>
      </c>
      <c r="E45" s="161">
        <v>312</v>
      </c>
    </row>
    <row r="46" spans="1:5" x14ac:dyDescent="0.3">
      <c r="A46" s="161">
        <f t="shared" si="1"/>
        <v>35</v>
      </c>
      <c r="B46" s="161">
        <v>7814</v>
      </c>
      <c r="C46" s="161">
        <v>252</v>
      </c>
      <c r="D46" s="161">
        <v>60</v>
      </c>
      <c r="E46" s="161">
        <v>312</v>
      </c>
    </row>
    <row r="47" spans="1:5" x14ac:dyDescent="0.3">
      <c r="A47" s="161">
        <f t="shared" si="1"/>
        <v>36</v>
      </c>
      <c r="B47" s="161">
        <v>8129</v>
      </c>
      <c r="C47" s="161">
        <v>251</v>
      </c>
      <c r="D47" s="161">
        <v>61</v>
      </c>
      <c r="E47" s="161">
        <v>312</v>
      </c>
    </row>
    <row r="48" spans="1:5" x14ac:dyDescent="0.3">
      <c r="A48" s="161">
        <f t="shared" si="1"/>
        <v>37</v>
      </c>
      <c r="B48" s="161">
        <v>8684</v>
      </c>
      <c r="C48" s="161">
        <v>253</v>
      </c>
      <c r="D48" s="161">
        <v>59</v>
      </c>
      <c r="E48" s="161">
        <v>312</v>
      </c>
    </row>
    <row r="49" spans="1:5" x14ac:dyDescent="0.3">
      <c r="A49" s="161">
        <f t="shared" si="1"/>
        <v>38</v>
      </c>
      <c r="B49" s="161">
        <v>8791</v>
      </c>
      <c r="C49" s="161">
        <v>251</v>
      </c>
      <c r="D49" s="161">
        <v>61</v>
      </c>
      <c r="E49" s="161">
        <v>312</v>
      </c>
    </row>
    <row r="50" spans="1:5" x14ac:dyDescent="0.3">
      <c r="A50" s="161">
        <f t="shared" si="1"/>
        <v>39</v>
      </c>
      <c r="B50" s="161">
        <v>3485</v>
      </c>
      <c r="C50" s="161">
        <v>250</v>
      </c>
      <c r="D50" s="161">
        <v>61</v>
      </c>
      <c r="E50" s="161">
        <v>311</v>
      </c>
    </row>
    <row r="51" spans="1:5" x14ac:dyDescent="0.3">
      <c r="A51" s="161">
        <f t="shared" si="1"/>
        <v>40</v>
      </c>
      <c r="B51" s="161">
        <v>6156</v>
      </c>
      <c r="C51" s="161">
        <v>250</v>
      </c>
      <c r="D51" s="161">
        <v>61</v>
      </c>
      <c r="E51" s="161">
        <v>311</v>
      </c>
    </row>
    <row r="52" spans="1:5" x14ac:dyDescent="0.3">
      <c r="A52" s="161">
        <f t="shared" si="1"/>
        <v>41</v>
      </c>
      <c r="B52" s="161">
        <v>556</v>
      </c>
      <c r="C52" s="161">
        <v>250</v>
      </c>
      <c r="D52" s="161">
        <v>60</v>
      </c>
      <c r="E52" s="161">
        <v>310</v>
      </c>
    </row>
    <row r="53" spans="1:5" x14ac:dyDescent="0.3">
      <c r="A53" s="161">
        <f t="shared" si="1"/>
        <v>42</v>
      </c>
      <c r="B53" s="161">
        <v>4004</v>
      </c>
      <c r="C53" s="161">
        <v>248</v>
      </c>
      <c r="D53" s="161">
        <v>62</v>
      </c>
      <c r="E53" s="161">
        <v>310</v>
      </c>
    </row>
    <row r="54" spans="1:5" x14ac:dyDescent="0.3">
      <c r="A54" s="161">
        <f t="shared" si="1"/>
        <v>43</v>
      </c>
      <c r="B54" s="161">
        <v>5498</v>
      </c>
      <c r="C54" s="161">
        <v>251</v>
      </c>
      <c r="D54" s="161">
        <v>59</v>
      </c>
      <c r="E54" s="161">
        <v>310</v>
      </c>
    </row>
    <row r="55" spans="1:5" x14ac:dyDescent="0.3">
      <c r="A55" s="161">
        <f t="shared" si="1"/>
        <v>44</v>
      </c>
      <c r="B55" s="161">
        <v>7109</v>
      </c>
      <c r="C55" s="161">
        <v>251</v>
      </c>
      <c r="D55" s="161">
        <v>59</v>
      </c>
      <c r="E55" s="161">
        <v>310</v>
      </c>
    </row>
    <row r="56" spans="1:5" x14ac:dyDescent="0.3">
      <c r="A56" s="161">
        <f t="shared" si="1"/>
        <v>45</v>
      </c>
      <c r="B56" s="161">
        <v>9808</v>
      </c>
      <c r="C56" s="161">
        <v>248</v>
      </c>
      <c r="D56" s="161">
        <v>62</v>
      </c>
      <c r="E56" s="161">
        <v>310</v>
      </c>
    </row>
    <row r="57" spans="1:5" x14ac:dyDescent="0.3">
      <c r="A57" s="161">
        <f t="shared" si="1"/>
        <v>46</v>
      </c>
      <c r="B57" s="161">
        <v>582</v>
      </c>
      <c r="C57" s="161">
        <v>250</v>
      </c>
      <c r="D57" s="161">
        <v>59</v>
      </c>
      <c r="E57" s="161">
        <v>309</v>
      </c>
    </row>
    <row r="58" spans="1:5" x14ac:dyDescent="0.3">
      <c r="A58" s="161">
        <f t="shared" si="1"/>
        <v>47</v>
      </c>
      <c r="B58" s="161">
        <v>3805</v>
      </c>
      <c r="C58" s="161">
        <v>250</v>
      </c>
      <c r="D58" s="161">
        <v>59</v>
      </c>
      <c r="E58" s="161">
        <v>309</v>
      </c>
    </row>
    <row r="59" spans="1:5" x14ac:dyDescent="0.3">
      <c r="A59" s="161">
        <f t="shared" si="1"/>
        <v>48</v>
      </c>
      <c r="B59" s="161">
        <v>4633</v>
      </c>
      <c r="C59" s="161">
        <v>253</v>
      </c>
      <c r="D59" s="161">
        <v>56</v>
      </c>
      <c r="E59" s="161">
        <v>309</v>
      </c>
    </row>
    <row r="60" spans="1:5" x14ac:dyDescent="0.3">
      <c r="A60" s="161">
        <f t="shared" si="1"/>
        <v>49</v>
      </c>
      <c r="B60" s="161">
        <v>7332</v>
      </c>
      <c r="C60" s="161">
        <v>249</v>
      </c>
      <c r="D60" s="161">
        <v>60</v>
      </c>
      <c r="E60" s="161">
        <v>309</v>
      </c>
    </row>
    <row r="61" spans="1:5" x14ac:dyDescent="0.3">
      <c r="A61" s="161">
        <f t="shared" si="1"/>
        <v>50</v>
      </c>
      <c r="B61" s="161">
        <v>7688</v>
      </c>
      <c r="C61" s="161">
        <v>250</v>
      </c>
      <c r="D61" s="161">
        <v>59</v>
      </c>
      <c r="E61" s="161">
        <v>309</v>
      </c>
    </row>
    <row r="62" spans="1:5" x14ac:dyDescent="0.3">
      <c r="A62" s="161">
        <f t="shared" si="1"/>
        <v>51</v>
      </c>
      <c r="B62" s="161">
        <v>9139</v>
      </c>
      <c r="C62" s="161">
        <v>248</v>
      </c>
      <c r="D62" s="161">
        <v>61</v>
      </c>
      <c r="E62" s="161">
        <v>309</v>
      </c>
    </row>
    <row r="63" spans="1:5" x14ac:dyDescent="0.3">
      <c r="A63" s="161">
        <f t="shared" si="1"/>
        <v>52</v>
      </c>
      <c r="B63" s="161">
        <v>1072</v>
      </c>
      <c r="C63" s="161">
        <v>249</v>
      </c>
      <c r="D63" s="161">
        <v>59</v>
      </c>
      <c r="E63" s="161">
        <v>308</v>
      </c>
    </row>
    <row r="64" spans="1:5" x14ac:dyDescent="0.3">
      <c r="A64" s="161">
        <f t="shared" si="1"/>
        <v>53</v>
      </c>
      <c r="B64" s="161">
        <v>2451</v>
      </c>
      <c r="C64" s="161">
        <v>251</v>
      </c>
      <c r="D64" s="161">
        <v>57</v>
      </c>
      <c r="E64" s="161">
        <v>308</v>
      </c>
    </row>
    <row r="65" spans="1:5" x14ac:dyDescent="0.3">
      <c r="A65" s="161">
        <f t="shared" si="1"/>
        <v>54</v>
      </c>
      <c r="B65" s="161">
        <v>5298</v>
      </c>
      <c r="C65" s="161">
        <v>248</v>
      </c>
      <c r="D65" s="161">
        <v>60</v>
      </c>
      <c r="E65" s="161">
        <v>308</v>
      </c>
    </row>
    <row r="66" spans="1:5" x14ac:dyDescent="0.3">
      <c r="A66" s="161">
        <f t="shared" si="1"/>
        <v>55</v>
      </c>
      <c r="B66" s="161">
        <v>8352</v>
      </c>
      <c r="C66" s="161">
        <v>249</v>
      </c>
      <c r="D66" s="161">
        <v>59</v>
      </c>
      <c r="E66" s="161">
        <v>308</v>
      </c>
    </row>
    <row r="67" spans="1:5" x14ac:dyDescent="0.3">
      <c r="A67" s="161">
        <f t="shared" si="1"/>
        <v>56</v>
      </c>
      <c r="B67" s="161">
        <v>2191</v>
      </c>
      <c r="C67" s="161">
        <v>251</v>
      </c>
      <c r="D67" s="161">
        <v>56</v>
      </c>
      <c r="E67" s="161">
        <v>307</v>
      </c>
    </row>
    <row r="68" spans="1:5" x14ac:dyDescent="0.3">
      <c r="A68" s="161">
        <f t="shared" si="1"/>
        <v>57</v>
      </c>
      <c r="B68" s="161">
        <v>2350</v>
      </c>
      <c r="C68" s="161">
        <v>252</v>
      </c>
      <c r="D68" s="161">
        <v>55</v>
      </c>
      <c r="E68" s="161">
        <v>307</v>
      </c>
    </row>
    <row r="69" spans="1:5" x14ac:dyDescent="0.3">
      <c r="A69" s="161">
        <f t="shared" si="1"/>
        <v>58</v>
      </c>
      <c r="B69" s="161">
        <v>3395</v>
      </c>
      <c r="C69" s="161">
        <v>247</v>
      </c>
      <c r="D69" s="161">
        <v>60</v>
      </c>
      <c r="E69" s="161">
        <v>307</v>
      </c>
    </row>
    <row r="70" spans="1:5" x14ac:dyDescent="0.3">
      <c r="A70" s="161">
        <f t="shared" si="1"/>
        <v>59</v>
      </c>
      <c r="B70" s="161">
        <v>4751</v>
      </c>
      <c r="C70" s="161">
        <v>249</v>
      </c>
      <c r="D70" s="161">
        <v>58</v>
      </c>
      <c r="E70" s="161">
        <v>307</v>
      </c>
    </row>
    <row r="71" spans="1:5" x14ac:dyDescent="0.3">
      <c r="A71" s="161">
        <f t="shared" si="1"/>
        <v>60</v>
      </c>
      <c r="B71" s="161">
        <v>7294</v>
      </c>
      <c r="C71" s="161">
        <v>255</v>
      </c>
      <c r="D71" s="161">
        <v>52</v>
      </c>
      <c r="E71" s="161">
        <v>307</v>
      </c>
    </row>
    <row r="72" spans="1:5" x14ac:dyDescent="0.3">
      <c r="A72" s="161">
        <f t="shared" si="1"/>
        <v>61</v>
      </c>
      <c r="B72" s="161">
        <v>7767</v>
      </c>
      <c r="C72" s="161">
        <v>248</v>
      </c>
      <c r="D72" s="161">
        <v>59</v>
      </c>
      <c r="E72" s="161">
        <v>307</v>
      </c>
    </row>
    <row r="73" spans="1:5" x14ac:dyDescent="0.3">
      <c r="A73" s="161">
        <f t="shared" si="1"/>
        <v>62</v>
      </c>
      <c r="B73" s="161">
        <v>3505</v>
      </c>
      <c r="C73" s="161">
        <v>246</v>
      </c>
      <c r="D73" s="161">
        <v>60</v>
      </c>
      <c r="E73" s="161">
        <v>306</v>
      </c>
    </row>
    <row r="74" spans="1:5" x14ac:dyDescent="0.3">
      <c r="A74" s="161">
        <f t="shared" si="1"/>
        <v>63</v>
      </c>
      <c r="B74" s="161">
        <v>3701</v>
      </c>
      <c r="C74" s="161">
        <v>249</v>
      </c>
      <c r="D74" s="161">
        <v>57</v>
      </c>
      <c r="E74" s="161">
        <v>306</v>
      </c>
    </row>
    <row r="75" spans="1:5" x14ac:dyDescent="0.3">
      <c r="A75" s="161">
        <f t="shared" si="1"/>
        <v>64</v>
      </c>
      <c r="B75" s="161">
        <v>5037</v>
      </c>
      <c r="C75" s="161">
        <v>247</v>
      </c>
      <c r="D75" s="161">
        <v>59</v>
      </c>
      <c r="E75" s="161">
        <v>306</v>
      </c>
    </row>
    <row r="76" spans="1:5" x14ac:dyDescent="0.3">
      <c r="A76" s="161">
        <f t="shared" si="1"/>
        <v>65</v>
      </c>
      <c r="B76" s="161">
        <v>5234</v>
      </c>
      <c r="C76" s="161">
        <v>246</v>
      </c>
      <c r="D76" s="161">
        <v>60</v>
      </c>
      <c r="E76" s="161">
        <v>306</v>
      </c>
    </row>
    <row r="77" spans="1:5" x14ac:dyDescent="0.3">
      <c r="A77" s="161">
        <f t="shared" ref="A77:A111" si="2">+A76+1</f>
        <v>66</v>
      </c>
      <c r="B77" s="161">
        <v>6303</v>
      </c>
      <c r="C77" s="161">
        <v>247</v>
      </c>
      <c r="D77" s="161">
        <v>59</v>
      </c>
      <c r="E77" s="161">
        <v>306</v>
      </c>
    </row>
    <row r="78" spans="1:5" x14ac:dyDescent="0.3">
      <c r="A78" s="161">
        <f t="shared" si="2"/>
        <v>67</v>
      </c>
      <c r="B78" s="161">
        <v>8126</v>
      </c>
      <c r="C78" s="161">
        <v>245</v>
      </c>
      <c r="D78" s="161">
        <v>61</v>
      </c>
      <c r="E78" s="161">
        <v>306</v>
      </c>
    </row>
    <row r="79" spans="1:5" x14ac:dyDescent="0.3">
      <c r="A79" s="161">
        <f t="shared" si="2"/>
        <v>68</v>
      </c>
      <c r="B79" s="161">
        <v>957</v>
      </c>
      <c r="C79" s="161">
        <v>246</v>
      </c>
      <c r="D79" s="161">
        <v>59</v>
      </c>
      <c r="E79" s="161">
        <v>305</v>
      </c>
    </row>
    <row r="80" spans="1:5" x14ac:dyDescent="0.3">
      <c r="A80" s="161">
        <f t="shared" si="2"/>
        <v>69</v>
      </c>
      <c r="B80" s="161">
        <v>6141</v>
      </c>
      <c r="C80" s="161">
        <v>251</v>
      </c>
      <c r="D80" s="161">
        <v>54</v>
      </c>
      <c r="E80" s="161">
        <v>305</v>
      </c>
    </row>
    <row r="81" spans="1:5" x14ac:dyDescent="0.3">
      <c r="A81" s="161">
        <f t="shared" si="2"/>
        <v>70</v>
      </c>
      <c r="B81" s="161">
        <v>8339</v>
      </c>
      <c r="C81" s="161">
        <v>247</v>
      </c>
      <c r="D81" s="161">
        <v>58</v>
      </c>
      <c r="E81" s="161">
        <v>305</v>
      </c>
    </row>
    <row r="82" spans="1:5" x14ac:dyDescent="0.3">
      <c r="A82" s="161">
        <f t="shared" si="2"/>
        <v>71</v>
      </c>
      <c r="B82" s="161">
        <v>209</v>
      </c>
      <c r="C82" s="161">
        <v>243</v>
      </c>
      <c r="D82" s="161">
        <v>61</v>
      </c>
      <c r="E82" s="161">
        <v>304</v>
      </c>
    </row>
    <row r="83" spans="1:5" x14ac:dyDescent="0.3">
      <c r="A83" s="161">
        <f t="shared" si="2"/>
        <v>72</v>
      </c>
      <c r="B83" s="161">
        <v>7420</v>
      </c>
      <c r="C83" s="161">
        <v>245</v>
      </c>
      <c r="D83" s="161">
        <v>59</v>
      </c>
      <c r="E83" s="161">
        <v>304</v>
      </c>
    </row>
    <row r="84" spans="1:5" x14ac:dyDescent="0.3">
      <c r="A84" s="161">
        <f t="shared" si="2"/>
        <v>73</v>
      </c>
      <c r="B84" s="161">
        <v>7648</v>
      </c>
      <c r="C84" s="161">
        <v>246</v>
      </c>
      <c r="D84" s="161">
        <v>58</v>
      </c>
      <c r="E84" s="161">
        <v>304</v>
      </c>
    </row>
    <row r="85" spans="1:5" x14ac:dyDescent="0.3">
      <c r="A85" s="161">
        <f t="shared" si="2"/>
        <v>74</v>
      </c>
      <c r="B85" s="161">
        <v>8627</v>
      </c>
      <c r="C85" s="161">
        <v>248</v>
      </c>
      <c r="D85" s="161">
        <v>56</v>
      </c>
      <c r="E85" s="161">
        <v>304</v>
      </c>
    </row>
    <row r="86" spans="1:5" x14ac:dyDescent="0.3">
      <c r="A86" s="161">
        <f t="shared" si="2"/>
        <v>75</v>
      </c>
      <c r="B86" s="161">
        <v>9587</v>
      </c>
      <c r="C86" s="161">
        <v>243</v>
      </c>
      <c r="D86" s="161">
        <v>61</v>
      </c>
      <c r="E86" s="161">
        <v>304</v>
      </c>
    </row>
    <row r="87" spans="1:5" x14ac:dyDescent="0.3">
      <c r="A87" s="161">
        <f t="shared" si="2"/>
        <v>76</v>
      </c>
      <c r="B87" s="161">
        <v>18</v>
      </c>
      <c r="C87" s="161">
        <v>247</v>
      </c>
      <c r="D87" s="161">
        <v>56</v>
      </c>
      <c r="E87" s="161">
        <v>303</v>
      </c>
    </row>
    <row r="88" spans="1:5" x14ac:dyDescent="0.3">
      <c r="A88" s="161">
        <f t="shared" si="2"/>
        <v>77</v>
      </c>
      <c r="B88" s="161">
        <v>831</v>
      </c>
      <c r="C88" s="161">
        <v>245</v>
      </c>
      <c r="D88" s="161">
        <v>58</v>
      </c>
      <c r="E88" s="161">
        <v>303</v>
      </c>
    </row>
    <row r="89" spans="1:5" x14ac:dyDescent="0.3">
      <c r="A89" s="161">
        <f t="shared" si="2"/>
        <v>78</v>
      </c>
      <c r="B89" s="161">
        <v>1478</v>
      </c>
      <c r="C89" s="161">
        <v>243</v>
      </c>
      <c r="D89" s="161">
        <v>60</v>
      </c>
      <c r="E89" s="161">
        <v>303</v>
      </c>
    </row>
    <row r="90" spans="1:5" x14ac:dyDescent="0.3">
      <c r="A90" s="161">
        <f t="shared" si="2"/>
        <v>79</v>
      </c>
      <c r="B90" s="161">
        <v>2171</v>
      </c>
      <c r="C90" s="161">
        <v>243</v>
      </c>
      <c r="D90" s="161">
        <v>60</v>
      </c>
      <c r="E90" s="161">
        <v>303</v>
      </c>
    </row>
    <row r="91" spans="1:5" x14ac:dyDescent="0.3">
      <c r="A91" s="161">
        <f t="shared" si="2"/>
        <v>80</v>
      </c>
      <c r="B91" s="161">
        <v>3146</v>
      </c>
      <c r="C91" s="161">
        <v>246</v>
      </c>
      <c r="D91" s="161">
        <v>57</v>
      </c>
      <c r="E91" s="161">
        <v>303</v>
      </c>
    </row>
    <row r="92" spans="1:5" x14ac:dyDescent="0.3">
      <c r="A92" s="161">
        <f t="shared" si="2"/>
        <v>81</v>
      </c>
      <c r="B92" s="161">
        <v>4380</v>
      </c>
      <c r="C92" s="161">
        <v>245</v>
      </c>
      <c r="D92" s="161">
        <v>58</v>
      </c>
      <c r="E92" s="161">
        <v>303</v>
      </c>
    </row>
    <row r="93" spans="1:5" x14ac:dyDescent="0.3">
      <c r="A93" s="161">
        <f t="shared" si="2"/>
        <v>82</v>
      </c>
      <c r="B93" s="161">
        <v>5489</v>
      </c>
      <c r="C93" s="161">
        <v>245</v>
      </c>
      <c r="D93" s="161">
        <v>58</v>
      </c>
      <c r="E93" s="161">
        <v>303</v>
      </c>
    </row>
    <row r="94" spans="1:5" x14ac:dyDescent="0.3">
      <c r="A94" s="161">
        <f t="shared" si="2"/>
        <v>83</v>
      </c>
      <c r="B94" s="161">
        <v>5682</v>
      </c>
      <c r="C94" s="161">
        <v>249</v>
      </c>
      <c r="D94" s="161">
        <v>54</v>
      </c>
      <c r="E94" s="161">
        <v>303</v>
      </c>
    </row>
    <row r="95" spans="1:5" x14ac:dyDescent="0.3">
      <c r="A95" s="161">
        <f t="shared" si="2"/>
        <v>84</v>
      </c>
      <c r="B95" s="161">
        <v>7980</v>
      </c>
      <c r="C95" s="161">
        <v>246</v>
      </c>
      <c r="D95" s="161">
        <v>57</v>
      </c>
      <c r="E95" s="161">
        <v>303</v>
      </c>
    </row>
    <row r="96" spans="1:5" x14ac:dyDescent="0.3">
      <c r="A96" s="161">
        <f t="shared" si="2"/>
        <v>85</v>
      </c>
      <c r="B96" s="161">
        <v>8981</v>
      </c>
      <c r="C96" s="161">
        <v>245</v>
      </c>
      <c r="D96" s="161">
        <v>58</v>
      </c>
      <c r="E96" s="161">
        <v>303</v>
      </c>
    </row>
    <row r="97" spans="1:5" x14ac:dyDescent="0.3">
      <c r="A97" s="161">
        <f t="shared" si="2"/>
        <v>86</v>
      </c>
      <c r="B97" s="161">
        <v>9072</v>
      </c>
      <c r="C97" s="161">
        <v>244</v>
      </c>
      <c r="D97" s="161">
        <v>59</v>
      </c>
      <c r="E97" s="161">
        <v>303</v>
      </c>
    </row>
    <row r="98" spans="1:5" x14ac:dyDescent="0.3">
      <c r="A98" s="161">
        <f t="shared" si="2"/>
        <v>87</v>
      </c>
      <c r="B98" s="161">
        <v>1211</v>
      </c>
      <c r="C98" s="161">
        <v>244</v>
      </c>
      <c r="D98" s="161">
        <v>58</v>
      </c>
      <c r="E98" s="161">
        <v>302</v>
      </c>
    </row>
    <row r="99" spans="1:5" x14ac:dyDescent="0.3">
      <c r="A99" s="161">
        <f t="shared" si="2"/>
        <v>88</v>
      </c>
      <c r="B99" s="161">
        <v>1457</v>
      </c>
      <c r="C99" s="161">
        <v>245</v>
      </c>
      <c r="D99" s="161">
        <v>57</v>
      </c>
      <c r="E99" s="161">
        <v>302</v>
      </c>
    </row>
    <row r="100" spans="1:5" x14ac:dyDescent="0.3">
      <c r="A100" s="161">
        <f t="shared" si="2"/>
        <v>89</v>
      </c>
      <c r="B100" s="161">
        <v>1899</v>
      </c>
      <c r="C100" s="161">
        <v>245</v>
      </c>
      <c r="D100" s="161">
        <v>57</v>
      </c>
      <c r="E100" s="161">
        <v>302</v>
      </c>
    </row>
    <row r="101" spans="1:5" x14ac:dyDescent="0.3">
      <c r="A101" s="161">
        <f t="shared" si="2"/>
        <v>90</v>
      </c>
      <c r="B101" s="161">
        <v>2434</v>
      </c>
      <c r="C101" s="161">
        <v>243</v>
      </c>
      <c r="D101" s="161">
        <v>59</v>
      </c>
      <c r="E101" s="161">
        <v>302</v>
      </c>
    </row>
    <row r="102" spans="1:5" x14ac:dyDescent="0.3">
      <c r="A102" s="161">
        <f t="shared" si="2"/>
        <v>91</v>
      </c>
      <c r="B102" s="161">
        <v>2538</v>
      </c>
      <c r="C102" s="161">
        <v>244</v>
      </c>
      <c r="D102" s="161">
        <v>58</v>
      </c>
      <c r="E102" s="161">
        <v>302</v>
      </c>
    </row>
    <row r="103" spans="1:5" x14ac:dyDescent="0.3">
      <c r="A103" s="161">
        <f t="shared" si="2"/>
        <v>92</v>
      </c>
      <c r="B103" s="161">
        <v>3543</v>
      </c>
      <c r="C103" s="161">
        <v>244</v>
      </c>
      <c r="D103" s="161">
        <v>58</v>
      </c>
      <c r="E103" s="161">
        <v>302</v>
      </c>
    </row>
    <row r="104" spans="1:5" x14ac:dyDescent="0.3">
      <c r="A104" s="161">
        <f t="shared" si="2"/>
        <v>93</v>
      </c>
      <c r="B104" s="161">
        <v>3635</v>
      </c>
      <c r="C104" s="161">
        <v>244</v>
      </c>
      <c r="D104" s="161">
        <v>58</v>
      </c>
      <c r="E104" s="161">
        <v>302</v>
      </c>
    </row>
    <row r="105" spans="1:5" x14ac:dyDescent="0.3">
      <c r="A105" s="161">
        <f t="shared" si="2"/>
        <v>94</v>
      </c>
      <c r="B105" s="161">
        <v>3665</v>
      </c>
      <c r="C105" s="161">
        <v>246</v>
      </c>
      <c r="D105" s="161">
        <v>56</v>
      </c>
      <c r="E105" s="161">
        <v>302</v>
      </c>
    </row>
    <row r="106" spans="1:5" x14ac:dyDescent="0.3">
      <c r="A106" s="161">
        <f t="shared" si="2"/>
        <v>95</v>
      </c>
      <c r="B106" s="161">
        <v>4044</v>
      </c>
      <c r="C106" s="161">
        <v>245</v>
      </c>
      <c r="D106" s="161">
        <v>57</v>
      </c>
      <c r="E106" s="161">
        <v>302</v>
      </c>
    </row>
    <row r="107" spans="1:5" x14ac:dyDescent="0.3">
      <c r="A107" s="161">
        <f t="shared" si="2"/>
        <v>96</v>
      </c>
      <c r="B107" s="161">
        <v>4970</v>
      </c>
      <c r="C107" s="161">
        <v>245</v>
      </c>
      <c r="D107" s="161">
        <v>57</v>
      </c>
      <c r="E107" s="161">
        <v>302</v>
      </c>
    </row>
    <row r="108" spans="1:5" x14ac:dyDescent="0.3">
      <c r="A108" s="161">
        <f t="shared" si="2"/>
        <v>97</v>
      </c>
      <c r="B108" s="161">
        <v>7259</v>
      </c>
      <c r="C108" s="161">
        <v>244</v>
      </c>
      <c r="D108" s="161">
        <v>58</v>
      </c>
      <c r="E108" s="161">
        <v>302</v>
      </c>
    </row>
    <row r="109" spans="1:5" x14ac:dyDescent="0.3">
      <c r="A109" s="161">
        <f t="shared" si="2"/>
        <v>98</v>
      </c>
      <c r="B109" s="161">
        <v>8351</v>
      </c>
      <c r="C109" s="161">
        <v>245</v>
      </c>
      <c r="D109" s="161">
        <v>57</v>
      </c>
      <c r="E109" s="161">
        <v>302</v>
      </c>
    </row>
    <row r="110" spans="1:5" x14ac:dyDescent="0.3">
      <c r="A110" s="161">
        <f t="shared" si="2"/>
        <v>99</v>
      </c>
      <c r="B110" s="161">
        <v>8898</v>
      </c>
      <c r="C110" s="161">
        <v>243</v>
      </c>
      <c r="D110" s="161">
        <v>59</v>
      </c>
      <c r="E110" s="161">
        <v>302</v>
      </c>
    </row>
    <row r="111" spans="1:5" x14ac:dyDescent="0.3">
      <c r="A111" s="161">
        <f t="shared" si="2"/>
        <v>100</v>
      </c>
      <c r="B111" s="161">
        <v>9425</v>
      </c>
      <c r="C111" s="161">
        <v>243</v>
      </c>
      <c r="D111" s="161">
        <v>59</v>
      </c>
      <c r="E111" s="161">
        <v>302</v>
      </c>
    </row>
    <row r="112" spans="1:5" ht="15" thickBot="1" x14ac:dyDescent="0.35"/>
    <row r="113" spans="1:8" ht="15.6" thickTop="1" thickBot="1" x14ac:dyDescent="0.35">
      <c r="B113" s="270" t="s">
        <v>213</v>
      </c>
      <c r="C113" s="271"/>
      <c r="D113" s="271"/>
      <c r="E113" s="272"/>
    </row>
    <row r="114" spans="1:8" ht="15" thickTop="1" x14ac:dyDescent="0.3"/>
    <row r="115" spans="1:8" x14ac:dyDescent="0.3">
      <c r="A115" s="161" t="s">
        <v>214</v>
      </c>
      <c r="C115" s="164">
        <f>SUM(C12:C51)</f>
        <v>10266</v>
      </c>
      <c r="D115" s="164">
        <f>SUM(D12:D51)</f>
        <v>2501</v>
      </c>
      <c r="E115" s="164">
        <f>SUM(E12:E51)</f>
        <v>12767</v>
      </c>
      <c r="G115" s="186"/>
    </row>
    <row r="116" spans="1:8" x14ac:dyDescent="0.3">
      <c r="A116" s="161" t="s">
        <v>215</v>
      </c>
      <c r="C116" s="164">
        <f>+C115/40</f>
        <v>256.64999999999998</v>
      </c>
      <c r="D116" s="164">
        <f>+D115/40</f>
        <v>62.524999999999999</v>
      </c>
      <c r="E116" s="189">
        <f>+E115/40</f>
        <v>319.17500000000001</v>
      </c>
      <c r="F116" s="164"/>
      <c r="G116" s="186"/>
    </row>
    <row r="117" spans="1:8" x14ac:dyDescent="0.3">
      <c r="A117" s="161" t="s">
        <v>216</v>
      </c>
      <c r="C117" s="163">
        <f>+C116/E116</f>
        <v>0.8041043314795957</v>
      </c>
      <c r="D117" s="163">
        <f>+D116/E116</f>
        <v>0.19589566852040416</v>
      </c>
      <c r="E117" s="163">
        <f>+C117+D117</f>
        <v>0.99999999999999989</v>
      </c>
      <c r="F117" s="164"/>
      <c r="G117" s="186"/>
    </row>
    <row r="118" spans="1:8" x14ac:dyDescent="0.3">
      <c r="A118" s="188" t="s">
        <v>217</v>
      </c>
      <c r="C118" s="187">
        <f>+C117*$E$118</f>
        <v>160.82086629591913</v>
      </c>
      <c r="D118" s="187">
        <f>+D117*$E$118</f>
        <v>39.179133704080833</v>
      </c>
      <c r="E118" s="174">
        <v>200</v>
      </c>
      <c r="G118" s="186"/>
      <c r="H118" s="186"/>
    </row>
    <row r="119" spans="1:8" x14ac:dyDescent="0.3">
      <c r="C119" s="185"/>
      <c r="D119" s="185"/>
    </row>
    <row r="120" spans="1:8" ht="15" thickBot="1" x14ac:dyDescent="0.35"/>
    <row r="121" spans="1:8" ht="15.6" thickTop="1" thickBot="1" x14ac:dyDescent="0.35">
      <c r="B121" s="270" t="s">
        <v>218</v>
      </c>
      <c r="C121" s="271"/>
      <c r="D121" s="271"/>
      <c r="E121" s="272"/>
    </row>
    <row r="122" spans="1:8" ht="15" thickTop="1" x14ac:dyDescent="0.3">
      <c r="B122" s="161" t="s">
        <v>219</v>
      </c>
      <c r="D122" s="183">
        <f>5/C118</f>
        <v>3.1090492889148651E-2</v>
      </c>
    </row>
    <row r="123" spans="1:8" x14ac:dyDescent="0.3">
      <c r="D123" s="184"/>
    </row>
    <row r="124" spans="1:8" x14ac:dyDescent="0.3">
      <c r="B124" s="161" t="s">
        <v>220</v>
      </c>
      <c r="D124" s="183">
        <f>4/D118</f>
        <v>0.10209516193522591</v>
      </c>
    </row>
    <row r="126" spans="1:8" ht="15" thickBot="1" x14ac:dyDescent="0.35"/>
    <row r="127" spans="1:8" ht="15.6" thickTop="1" thickBot="1" x14ac:dyDescent="0.35">
      <c r="B127" s="270" t="s">
        <v>221</v>
      </c>
      <c r="C127" s="271"/>
      <c r="D127" s="271"/>
      <c r="E127" s="272"/>
    </row>
    <row r="128" spans="1:8" ht="15" thickTop="1" x14ac:dyDescent="0.3">
      <c r="B128" s="161" t="s">
        <v>222</v>
      </c>
      <c r="D128" s="181">
        <f>5-0.08*C118</f>
        <v>-7.8656693036735312</v>
      </c>
      <c r="E128" s="180"/>
      <c r="F128" s="172"/>
    </row>
    <row r="129" spans="2:8" x14ac:dyDescent="0.3">
      <c r="D129" s="182"/>
    </row>
    <row r="130" spans="2:8" x14ac:dyDescent="0.3">
      <c r="B130" s="161" t="s">
        <v>223</v>
      </c>
      <c r="D130" s="181">
        <f>4-0.08*D118</f>
        <v>0.86566930367353345</v>
      </c>
      <c r="E130" s="180"/>
      <c r="F130" s="172"/>
    </row>
    <row r="131" spans="2:8" x14ac:dyDescent="0.3">
      <c r="E131" s="160"/>
      <c r="F131" s="160"/>
      <c r="G131" s="160"/>
      <c r="H131" s="160"/>
    </row>
    <row r="132" spans="2:8" x14ac:dyDescent="0.3">
      <c r="E132" s="160"/>
      <c r="F132" s="160"/>
      <c r="G132" s="160"/>
      <c r="H132" s="160"/>
    </row>
    <row r="133" spans="2:8" x14ac:dyDescent="0.3">
      <c r="E133" s="160"/>
      <c r="F133" s="160"/>
      <c r="G133" s="160"/>
      <c r="H133" s="160"/>
    </row>
    <row r="134" spans="2:8" x14ac:dyDescent="0.3">
      <c r="E134" s="160"/>
      <c r="F134" s="160"/>
      <c r="G134" s="160"/>
      <c r="H134" s="160"/>
    </row>
    <row r="135" spans="2:8" x14ac:dyDescent="0.3">
      <c r="E135" s="160"/>
      <c r="F135" s="160"/>
      <c r="G135" s="160"/>
      <c r="H135" s="160"/>
    </row>
  </sheetData>
  <mergeCells count="5">
    <mergeCell ref="A8:E8"/>
    <mergeCell ref="C10:E10"/>
    <mergeCell ref="B113:E113"/>
    <mergeCell ref="B121:E121"/>
    <mergeCell ref="B127:E12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6939F-AE98-44B0-8470-25D322B971A5}">
  <dimension ref="B2:L67"/>
  <sheetViews>
    <sheetView zoomScale="85" zoomScaleNormal="85" workbookViewId="0">
      <selection activeCell="H52" sqref="H52"/>
    </sheetView>
  </sheetViews>
  <sheetFormatPr defaultColWidth="9.109375" defaultRowHeight="13.2" x14ac:dyDescent="0.25"/>
  <cols>
    <col min="1" max="1" width="9.109375" style="190"/>
    <col min="2" max="3" width="13" style="190" customWidth="1"/>
    <col min="4" max="4" width="13.33203125" style="190" customWidth="1"/>
    <col min="5" max="5" width="15.6640625" style="190" customWidth="1"/>
    <col min="6" max="6" width="13" style="190" customWidth="1"/>
    <col min="7" max="7" width="22" style="190" customWidth="1"/>
    <col min="8" max="9" width="13" style="190" customWidth="1"/>
    <col min="10" max="10" width="13" style="190" bestFit="1" customWidth="1"/>
    <col min="11" max="16384" width="9.109375" style="190"/>
  </cols>
  <sheetData>
    <row r="2" spans="2:12" ht="13.8" x14ac:dyDescent="0.25">
      <c r="B2" s="246"/>
      <c r="C2" s="273" t="s">
        <v>272</v>
      </c>
      <c r="D2" s="274"/>
      <c r="E2" s="274"/>
      <c r="F2" s="246"/>
      <c r="G2" s="245"/>
    </row>
    <row r="3" spans="2:12" ht="41.4" x14ac:dyDescent="0.25">
      <c r="B3" s="215" t="s">
        <v>249</v>
      </c>
      <c r="C3" s="244" t="s">
        <v>271</v>
      </c>
      <c r="D3" s="244" t="s">
        <v>270</v>
      </c>
      <c r="E3" s="244" t="s">
        <v>269</v>
      </c>
      <c r="F3" s="244" t="s">
        <v>268</v>
      </c>
      <c r="G3" s="235" t="s">
        <v>267</v>
      </c>
      <c r="I3" s="190" t="s">
        <v>266</v>
      </c>
      <c r="J3" s="190" t="s">
        <v>266</v>
      </c>
    </row>
    <row r="4" spans="2:12" ht="14.4" x14ac:dyDescent="0.3">
      <c r="B4" s="219">
        <v>1</v>
      </c>
      <c r="C4" s="243">
        <v>103</v>
      </c>
      <c r="D4" s="242">
        <v>4</v>
      </c>
      <c r="E4" s="241">
        <v>5</v>
      </c>
      <c r="F4" s="240">
        <v>0.97089999999999999</v>
      </c>
      <c r="G4" s="239">
        <v>3.4000000000000002E-2</v>
      </c>
      <c r="I4" s="227">
        <f>100/103</f>
        <v>0.970873786407767</v>
      </c>
      <c r="J4" s="226">
        <f>I4*C4</f>
        <v>100</v>
      </c>
    </row>
    <row r="5" spans="2:12" ht="14.4" x14ac:dyDescent="0.3">
      <c r="B5" s="215">
        <v>2</v>
      </c>
      <c r="C5" s="238"/>
      <c r="D5" s="237">
        <v>104</v>
      </c>
      <c r="E5" s="236">
        <v>5</v>
      </c>
      <c r="F5" s="235">
        <v>0.92420000000000002</v>
      </c>
      <c r="G5" s="234">
        <v>3.9E-2</v>
      </c>
      <c r="I5" s="227">
        <f>(100-4*I4)/D5</f>
        <v>0.9241971620612397</v>
      </c>
      <c r="J5" s="226">
        <f>SUMPRODUCT(D4:D5,I4:I5)</f>
        <v>100</v>
      </c>
    </row>
    <row r="6" spans="2:12" ht="14.4" x14ac:dyDescent="0.3">
      <c r="B6" s="233">
        <v>3</v>
      </c>
      <c r="C6" s="232"/>
      <c r="D6" s="231"/>
      <c r="E6" s="230">
        <v>105</v>
      </c>
      <c r="F6" s="229">
        <v>0.86209999999999998</v>
      </c>
      <c r="G6" s="228">
        <v>4.2000000000000003E-2</v>
      </c>
      <c r="I6" s="227">
        <f>(100-5*I4-5*I5)/E6</f>
        <v>0.86213947864433305</v>
      </c>
      <c r="J6" s="226">
        <f>SUMPRODUCT(E4:E6,I4:I6)</f>
        <v>100</v>
      </c>
      <c r="L6" s="225"/>
    </row>
    <row r="7" spans="2:12" ht="14.4" x14ac:dyDescent="0.3">
      <c r="B7" s="199"/>
      <c r="C7" s="199"/>
      <c r="D7" s="199"/>
      <c r="E7" s="199"/>
      <c r="F7" s="199"/>
      <c r="G7" s="199"/>
      <c r="H7" s="199"/>
      <c r="I7" s="199"/>
      <c r="L7" s="225"/>
    </row>
    <row r="8" spans="2:12" ht="14.4" x14ac:dyDescent="0.3">
      <c r="B8" s="199"/>
      <c r="C8" s="199"/>
      <c r="D8" s="199"/>
      <c r="E8" s="199"/>
      <c r="F8" s="199"/>
      <c r="G8" s="199"/>
      <c r="H8" s="199"/>
      <c r="I8" s="199"/>
      <c r="J8" s="207"/>
      <c r="L8" s="225"/>
    </row>
    <row r="9" spans="2:12" ht="14.4" x14ac:dyDescent="0.3">
      <c r="B9" s="199"/>
      <c r="C9" s="199"/>
      <c r="D9" s="199"/>
      <c r="E9" s="199"/>
      <c r="F9" s="199"/>
      <c r="G9" s="199"/>
      <c r="H9" s="199"/>
      <c r="I9" s="199"/>
      <c r="J9" s="207"/>
      <c r="L9" s="207"/>
    </row>
    <row r="10" spans="2:12" ht="14.4" x14ac:dyDescent="0.3">
      <c r="B10" s="275" t="s">
        <v>265</v>
      </c>
      <c r="C10" s="276"/>
      <c r="D10" s="276"/>
      <c r="E10" s="277"/>
      <c r="F10" s="220"/>
      <c r="G10" s="199"/>
      <c r="H10" s="199"/>
      <c r="I10" s="199"/>
      <c r="J10" s="207"/>
    </row>
    <row r="11" spans="2:12" ht="14.4" x14ac:dyDescent="0.3">
      <c r="B11" s="224" t="s">
        <v>249</v>
      </c>
      <c r="C11" s="223" t="s">
        <v>264</v>
      </c>
      <c r="D11" s="222" t="s">
        <v>263</v>
      </c>
      <c r="E11" s="221" t="s">
        <v>262</v>
      </c>
      <c r="F11" s="220"/>
      <c r="G11" s="199"/>
      <c r="H11" s="199"/>
      <c r="I11" s="199" t="s">
        <v>253</v>
      </c>
      <c r="J11" s="207"/>
    </row>
    <row r="12" spans="2:12" ht="14.4" x14ac:dyDescent="0.3">
      <c r="B12" s="219">
        <v>1</v>
      </c>
      <c r="C12" s="218">
        <v>1</v>
      </c>
      <c r="D12" s="217">
        <v>0.9</v>
      </c>
      <c r="E12" s="216">
        <v>0.8</v>
      </c>
      <c r="G12" s="199"/>
      <c r="H12" s="199"/>
      <c r="I12" s="199"/>
      <c r="J12" s="207"/>
    </row>
    <row r="13" spans="2:12" ht="14.4" x14ac:dyDescent="0.3">
      <c r="B13" s="215">
        <v>2</v>
      </c>
      <c r="C13" s="214">
        <v>0.9</v>
      </c>
      <c r="D13" s="213">
        <v>1</v>
      </c>
      <c r="E13" s="212">
        <v>0.92</v>
      </c>
      <c r="G13" s="199"/>
      <c r="H13" s="199"/>
      <c r="I13" s="199"/>
      <c r="J13" s="207"/>
    </row>
    <row r="14" spans="2:12" ht="14.4" x14ac:dyDescent="0.3">
      <c r="B14" s="211">
        <v>3</v>
      </c>
      <c r="C14" s="210">
        <v>0.8</v>
      </c>
      <c r="D14" s="209">
        <v>0.92</v>
      </c>
      <c r="E14" s="208">
        <v>1</v>
      </c>
      <c r="G14" s="199"/>
      <c r="H14" s="199"/>
      <c r="I14" s="199"/>
      <c r="J14" s="207"/>
    </row>
    <row r="15" spans="2:12" ht="14.4" x14ac:dyDescent="0.3">
      <c r="B15" s="199"/>
      <c r="H15" s="199"/>
      <c r="I15" s="199"/>
      <c r="J15" s="207"/>
    </row>
    <row r="18" spans="2:8" x14ac:dyDescent="0.25">
      <c r="B18" s="190" t="s">
        <v>188</v>
      </c>
    </row>
    <row r="19" spans="2:8" x14ac:dyDescent="0.25">
      <c r="C19" s="190" t="s">
        <v>261</v>
      </c>
    </row>
    <row r="21" spans="2:8" x14ac:dyDescent="0.25">
      <c r="C21" s="190" t="s">
        <v>260</v>
      </c>
      <c r="D21" s="206">
        <v>50</v>
      </c>
    </row>
    <row r="22" spans="2:8" ht="13.8" x14ac:dyDescent="0.25">
      <c r="C22" s="203"/>
      <c r="D22" s="203" t="s">
        <v>259</v>
      </c>
      <c r="E22" s="203" t="s">
        <v>259</v>
      </c>
    </row>
    <row r="23" spans="2:8" ht="13.8" x14ac:dyDescent="0.25">
      <c r="C23" s="201" t="s">
        <v>258</v>
      </c>
      <c r="D23" s="205">
        <v>0.1</v>
      </c>
      <c r="E23" s="204">
        <f>D23*$D$21</f>
        <v>5</v>
      </c>
    </row>
    <row r="24" spans="2:8" ht="13.8" x14ac:dyDescent="0.25">
      <c r="C24" s="201" t="s">
        <v>257</v>
      </c>
      <c r="D24" s="205">
        <v>0.1</v>
      </c>
      <c r="E24" s="204">
        <f>D24*$D$21</f>
        <v>5</v>
      </c>
    </row>
    <row r="25" spans="2:8" ht="13.8" x14ac:dyDescent="0.25">
      <c r="C25" s="201" t="s">
        <v>256</v>
      </c>
      <c r="D25" s="205">
        <v>0.8</v>
      </c>
      <c r="E25" s="204">
        <f>D25*$D$21</f>
        <v>40</v>
      </c>
    </row>
    <row r="27" spans="2:8" ht="27.6" x14ac:dyDescent="0.25">
      <c r="C27" s="203" t="s">
        <v>249</v>
      </c>
      <c r="D27" s="203" t="s">
        <v>255</v>
      </c>
      <c r="E27" s="195" t="s">
        <v>247</v>
      </c>
    </row>
    <row r="28" spans="2:8" ht="41.4" x14ac:dyDescent="0.25">
      <c r="C28" s="201">
        <v>1</v>
      </c>
      <c r="D28" s="203" t="s">
        <v>254</v>
      </c>
      <c r="E28" s="197">
        <f>(E23*C4/100+E24*D4/100+E25*E4/100)*F4</f>
        <v>7.1361150000000002</v>
      </c>
      <c r="H28" s="190" t="s">
        <v>253</v>
      </c>
    </row>
    <row r="29" spans="2:8" ht="41.4" x14ac:dyDescent="0.25">
      <c r="C29" s="201">
        <v>2</v>
      </c>
      <c r="D29" s="203" t="s">
        <v>252</v>
      </c>
      <c r="E29" s="197">
        <f>(E23*C5/100+E24*D5/100+E25*E5/100)*F5</f>
        <v>6.6542400000000006</v>
      </c>
    </row>
    <row r="30" spans="2:8" ht="41.4" x14ac:dyDescent="0.25">
      <c r="C30" s="201">
        <v>3</v>
      </c>
      <c r="D30" s="203" t="s">
        <v>251</v>
      </c>
      <c r="E30" s="197">
        <f>(E23*C6/100+E24*D6/100+E25*E6/100)*F6</f>
        <v>36.208199999999998</v>
      </c>
    </row>
    <row r="33" spans="3:12" ht="13.8" x14ac:dyDescent="0.25">
      <c r="C33" s="193" t="s">
        <v>250</v>
      </c>
    </row>
    <row r="35" spans="3:12" ht="14.4" thickBot="1" x14ac:dyDescent="0.3">
      <c r="C35" s="203" t="s">
        <v>249</v>
      </c>
      <c r="D35" s="203" t="s">
        <v>248</v>
      </c>
      <c r="E35" s="195" t="s">
        <v>247</v>
      </c>
    </row>
    <row r="36" spans="3:12" ht="28.2" thickBot="1" x14ac:dyDescent="0.3">
      <c r="C36" s="201">
        <v>1</v>
      </c>
      <c r="D36" s="202" t="s">
        <v>246</v>
      </c>
      <c r="E36" s="198">
        <f>E28*G4</f>
        <v>0.24262791000000003</v>
      </c>
    </row>
    <row r="37" spans="3:12" ht="28.2" thickBot="1" x14ac:dyDescent="0.3">
      <c r="C37" s="201">
        <v>2</v>
      </c>
      <c r="D37" s="200" t="s">
        <v>245</v>
      </c>
      <c r="E37" s="198">
        <f>E29*G5</f>
        <v>0.25951536000000003</v>
      </c>
    </row>
    <row r="38" spans="3:12" ht="28.2" thickBot="1" x14ac:dyDescent="0.3">
      <c r="C38" s="201">
        <v>3</v>
      </c>
      <c r="D38" s="200" t="s">
        <v>244</v>
      </c>
      <c r="E38" s="198">
        <f>E30*G6</f>
        <v>1.5207444000000001</v>
      </c>
    </row>
    <row r="41" spans="3:12" x14ac:dyDescent="0.25">
      <c r="C41" s="190" t="s">
        <v>243</v>
      </c>
    </row>
    <row r="43" spans="3:12" ht="13.8" x14ac:dyDescent="0.25">
      <c r="C43" s="193" t="s">
        <v>242</v>
      </c>
    </row>
    <row r="45" spans="3:12" x14ac:dyDescent="0.25">
      <c r="H45" s="195">
        <f t="shared" ref="H45:J47" si="0">C12</f>
        <v>1</v>
      </c>
      <c r="I45" s="195">
        <f t="shared" si="0"/>
        <v>0.9</v>
      </c>
      <c r="J45" s="195">
        <f t="shared" si="0"/>
        <v>0.8</v>
      </c>
      <c r="L45" s="198">
        <f>E36</f>
        <v>0.24262791000000003</v>
      </c>
    </row>
    <row r="46" spans="3:12" x14ac:dyDescent="0.25">
      <c r="D46" s="198">
        <f>E36</f>
        <v>0.24262791000000003</v>
      </c>
      <c r="E46" s="198">
        <f>E37</f>
        <v>0.25951536000000003</v>
      </c>
      <c r="F46" s="198">
        <f>E38</f>
        <v>1.5207444000000001</v>
      </c>
      <c r="G46" s="199" t="s">
        <v>241</v>
      </c>
      <c r="H46" s="195">
        <f t="shared" si="0"/>
        <v>0.9</v>
      </c>
      <c r="I46" s="195">
        <f t="shared" si="0"/>
        <v>1</v>
      </c>
      <c r="J46" s="195">
        <f t="shared" si="0"/>
        <v>0.92</v>
      </c>
      <c r="K46" s="199" t="s">
        <v>241</v>
      </c>
      <c r="L46" s="198">
        <f>E37</f>
        <v>0.25951536000000003</v>
      </c>
    </row>
    <row r="47" spans="3:12" x14ac:dyDescent="0.25">
      <c r="H47" s="195">
        <f t="shared" si="0"/>
        <v>0.8</v>
      </c>
      <c r="I47" s="195">
        <f t="shared" si="0"/>
        <v>0.92</v>
      </c>
      <c r="J47" s="195">
        <f t="shared" si="0"/>
        <v>1</v>
      </c>
      <c r="L47" s="198">
        <f>E38</f>
        <v>1.5207444000000001</v>
      </c>
    </row>
    <row r="49" spans="2:7" x14ac:dyDescent="0.25">
      <c r="D49" s="197" cm="1">
        <f t="array" ref="D49">SQRT(MMULT(MMULT(D46:F46,H45:J47),L45:L47))</f>
        <v>1.9669128939839129</v>
      </c>
    </row>
    <row r="51" spans="2:7" ht="13.8" x14ac:dyDescent="0.25">
      <c r="C51" s="196" t="s">
        <v>240</v>
      </c>
    </row>
    <row r="52" spans="2:7" ht="13.8" x14ac:dyDescent="0.25">
      <c r="C52" s="196" t="s">
        <v>239</v>
      </c>
    </row>
    <row r="54" spans="2:7" ht="13.8" x14ac:dyDescent="0.25">
      <c r="B54" s="190" t="s">
        <v>238</v>
      </c>
      <c r="D54" s="193" t="s">
        <v>237</v>
      </c>
    </row>
    <row r="55" spans="2:7" ht="13.8" x14ac:dyDescent="0.25">
      <c r="D55" s="193" t="s">
        <v>236</v>
      </c>
    </row>
    <row r="56" spans="2:7" ht="13.8" x14ac:dyDescent="0.25">
      <c r="D56" s="193" t="s">
        <v>235</v>
      </c>
      <c r="G56" s="195">
        <f>1.97/50</f>
        <v>3.9399999999999998E-2</v>
      </c>
    </row>
    <row r="57" spans="2:7" ht="13.8" x14ac:dyDescent="0.25">
      <c r="D57" s="193"/>
    </row>
    <row r="58" spans="2:7" ht="13.8" x14ac:dyDescent="0.25">
      <c r="D58" s="193" t="s">
        <v>234</v>
      </c>
    </row>
    <row r="59" spans="2:7" ht="13.8" x14ac:dyDescent="0.25">
      <c r="D59" s="193"/>
    </row>
    <row r="60" spans="2:7" ht="13.8" x14ac:dyDescent="0.25">
      <c r="D60" s="193" t="s">
        <v>233</v>
      </c>
    </row>
    <row r="61" spans="2:7" ht="13.8" x14ac:dyDescent="0.25">
      <c r="D61" s="194"/>
    </row>
    <row r="62" spans="2:7" ht="13.8" x14ac:dyDescent="0.25">
      <c r="D62" s="193" t="s">
        <v>232</v>
      </c>
    </row>
    <row r="63" spans="2:7" ht="13.8" x14ac:dyDescent="0.25">
      <c r="D63" s="193"/>
    </row>
    <row r="64" spans="2:7" ht="13.8" x14ac:dyDescent="0.25">
      <c r="D64" s="193" t="s">
        <v>231</v>
      </c>
    </row>
    <row r="66" spans="4:6" x14ac:dyDescent="0.25">
      <c r="D66" s="190" t="s">
        <v>230</v>
      </c>
      <c r="E66" s="192">
        <f>SQRT((E67*0.15)^2+((50-E67)*G56)^2+2*0.1*(E67*0.15)*((50-E67)*G56))</f>
        <v>1.9963628086096974</v>
      </c>
      <c r="F66" s="190" t="s">
        <v>229</v>
      </c>
    </row>
    <row r="67" spans="4:6" x14ac:dyDescent="0.25">
      <c r="D67" s="190" t="s">
        <v>228</v>
      </c>
      <c r="E67" s="191">
        <v>5.0999999999999996</v>
      </c>
    </row>
  </sheetData>
  <mergeCells count="2">
    <mergeCell ref="C2:E2"/>
    <mergeCell ref="B10:E1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48434-6CE5-4A80-A1CD-E7870E53C912}">
  <sheetPr>
    <tabColor rgb="FF0000FF"/>
  </sheetPr>
  <dimension ref="A1:H46"/>
  <sheetViews>
    <sheetView tabSelected="1" zoomScale="85" zoomScaleNormal="85" workbookViewId="0"/>
  </sheetViews>
  <sheetFormatPr defaultColWidth="9.109375" defaultRowHeight="13.8" x14ac:dyDescent="0.25"/>
  <cols>
    <col min="1" max="1" width="9.109375" style="1"/>
    <col min="2" max="2" width="12" style="1" customWidth="1"/>
    <col min="3" max="3" width="46.44140625" style="1" customWidth="1"/>
    <col min="4" max="7" width="11.88671875" style="1" customWidth="1"/>
    <col min="8" max="16384" width="9.109375" style="1"/>
  </cols>
  <sheetData>
    <row r="1" spans="1:8" x14ac:dyDescent="0.25">
      <c r="A1" s="28" t="s">
        <v>133</v>
      </c>
    </row>
    <row r="2" spans="1:8" x14ac:dyDescent="0.25">
      <c r="A2" s="28" t="s">
        <v>134</v>
      </c>
    </row>
    <row r="3" spans="1:8" x14ac:dyDescent="0.25">
      <c r="A3" s="28" t="s">
        <v>135</v>
      </c>
    </row>
    <row r="4" spans="1:8" x14ac:dyDescent="0.25">
      <c r="A4" s="28" t="s">
        <v>136</v>
      </c>
    </row>
    <row r="5" spans="1:8" x14ac:dyDescent="0.25">
      <c r="A5" s="28" t="s">
        <v>137</v>
      </c>
    </row>
    <row r="6" spans="1:8" x14ac:dyDescent="0.25">
      <c r="A6" s="28" t="s">
        <v>138</v>
      </c>
    </row>
    <row r="7" spans="1:8" x14ac:dyDescent="0.25">
      <c r="A7" s="28"/>
    </row>
    <row r="8" spans="1:8" x14ac:dyDescent="0.25">
      <c r="A8" s="2"/>
    </row>
    <row r="9" spans="1:8" ht="14.4" thickBot="1" x14ac:dyDescent="0.3">
      <c r="A9" s="259"/>
      <c r="B9" s="1" t="s">
        <v>297</v>
      </c>
    </row>
    <row r="10" spans="1:8" x14ac:dyDescent="0.25">
      <c r="C10" s="258"/>
      <c r="D10" s="257"/>
      <c r="E10" s="257"/>
      <c r="F10" s="257"/>
      <c r="G10" s="257"/>
      <c r="H10" s="256"/>
    </row>
    <row r="11" spans="1:8" x14ac:dyDescent="0.25">
      <c r="C11" s="252" t="s">
        <v>296</v>
      </c>
      <c r="D11" s="1">
        <v>0.05</v>
      </c>
      <c r="H11" s="251"/>
    </row>
    <row r="12" spans="1:8" x14ac:dyDescent="0.25">
      <c r="C12" s="252" t="s">
        <v>295</v>
      </c>
      <c r="D12" s="1">
        <v>5</v>
      </c>
      <c r="H12" s="251"/>
    </row>
    <row r="13" spans="1:8" x14ac:dyDescent="0.25">
      <c r="C13" s="252" t="s">
        <v>294</v>
      </c>
      <c r="D13" s="255">
        <v>1500000</v>
      </c>
      <c r="H13" s="251"/>
    </row>
    <row r="14" spans="1:8" x14ac:dyDescent="0.25">
      <c r="C14" s="252" t="s">
        <v>293</v>
      </c>
      <c r="D14" s="255">
        <f>D13/(1+D11)^D12</f>
        <v>1175289.2497026885</v>
      </c>
      <c r="H14" s="251"/>
    </row>
    <row r="15" spans="1:8" x14ac:dyDescent="0.25">
      <c r="C15" s="252"/>
      <c r="H15" s="251"/>
    </row>
    <row r="16" spans="1:8" x14ac:dyDescent="0.25">
      <c r="C16" s="260" t="s">
        <v>292</v>
      </c>
      <c r="D16" s="255">
        <f>D13/(1+D11-0.01)^D12</f>
        <v>1232890.6601390273</v>
      </c>
      <c r="H16" s="251"/>
    </row>
    <row r="17" spans="1:8" x14ac:dyDescent="0.25">
      <c r="C17" s="252" t="s">
        <v>291</v>
      </c>
      <c r="D17" s="255">
        <f>D16-D14</f>
        <v>57601.410436338745</v>
      </c>
      <c r="H17" s="251"/>
    </row>
    <row r="18" spans="1:8" x14ac:dyDescent="0.25">
      <c r="C18" s="252"/>
      <c r="H18" s="251"/>
    </row>
    <row r="19" spans="1:8" x14ac:dyDescent="0.25">
      <c r="C19" s="252" t="s">
        <v>290</v>
      </c>
      <c r="D19" s="255">
        <f>D13</f>
        <v>1500000</v>
      </c>
      <c r="H19" s="251"/>
    </row>
    <row r="20" spans="1:8" x14ac:dyDescent="0.25">
      <c r="C20" s="252" t="s">
        <v>289</v>
      </c>
      <c r="D20" s="255">
        <f>D14*(1+D11-0.01)^D12</f>
        <v>1429919.0768102948</v>
      </c>
      <c r="H20" s="251"/>
    </row>
    <row r="21" spans="1:8" x14ac:dyDescent="0.25">
      <c r="C21" s="252" t="s">
        <v>288</v>
      </c>
      <c r="D21" s="255">
        <f>D19-D20</f>
        <v>70080.923189705238</v>
      </c>
      <c r="H21" s="251"/>
    </row>
    <row r="22" spans="1:8" x14ac:dyDescent="0.25">
      <c r="C22" s="252" t="s">
        <v>287</v>
      </c>
      <c r="D22" s="255">
        <f>D21/(1+D11-0.01)^D12</f>
        <v>57601.410436338774</v>
      </c>
      <c r="H22" s="251"/>
    </row>
    <row r="23" spans="1:8" ht="14.4" thickBot="1" x14ac:dyDescent="0.3">
      <c r="C23" s="250"/>
      <c r="D23" s="249"/>
      <c r="E23" s="249"/>
      <c r="F23" s="249"/>
      <c r="G23" s="249"/>
      <c r="H23" s="248"/>
    </row>
    <row r="25" spans="1:8" x14ac:dyDescent="0.25">
      <c r="A25" s="10"/>
    </row>
    <row r="26" spans="1:8" x14ac:dyDescent="0.25">
      <c r="A26" s="259"/>
    </row>
    <row r="27" spans="1:8" ht="14.4" thickBot="1" x14ac:dyDescent="0.3">
      <c r="B27" s="1" t="s">
        <v>286</v>
      </c>
    </row>
    <row r="28" spans="1:8" x14ac:dyDescent="0.25">
      <c r="C28" s="258"/>
      <c r="D28" s="257"/>
      <c r="E28" s="257"/>
      <c r="F28" s="257"/>
      <c r="G28" s="257"/>
      <c r="H28" s="256"/>
    </row>
    <row r="29" spans="1:8" x14ac:dyDescent="0.25">
      <c r="C29" s="252" t="s">
        <v>285</v>
      </c>
      <c r="H29" s="251"/>
    </row>
    <row r="30" spans="1:8" x14ac:dyDescent="0.25">
      <c r="C30" s="252" t="s">
        <v>284</v>
      </c>
      <c r="H30" s="251"/>
    </row>
    <row r="31" spans="1:8" x14ac:dyDescent="0.25">
      <c r="C31" s="252" t="s">
        <v>283</v>
      </c>
      <c r="H31" s="251"/>
    </row>
    <row r="32" spans="1:8" x14ac:dyDescent="0.25">
      <c r="C32" s="252"/>
      <c r="H32" s="251"/>
    </row>
    <row r="33" spans="3:8" x14ac:dyDescent="0.25">
      <c r="C33" s="252" t="s">
        <v>282</v>
      </c>
      <c r="D33" s="1">
        <v>0.05</v>
      </c>
      <c r="H33" s="251"/>
    </row>
    <row r="34" spans="3:8" x14ac:dyDescent="0.25">
      <c r="C34" s="252" t="s">
        <v>281</v>
      </c>
      <c r="D34" s="255">
        <f>1500000/(1+D33)^5</f>
        <v>1175289.2497026885</v>
      </c>
      <c r="H34" s="251"/>
    </row>
    <row r="35" spans="3:8" x14ac:dyDescent="0.25">
      <c r="C35" s="252" t="s">
        <v>280</v>
      </c>
      <c r="D35" s="255">
        <f>D34*(1+D33)</f>
        <v>1234053.7121878229</v>
      </c>
      <c r="H35" s="251"/>
    </row>
    <row r="36" spans="3:8" x14ac:dyDescent="0.25">
      <c r="C36" s="252" t="s">
        <v>279</v>
      </c>
      <c r="D36" s="255">
        <v>1500000</v>
      </c>
      <c r="H36" s="251"/>
    </row>
    <row r="37" spans="3:8" x14ac:dyDescent="0.25">
      <c r="C37" s="252" t="s">
        <v>278</v>
      </c>
      <c r="D37" s="254">
        <v>0.1</v>
      </c>
      <c r="H37" s="251"/>
    </row>
    <row r="38" spans="3:8" x14ac:dyDescent="0.25">
      <c r="C38" s="252" t="s">
        <v>277</v>
      </c>
      <c r="D38" s="1">
        <v>1</v>
      </c>
      <c r="H38" s="251"/>
    </row>
    <row r="39" spans="3:8" x14ac:dyDescent="0.25">
      <c r="C39" s="252" t="s">
        <v>276</v>
      </c>
      <c r="D39" s="253">
        <f>1/(1+D33)</f>
        <v>0.95238095238095233</v>
      </c>
      <c r="H39" s="251"/>
    </row>
    <row r="40" spans="3:8" x14ac:dyDescent="0.25">
      <c r="C40" s="252"/>
      <c r="D40" s="253"/>
      <c r="H40" s="251"/>
    </row>
    <row r="41" spans="3:8" x14ac:dyDescent="0.25">
      <c r="C41" s="252" t="s">
        <v>275</v>
      </c>
      <c r="D41" s="253">
        <f>(LN(D35/D36)+D37^2*D38/2)/(D37*D38^0.5)</f>
        <v>-1.9016065667772801</v>
      </c>
      <c r="H41" s="251"/>
    </row>
    <row r="42" spans="3:8" x14ac:dyDescent="0.25">
      <c r="C42" s="252" t="s">
        <v>274</v>
      </c>
      <c r="D42" s="253">
        <f>D41-D37*D38^0.5</f>
        <v>-2.00160656677728</v>
      </c>
      <c r="H42" s="251"/>
    </row>
    <row r="43" spans="3:8" x14ac:dyDescent="0.25">
      <c r="C43" s="252"/>
      <c r="H43" s="251"/>
    </row>
    <row r="44" spans="3:8" ht="14.4" thickBot="1" x14ac:dyDescent="0.3">
      <c r="C44" s="250"/>
      <c r="D44" s="249"/>
      <c r="E44" s="249"/>
      <c r="F44" s="249"/>
      <c r="G44" s="249"/>
      <c r="H44" s="248"/>
    </row>
    <row r="45" spans="3:8" ht="14.4" thickBot="1" x14ac:dyDescent="0.3"/>
    <row r="46" spans="3:8" ht="14.4" thickBot="1" x14ac:dyDescent="0.3">
      <c r="C46" s="1" t="s">
        <v>273</v>
      </c>
      <c r="D46" s="247">
        <f>D39*(D35*_xlfn.NORM.S.DIST(D41,TRUE)-D36*_xlfn.NORM.S.DIST(D42,TRUE))</f>
        <v>1250.0854854444956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8B4E2-1307-4335-8DA3-6B0C0047EEFB}">
  <sheetPr>
    <tabColor rgb="FF0000FF"/>
  </sheetPr>
  <dimension ref="A1:K17"/>
  <sheetViews>
    <sheetView workbookViewId="0"/>
  </sheetViews>
  <sheetFormatPr defaultColWidth="9.109375" defaultRowHeight="13.8" x14ac:dyDescent="0.25"/>
  <cols>
    <col min="1" max="1" width="21.88671875" style="54" customWidth="1"/>
    <col min="2" max="2" width="13.109375" style="55" customWidth="1"/>
    <col min="3" max="3" width="14.33203125" style="55" customWidth="1"/>
    <col min="4" max="4" width="13.6640625" style="55" customWidth="1"/>
    <col min="5" max="5" width="9.109375" style="54"/>
    <col min="6" max="6" width="11.88671875" style="56" customWidth="1"/>
    <col min="7" max="7" width="10.88671875" style="56" customWidth="1"/>
    <col min="8" max="8" width="12" style="54" customWidth="1"/>
    <col min="9" max="9" width="9.109375" style="57"/>
    <col min="10" max="16384" width="9.109375" style="54"/>
  </cols>
  <sheetData>
    <row r="1" spans="1:11" x14ac:dyDescent="0.25">
      <c r="A1" s="53" t="s">
        <v>133</v>
      </c>
      <c r="B1" s="54"/>
    </row>
    <row r="2" spans="1:11" x14ac:dyDescent="0.25">
      <c r="A2" s="53" t="s">
        <v>134</v>
      </c>
      <c r="B2" s="54"/>
    </row>
    <row r="3" spans="1:11" x14ac:dyDescent="0.25">
      <c r="A3" s="53" t="s">
        <v>135</v>
      </c>
      <c r="B3" s="54"/>
    </row>
    <row r="4" spans="1:11" x14ac:dyDescent="0.25">
      <c r="A4" s="53" t="s">
        <v>136</v>
      </c>
      <c r="B4" s="54"/>
    </row>
    <row r="5" spans="1:11" x14ac:dyDescent="0.25">
      <c r="A5" s="53" t="s">
        <v>137</v>
      </c>
      <c r="B5" s="54"/>
    </row>
    <row r="6" spans="1:11" x14ac:dyDescent="0.25">
      <c r="A6" s="53" t="s">
        <v>138</v>
      </c>
      <c r="B6" s="54"/>
    </row>
    <row r="8" spans="1:11" x14ac:dyDescent="0.25">
      <c r="F8" s="58" t="s">
        <v>193</v>
      </c>
    </row>
    <row r="9" spans="1:11" ht="29.25" customHeight="1" x14ac:dyDescent="0.25">
      <c r="B9" s="278" t="s">
        <v>194</v>
      </c>
      <c r="C9" s="279"/>
    </row>
    <row r="10" spans="1:11" ht="41.25" customHeight="1" x14ac:dyDescent="0.25">
      <c r="A10" s="59" t="s">
        <v>195</v>
      </c>
      <c r="B10" s="60" t="s">
        <v>196</v>
      </c>
      <c r="C10" s="60" t="s">
        <v>197</v>
      </c>
      <c r="D10" s="60" t="s">
        <v>198</v>
      </c>
      <c r="F10" s="61" t="s">
        <v>199</v>
      </c>
      <c r="G10" s="61" t="s">
        <v>200</v>
      </c>
      <c r="H10" s="61" t="s">
        <v>201</v>
      </c>
    </row>
    <row r="11" spans="1:11" x14ac:dyDescent="0.25">
      <c r="A11" s="54" t="s">
        <v>202</v>
      </c>
      <c r="B11" s="80">
        <v>200</v>
      </c>
      <c r="C11" s="80">
        <v>20</v>
      </c>
      <c r="D11" s="80">
        <v>210</v>
      </c>
      <c r="F11" s="63"/>
      <c r="G11" s="63"/>
      <c r="H11" s="54" t="s">
        <v>203</v>
      </c>
      <c r="K11" s="64"/>
    </row>
    <row r="12" spans="1:11" x14ac:dyDescent="0.25">
      <c r="A12" s="54" t="s">
        <v>204</v>
      </c>
      <c r="B12" s="80">
        <v>40</v>
      </c>
      <c r="C12" s="80">
        <v>5</v>
      </c>
      <c r="D12" s="80">
        <v>45</v>
      </c>
      <c r="F12" s="63"/>
      <c r="G12" s="63"/>
      <c r="H12" s="54" t="s">
        <v>203</v>
      </c>
      <c r="K12" s="64"/>
    </row>
    <row r="14" spans="1:11" ht="60.75" customHeight="1" x14ac:dyDescent="0.25">
      <c r="G14" s="61" t="s">
        <v>205</v>
      </c>
    </row>
    <row r="15" spans="1:11" ht="18" x14ac:dyDescent="0.35">
      <c r="A15" s="65" t="s">
        <v>206</v>
      </c>
      <c r="E15" s="66"/>
      <c r="F15" s="57"/>
      <c r="G15" s="63"/>
      <c r="H15" s="54" t="s">
        <v>207</v>
      </c>
      <c r="I15" s="67"/>
      <c r="J15" s="68"/>
    </row>
    <row r="16" spans="1:11" x14ac:dyDescent="0.25">
      <c r="F16" s="69"/>
      <c r="G16" s="70"/>
      <c r="H16" s="68"/>
      <c r="I16" s="67"/>
      <c r="J16" s="68"/>
    </row>
    <row r="17" spans="6:6" x14ac:dyDescent="0.25">
      <c r="F17" s="57"/>
    </row>
  </sheetData>
  <mergeCells count="1">
    <mergeCell ref="B9:C9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B455B-60E6-4796-B54F-3E606FEFFDB1}">
  <sheetPr>
    <tabColor rgb="FF0000FF"/>
  </sheetPr>
  <dimension ref="A1:G130"/>
  <sheetViews>
    <sheetView workbookViewId="0"/>
  </sheetViews>
  <sheetFormatPr defaultColWidth="9.109375" defaultRowHeight="13.8" x14ac:dyDescent="0.25"/>
  <cols>
    <col min="1" max="1" width="9.109375" style="54"/>
    <col min="2" max="2" width="13.88671875" style="54" customWidth="1"/>
    <col min="3" max="3" width="10.5546875" style="54" bestFit="1" customWidth="1"/>
    <col min="4" max="4" width="9.5546875" style="54" customWidth="1"/>
    <col min="5" max="5" width="9.88671875" style="54" customWidth="1"/>
    <col min="6" max="16384" width="9.109375" style="54"/>
  </cols>
  <sheetData>
    <row r="1" spans="1:5" x14ac:dyDescent="0.25">
      <c r="A1" s="53" t="s">
        <v>133</v>
      </c>
    </row>
    <row r="2" spans="1:5" x14ac:dyDescent="0.25">
      <c r="A2" s="53" t="s">
        <v>134</v>
      </c>
    </row>
    <row r="3" spans="1:5" x14ac:dyDescent="0.25">
      <c r="A3" s="53" t="s">
        <v>135</v>
      </c>
    </row>
    <row r="4" spans="1:5" x14ac:dyDescent="0.25">
      <c r="A4" s="53" t="s">
        <v>136</v>
      </c>
    </row>
    <row r="5" spans="1:5" x14ac:dyDescent="0.25">
      <c r="A5" s="53" t="s">
        <v>137</v>
      </c>
    </row>
    <row r="6" spans="1:5" x14ac:dyDescent="0.25">
      <c r="A6" s="53" t="s">
        <v>138</v>
      </c>
    </row>
    <row r="7" spans="1:5" ht="14.4" thickBot="1" x14ac:dyDescent="0.3"/>
    <row r="8" spans="1:5" ht="15.6" thickTop="1" thickBot="1" x14ac:dyDescent="0.35">
      <c r="A8" s="280" t="s">
        <v>208</v>
      </c>
      <c r="B8" s="281"/>
      <c r="C8" s="281"/>
      <c r="D8" s="281"/>
      <c r="E8" s="282"/>
    </row>
    <row r="9" spans="1:5" ht="14.4" thickTop="1" x14ac:dyDescent="0.25"/>
    <row r="10" spans="1:5" x14ac:dyDescent="0.25">
      <c r="C10" s="283" t="s">
        <v>209</v>
      </c>
      <c r="D10" s="284"/>
      <c r="E10" s="285"/>
    </row>
    <row r="11" spans="1:5" ht="27.6" x14ac:dyDescent="0.25">
      <c r="A11" s="59" t="s">
        <v>210</v>
      </c>
      <c r="B11" s="59" t="s">
        <v>211</v>
      </c>
      <c r="C11" s="59" t="s">
        <v>202</v>
      </c>
      <c r="D11" s="59" t="s">
        <v>204</v>
      </c>
      <c r="E11" s="60" t="s">
        <v>212</v>
      </c>
    </row>
    <row r="12" spans="1:5" x14ac:dyDescent="0.25">
      <c r="A12" s="54">
        <v>1</v>
      </c>
      <c r="B12" s="54">
        <v>1877</v>
      </c>
      <c r="C12" s="54">
        <v>274</v>
      </c>
      <c r="D12" s="54">
        <v>69</v>
      </c>
      <c r="E12" s="54">
        <v>343</v>
      </c>
    </row>
    <row r="13" spans="1:5" x14ac:dyDescent="0.25">
      <c r="A13" s="54">
        <f>+A12+1</f>
        <v>2</v>
      </c>
      <c r="B13" s="54">
        <v>7177</v>
      </c>
      <c r="C13" s="54">
        <v>272</v>
      </c>
      <c r="D13" s="54">
        <v>69</v>
      </c>
      <c r="E13" s="54">
        <v>341</v>
      </c>
    </row>
    <row r="14" spans="1:5" x14ac:dyDescent="0.25">
      <c r="A14" s="54">
        <f t="shared" ref="A14:A77" si="0">+A13+1</f>
        <v>3</v>
      </c>
      <c r="B14" s="54">
        <v>8945</v>
      </c>
      <c r="C14" s="54">
        <v>271</v>
      </c>
      <c r="D14" s="54">
        <v>69</v>
      </c>
      <c r="E14" s="54">
        <v>340</v>
      </c>
    </row>
    <row r="15" spans="1:5" x14ac:dyDescent="0.25">
      <c r="A15" s="54">
        <f t="shared" si="0"/>
        <v>4</v>
      </c>
      <c r="B15" s="54">
        <v>8614</v>
      </c>
      <c r="C15" s="54">
        <v>263</v>
      </c>
      <c r="D15" s="54">
        <v>67</v>
      </c>
      <c r="E15" s="54">
        <v>330</v>
      </c>
    </row>
    <row r="16" spans="1:5" x14ac:dyDescent="0.25">
      <c r="A16" s="54">
        <f t="shared" si="0"/>
        <v>5</v>
      </c>
      <c r="B16" s="54">
        <v>1778</v>
      </c>
      <c r="C16" s="54">
        <v>263</v>
      </c>
      <c r="D16" s="54">
        <v>66</v>
      </c>
      <c r="E16" s="54">
        <v>329</v>
      </c>
    </row>
    <row r="17" spans="1:5" x14ac:dyDescent="0.25">
      <c r="A17" s="54">
        <f t="shared" si="0"/>
        <v>6</v>
      </c>
      <c r="B17" s="54">
        <v>4555</v>
      </c>
      <c r="C17" s="54">
        <v>264</v>
      </c>
      <c r="D17" s="54">
        <v>63</v>
      </c>
      <c r="E17" s="54">
        <v>327</v>
      </c>
    </row>
    <row r="18" spans="1:5" x14ac:dyDescent="0.25">
      <c r="A18" s="54">
        <f t="shared" si="0"/>
        <v>7</v>
      </c>
      <c r="B18" s="54">
        <v>8932</v>
      </c>
      <c r="C18" s="54">
        <v>263</v>
      </c>
      <c r="D18" s="54">
        <v>64</v>
      </c>
      <c r="E18" s="54">
        <v>327</v>
      </c>
    </row>
    <row r="19" spans="1:5" x14ac:dyDescent="0.25">
      <c r="A19" s="54">
        <f t="shared" si="0"/>
        <v>8</v>
      </c>
      <c r="B19" s="54">
        <v>3385</v>
      </c>
      <c r="C19" s="54">
        <v>261</v>
      </c>
      <c r="D19" s="54">
        <v>64</v>
      </c>
      <c r="E19" s="54">
        <v>325</v>
      </c>
    </row>
    <row r="20" spans="1:5" x14ac:dyDescent="0.25">
      <c r="A20" s="54">
        <f t="shared" si="0"/>
        <v>9</v>
      </c>
      <c r="B20" s="54">
        <v>9380</v>
      </c>
      <c r="C20" s="54">
        <v>260</v>
      </c>
      <c r="D20" s="54">
        <v>65</v>
      </c>
      <c r="E20" s="54">
        <v>325</v>
      </c>
    </row>
    <row r="21" spans="1:5" x14ac:dyDescent="0.25">
      <c r="A21" s="54">
        <f t="shared" si="0"/>
        <v>10</v>
      </c>
      <c r="B21" s="54">
        <v>1869</v>
      </c>
      <c r="C21" s="54">
        <v>260</v>
      </c>
      <c r="D21" s="54">
        <v>64</v>
      </c>
      <c r="E21" s="54">
        <v>324</v>
      </c>
    </row>
    <row r="22" spans="1:5" x14ac:dyDescent="0.25">
      <c r="A22" s="54">
        <f t="shared" si="0"/>
        <v>11</v>
      </c>
      <c r="B22" s="54">
        <v>7655</v>
      </c>
      <c r="C22" s="54">
        <v>261</v>
      </c>
      <c r="D22" s="54">
        <v>63</v>
      </c>
      <c r="E22" s="54">
        <v>324</v>
      </c>
    </row>
    <row r="23" spans="1:5" x14ac:dyDescent="0.25">
      <c r="A23" s="54">
        <f t="shared" si="0"/>
        <v>12</v>
      </c>
      <c r="B23" s="54">
        <v>9105</v>
      </c>
      <c r="C23" s="54">
        <v>260</v>
      </c>
      <c r="D23" s="54">
        <v>63</v>
      </c>
      <c r="E23" s="54">
        <v>323</v>
      </c>
    </row>
    <row r="24" spans="1:5" x14ac:dyDescent="0.25">
      <c r="A24" s="54">
        <f t="shared" si="0"/>
        <v>13</v>
      </c>
      <c r="B24" s="54">
        <v>8647</v>
      </c>
      <c r="C24" s="54">
        <v>256</v>
      </c>
      <c r="D24" s="54">
        <v>64</v>
      </c>
      <c r="E24" s="54">
        <v>320</v>
      </c>
    </row>
    <row r="25" spans="1:5" x14ac:dyDescent="0.25">
      <c r="A25" s="54">
        <f t="shared" si="0"/>
        <v>14</v>
      </c>
      <c r="B25" s="54">
        <v>6865</v>
      </c>
      <c r="C25" s="54">
        <v>257</v>
      </c>
      <c r="D25" s="54">
        <v>62</v>
      </c>
      <c r="E25" s="54">
        <v>319</v>
      </c>
    </row>
    <row r="26" spans="1:5" x14ac:dyDescent="0.25">
      <c r="A26" s="54">
        <f t="shared" si="0"/>
        <v>15</v>
      </c>
      <c r="B26" s="54">
        <v>975</v>
      </c>
      <c r="C26" s="54">
        <v>255</v>
      </c>
      <c r="D26" s="54">
        <v>63</v>
      </c>
      <c r="E26" s="54">
        <v>318</v>
      </c>
    </row>
    <row r="27" spans="1:5" x14ac:dyDescent="0.25">
      <c r="A27" s="54">
        <f t="shared" si="0"/>
        <v>16</v>
      </c>
      <c r="B27" s="54">
        <v>1980</v>
      </c>
      <c r="C27" s="54">
        <v>256</v>
      </c>
      <c r="D27" s="54">
        <v>62</v>
      </c>
      <c r="E27" s="54">
        <v>318</v>
      </c>
    </row>
    <row r="28" spans="1:5" x14ac:dyDescent="0.25">
      <c r="A28" s="54">
        <f t="shared" si="0"/>
        <v>17</v>
      </c>
      <c r="B28" s="54">
        <v>4096</v>
      </c>
      <c r="C28" s="54">
        <v>254</v>
      </c>
      <c r="D28" s="54">
        <v>64</v>
      </c>
      <c r="E28" s="54">
        <v>318</v>
      </c>
    </row>
    <row r="29" spans="1:5" x14ac:dyDescent="0.25">
      <c r="A29" s="54">
        <f t="shared" si="0"/>
        <v>18</v>
      </c>
      <c r="B29" s="54">
        <v>3104</v>
      </c>
      <c r="C29" s="54">
        <v>259</v>
      </c>
      <c r="D29" s="54">
        <v>58</v>
      </c>
      <c r="E29" s="54">
        <v>317</v>
      </c>
    </row>
    <row r="30" spans="1:5" x14ac:dyDescent="0.25">
      <c r="A30" s="54">
        <f t="shared" si="0"/>
        <v>19</v>
      </c>
      <c r="B30" s="54">
        <v>4919</v>
      </c>
      <c r="C30" s="54">
        <v>254</v>
      </c>
      <c r="D30" s="54">
        <v>63</v>
      </c>
      <c r="E30" s="54">
        <v>317</v>
      </c>
    </row>
    <row r="31" spans="1:5" x14ac:dyDescent="0.25">
      <c r="A31" s="54">
        <f t="shared" si="0"/>
        <v>20</v>
      </c>
      <c r="B31" s="54">
        <v>9833</v>
      </c>
      <c r="C31" s="54">
        <v>256</v>
      </c>
      <c r="D31" s="54">
        <v>61</v>
      </c>
      <c r="E31" s="54">
        <v>317</v>
      </c>
    </row>
    <row r="32" spans="1:5" x14ac:dyDescent="0.25">
      <c r="A32" s="54">
        <f t="shared" si="0"/>
        <v>21</v>
      </c>
      <c r="B32" s="54">
        <v>4644</v>
      </c>
      <c r="C32" s="54">
        <v>255</v>
      </c>
      <c r="D32" s="54">
        <v>61</v>
      </c>
      <c r="E32" s="54">
        <v>316</v>
      </c>
    </row>
    <row r="33" spans="1:5" x14ac:dyDescent="0.25">
      <c r="A33" s="54">
        <f t="shared" si="0"/>
        <v>22</v>
      </c>
      <c r="B33" s="54">
        <v>1747</v>
      </c>
      <c r="C33" s="54">
        <v>257</v>
      </c>
      <c r="D33" s="54">
        <v>58</v>
      </c>
      <c r="E33" s="54">
        <v>315</v>
      </c>
    </row>
    <row r="34" spans="1:5" x14ac:dyDescent="0.25">
      <c r="A34" s="54">
        <f t="shared" si="0"/>
        <v>23</v>
      </c>
      <c r="B34" s="54">
        <v>2428</v>
      </c>
      <c r="C34" s="54">
        <v>252</v>
      </c>
      <c r="D34" s="54">
        <v>63</v>
      </c>
      <c r="E34" s="54">
        <v>315</v>
      </c>
    </row>
    <row r="35" spans="1:5" x14ac:dyDescent="0.25">
      <c r="A35" s="54">
        <f t="shared" si="0"/>
        <v>24</v>
      </c>
      <c r="B35" s="54">
        <v>9696</v>
      </c>
      <c r="C35" s="54">
        <v>252</v>
      </c>
      <c r="D35" s="54">
        <v>63</v>
      </c>
      <c r="E35" s="54">
        <v>315</v>
      </c>
    </row>
    <row r="36" spans="1:5" x14ac:dyDescent="0.25">
      <c r="A36" s="54">
        <f t="shared" si="0"/>
        <v>25</v>
      </c>
      <c r="B36" s="54">
        <v>124</v>
      </c>
      <c r="C36" s="54">
        <v>250</v>
      </c>
      <c r="D36" s="54">
        <v>64</v>
      </c>
      <c r="E36" s="54">
        <v>314</v>
      </c>
    </row>
    <row r="37" spans="1:5" x14ac:dyDescent="0.25">
      <c r="A37" s="54">
        <f t="shared" si="0"/>
        <v>26</v>
      </c>
      <c r="B37" s="54">
        <v>214</v>
      </c>
      <c r="C37" s="54">
        <v>252</v>
      </c>
      <c r="D37" s="54">
        <v>62</v>
      </c>
      <c r="E37" s="54">
        <v>314</v>
      </c>
    </row>
    <row r="38" spans="1:5" x14ac:dyDescent="0.25">
      <c r="A38" s="54">
        <f t="shared" si="0"/>
        <v>27</v>
      </c>
      <c r="B38" s="54">
        <v>1943</v>
      </c>
      <c r="C38" s="54">
        <v>256</v>
      </c>
      <c r="D38" s="54">
        <v>58</v>
      </c>
      <c r="E38" s="54">
        <v>314</v>
      </c>
    </row>
    <row r="39" spans="1:5" x14ac:dyDescent="0.25">
      <c r="A39" s="54">
        <f t="shared" si="0"/>
        <v>28</v>
      </c>
      <c r="B39" s="54">
        <v>8174</v>
      </c>
      <c r="C39" s="54">
        <v>254</v>
      </c>
      <c r="D39" s="54">
        <v>60</v>
      </c>
      <c r="E39" s="54">
        <v>314</v>
      </c>
    </row>
    <row r="40" spans="1:5" x14ac:dyDescent="0.25">
      <c r="A40" s="54">
        <f t="shared" si="0"/>
        <v>29</v>
      </c>
      <c r="B40" s="54">
        <v>9586</v>
      </c>
      <c r="C40" s="54">
        <v>253</v>
      </c>
      <c r="D40" s="54">
        <v>61</v>
      </c>
      <c r="E40" s="54">
        <v>314</v>
      </c>
    </row>
    <row r="41" spans="1:5" x14ac:dyDescent="0.25">
      <c r="A41" s="54">
        <f t="shared" si="0"/>
        <v>30</v>
      </c>
      <c r="B41" s="54">
        <v>9865</v>
      </c>
      <c r="C41" s="54">
        <v>254</v>
      </c>
      <c r="D41" s="54">
        <v>60</v>
      </c>
      <c r="E41" s="54">
        <v>314</v>
      </c>
    </row>
    <row r="42" spans="1:5" x14ac:dyDescent="0.25">
      <c r="A42" s="54">
        <f t="shared" si="0"/>
        <v>31</v>
      </c>
      <c r="B42" s="54">
        <v>4138</v>
      </c>
      <c r="C42" s="54">
        <v>251</v>
      </c>
      <c r="D42" s="54">
        <v>62</v>
      </c>
      <c r="E42" s="54">
        <v>313</v>
      </c>
    </row>
    <row r="43" spans="1:5" x14ac:dyDescent="0.25">
      <c r="A43" s="54">
        <f t="shared" si="0"/>
        <v>32</v>
      </c>
      <c r="B43" s="54">
        <v>9215</v>
      </c>
      <c r="C43" s="54">
        <v>253</v>
      </c>
      <c r="D43" s="54">
        <v>60</v>
      </c>
      <c r="E43" s="54">
        <v>313</v>
      </c>
    </row>
    <row r="44" spans="1:5" x14ac:dyDescent="0.25">
      <c r="A44" s="54">
        <f t="shared" si="0"/>
        <v>33</v>
      </c>
      <c r="B44" s="54">
        <v>2098</v>
      </c>
      <c r="C44" s="54">
        <v>248</v>
      </c>
      <c r="D44" s="54">
        <v>64</v>
      </c>
      <c r="E44" s="54">
        <v>312</v>
      </c>
    </row>
    <row r="45" spans="1:5" x14ac:dyDescent="0.25">
      <c r="A45" s="54">
        <f t="shared" si="0"/>
        <v>34</v>
      </c>
      <c r="B45" s="54">
        <v>6671</v>
      </c>
      <c r="C45" s="54">
        <v>253</v>
      </c>
      <c r="D45" s="54">
        <v>59</v>
      </c>
      <c r="E45" s="54">
        <v>312</v>
      </c>
    </row>
    <row r="46" spans="1:5" x14ac:dyDescent="0.25">
      <c r="A46" s="54">
        <f t="shared" si="0"/>
        <v>35</v>
      </c>
      <c r="B46" s="54">
        <v>7814</v>
      </c>
      <c r="C46" s="54">
        <v>252</v>
      </c>
      <c r="D46" s="54">
        <v>60</v>
      </c>
      <c r="E46" s="54">
        <v>312</v>
      </c>
    </row>
    <row r="47" spans="1:5" x14ac:dyDescent="0.25">
      <c r="A47" s="54">
        <f t="shared" si="0"/>
        <v>36</v>
      </c>
      <c r="B47" s="54">
        <v>8129</v>
      </c>
      <c r="C47" s="54">
        <v>251</v>
      </c>
      <c r="D47" s="54">
        <v>61</v>
      </c>
      <c r="E47" s="54">
        <v>312</v>
      </c>
    </row>
    <row r="48" spans="1:5" x14ac:dyDescent="0.25">
      <c r="A48" s="54">
        <f t="shared" si="0"/>
        <v>37</v>
      </c>
      <c r="B48" s="54">
        <v>8684</v>
      </c>
      <c r="C48" s="54">
        <v>253</v>
      </c>
      <c r="D48" s="54">
        <v>59</v>
      </c>
      <c r="E48" s="54">
        <v>312</v>
      </c>
    </row>
    <row r="49" spans="1:5" x14ac:dyDescent="0.25">
      <c r="A49" s="54">
        <f t="shared" si="0"/>
        <v>38</v>
      </c>
      <c r="B49" s="54">
        <v>8791</v>
      </c>
      <c r="C49" s="54">
        <v>251</v>
      </c>
      <c r="D49" s="54">
        <v>61</v>
      </c>
      <c r="E49" s="54">
        <v>312</v>
      </c>
    </row>
    <row r="50" spans="1:5" x14ac:dyDescent="0.25">
      <c r="A50" s="54">
        <f t="shared" si="0"/>
        <v>39</v>
      </c>
      <c r="B50" s="54">
        <v>3485</v>
      </c>
      <c r="C50" s="54">
        <v>250</v>
      </c>
      <c r="D50" s="54">
        <v>61</v>
      </c>
      <c r="E50" s="54">
        <v>311</v>
      </c>
    </row>
    <row r="51" spans="1:5" x14ac:dyDescent="0.25">
      <c r="A51" s="54">
        <f t="shared" si="0"/>
        <v>40</v>
      </c>
      <c r="B51" s="54">
        <v>6156</v>
      </c>
      <c r="C51" s="54">
        <v>250</v>
      </c>
      <c r="D51" s="54">
        <v>61</v>
      </c>
      <c r="E51" s="54">
        <v>311</v>
      </c>
    </row>
    <row r="52" spans="1:5" x14ac:dyDescent="0.25">
      <c r="A52" s="54">
        <f t="shared" si="0"/>
        <v>41</v>
      </c>
      <c r="B52" s="54">
        <v>556</v>
      </c>
      <c r="C52" s="54">
        <v>250</v>
      </c>
      <c r="D52" s="54">
        <v>60</v>
      </c>
      <c r="E52" s="54">
        <v>310</v>
      </c>
    </row>
    <row r="53" spans="1:5" x14ac:dyDescent="0.25">
      <c r="A53" s="54">
        <f t="shared" si="0"/>
        <v>42</v>
      </c>
      <c r="B53" s="54">
        <v>4004</v>
      </c>
      <c r="C53" s="54">
        <v>248</v>
      </c>
      <c r="D53" s="54">
        <v>62</v>
      </c>
      <c r="E53" s="54">
        <v>310</v>
      </c>
    </row>
    <row r="54" spans="1:5" x14ac:dyDescent="0.25">
      <c r="A54" s="54">
        <f t="shared" si="0"/>
        <v>43</v>
      </c>
      <c r="B54" s="54">
        <v>5498</v>
      </c>
      <c r="C54" s="54">
        <v>251</v>
      </c>
      <c r="D54" s="54">
        <v>59</v>
      </c>
      <c r="E54" s="54">
        <v>310</v>
      </c>
    </row>
    <row r="55" spans="1:5" x14ac:dyDescent="0.25">
      <c r="A55" s="54">
        <f t="shared" si="0"/>
        <v>44</v>
      </c>
      <c r="B55" s="54">
        <v>7109</v>
      </c>
      <c r="C55" s="54">
        <v>251</v>
      </c>
      <c r="D55" s="54">
        <v>59</v>
      </c>
      <c r="E55" s="54">
        <v>310</v>
      </c>
    </row>
    <row r="56" spans="1:5" x14ac:dyDescent="0.25">
      <c r="A56" s="54">
        <f t="shared" si="0"/>
        <v>45</v>
      </c>
      <c r="B56" s="54">
        <v>9808</v>
      </c>
      <c r="C56" s="54">
        <v>248</v>
      </c>
      <c r="D56" s="54">
        <v>62</v>
      </c>
      <c r="E56" s="54">
        <v>310</v>
      </c>
    </row>
    <row r="57" spans="1:5" x14ac:dyDescent="0.25">
      <c r="A57" s="54">
        <f t="shared" si="0"/>
        <v>46</v>
      </c>
      <c r="B57" s="54">
        <v>582</v>
      </c>
      <c r="C57" s="54">
        <v>250</v>
      </c>
      <c r="D57" s="54">
        <v>59</v>
      </c>
      <c r="E57" s="54">
        <v>309</v>
      </c>
    </row>
    <row r="58" spans="1:5" x14ac:dyDescent="0.25">
      <c r="A58" s="54">
        <f t="shared" si="0"/>
        <v>47</v>
      </c>
      <c r="B58" s="54">
        <v>3805</v>
      </c>
      <c r="C58" s="54">
        <v>250</v>
      </c>
      <c r="D58" s="54">
        <v>59</v>
      </c>
      <c r="E58" s="54">
        <v>309</v>
      </c>
    </row>
    <row r="59" spans="1:5" x14ac:dyDescent="0.25">
      <c r="A59" s="54">
        <f t="shared" si="0"/>
        <v>48</v>
      </c>
      <c r="B59" s="54">
        <v>4633</v>
      </c>
      <c r="C59" s="54">
        <v>253</v>
      </c>
      <c r="D59" s="54">
        <v>56</v>
      </c>
      <c r="E59" s="54">
        <v>309</v>
      </c>
    </row>
    <row r="60" spans="1:5" x14ac:dyDescent="0.25">
      <c r="A60" s="54">
        <f t="shared" si="0"/>
        <v>49</v>
      </c>
      <c r="B60" s="54">
        <v>7332</v>
      </c>
      <c r="C60" s="54">
        <v>249</v>
      </c>
      <c r="D60" s="54">
        <v>60</v>
      </c>
      <c r="E60" s="54">
        <v>309</v>
      </c>
    </row>
    <row r="61" spans="1:5" x14ac:dyDescent="0.25">
      <c r="A61" s="54">
        <f t="shared" si="0"/>
        <v>50</v>
      </c>
      <c r="B61" s="54">
        <v>7688</v>
      </c>
      <c r="C61" s="54">
        <v>250</v>
      </c>
      <c r="D61" s="54">
        <v>59</v>
      </c>
      <c r="E61" s="54">
        <v>309</v>
      </c>
    </row>
    <row r="62" spans="1:5" x14ac:dyDescent="0.25">
      <c r="A62" s="54">
        <f t="shared" si="0"/>
        <v>51</v>
      </c>
      <c r="B62" s="54">
        <v>9139</v>
      </c>
      <c r="C62" s="54">
        <v>248</v>
      </c>
      <c r="D62" s="54">
        <v>61</v>
      </c>
      <c r="E62" s="54">
        <v>309</v>
      </c>
    </row>
    <row r="63" spans="1:5" x14ac:dyDescent="0.25">
      <c r="A63" s="54">
        <f t="shared" si="0"/>
        <v>52</v>
      </c>
      <c r="B63" s="54">
        <v>1072</v>
      </c>
      <c r="C63" s="54">
        <v>249</v>
      </c>
      <c r="D63" s="54">
        <v>59</v>
      </c>
      <c r="E63" s="54">
        <v>308</v>
      </c>
    </row>
    <row r="64" spans="1:5" x14ac:dyDescent="0.25">
      <c r="A64" s="54">
        <f t="shared" si="0"/>
        <v>53</v>
      </c>
      <c r="B64" s="54">
        <v>2451</v>
      </c>
      <c r="C64" s="54">
        <v>251</v>
      </c>
      <c r="D64" s="54">
        <v>57</v>
      </c>
      <c r="E64" s="54">
        <v>308</v>
      </c>
    </row>
    <row r="65" spans="1:5" x14ac:dyDescent="0.25">
      <c r="A65" s="54">
        <f t="shared" si="0"/>
        <v>54</v>
      </c>
      <c r="B65" s="54">
        <v>5298</v>
      </c>
      <c r="C65" s="54">
        <v>248</v>
      </c>
      <c r="D65" s="54">
        <v>60</v>
      </c>
      <c r="E65" s="54">
        <v>308</v>
      </c>
    </row>
    <row r="66" spans="1:5" x14ac:dyDescent="0.25">
      <c r="A66" s="54">
        <f t="shared" si="0"/>
        <v>55</v>
      </c>
      <c r="B66" s="54">
        <v>8352</v>
      </c>
      <c r="C66" s="54">
        <v>249</v>
      </c>
      <c r="D66" s="54">
        <v>59</v>
      </c>
      <c r="E66" s="54">
        <v>308</v>
      </c>
    </row>
    <row r="67" spans="1:5" x14ac:dyDescent="0.25">
      <c r="A67" s="54">
        <f t="shared" si="0"/>
        <v>56</v>
      </c>
      <c r="B67" s="54">
        <v>2191</v>
      </c>
      <c r="C67" s="54">
        <v>251</v>
      </c>
      <c r="D67" s="54">
        <v>56</v>
      </c>
      <c r="E67" s="54">
        <v>307</v>
      </c>
    </row>
    <row r="68" spans="1:5" x14ac:dyDescent="0.25">
      <c r="A68" s="54">
        <f t="shared" si="0"/>
        <v>57</v>
      </c>
      <c r="B68" s="54">
        <v>2350</v>
      </c>
      <c r="C68" s="54">
        <v>252</v>
      </c>
      <c r="D68" s="54">
        <v>55</v>
      </c>
      <c r="E68" s="54">
        <v>307</v>
      </c>
    </row>
    <row r="69" spans="1:5" x14ac:dyDescent="0.25">
      <c r="A69" s="54">
        <f t="shared" si="0"/>
        <v>58</v>
      </c>
      <c r="B69" s="54">
        <v>3395</v>
      </c>
      <c r="C69" s="54">
        <v>247</v>
      </c>
      <c r="D69" s="54">
        <v>60</v>
      </c>
      <c r="E69" s="54">
        <v>307</v>
      </c>
    </row>
    <row r="70" spans="1:5" x14ac:dyDescent="0.25">
      <c r="A70" s="54">
        <f t="shared" si="0"/>
        <v>59</v>
      </c>
      <c r="B70" s="54">
        <v>4751</v>
      </c>
      <c r="C70" s="54">
        <v>249</v>
      </c>
      <c r="D70" s="54">
        <v>58</v>
      </c>
      <c r="E70" s="54">
        <v>307</v>
      </c>
    </row>
    <row r="71" spans="1:5" x14ac:dyDescent="0.25">
      <c r="A71" s="54">
        <f t="shared" si="0"/>
        <v>60</v>
      </c>
      <c r="B71" s="54">
        <v>7294</v>
      </c>
      <c r="C71" s="54">
        <v>255</v>
      </c>
      <c r="D71" s="54">
        <v>52</v>
      </c>
      <c r="E71" s="54">
        <v>307</v>
      </c>
    </row>
    <row r="72" spans="1:5" x14ac:dyDescent="0.25">
      <c r="A72" s="54">
        <f t="shared" si="0"/>
        <v>61</v>
      </c>
      <c r="B72" s="54">
        <v>7767</v>
      </c>
      <c r="C72" s="54">
        <v>248</v>
      </c>
      <c r="D72" s="54">
        <v>59</v>
      </c>
      <c r="E72" s="54">
        <v>307</v>
      </c>
    </row>
    <row r="73" spans="1:5" x14ac:dyDescent="0.25">
      <c r="A73" s="54">
        <f t="shared" si="0"/>
        <v>62</v>
      </c>
      <c r="B73" s="54">
        <v>3505</v>
      </c>
      <c r="C73" s="54">
        <v>246</v>
      </c>
      <c r="D73" s="54">
        <v>60</v>
      </c>
      <c r="E73" s="54">
        <v>306</v>
      </c>
    </row>
    <row r="74" spans="1:5" x14ac:dyDescent="0.25">
      <c r="A74" s="54">
        <f t="shared" si="0"/>
        <v>63</v>
      </c>
      <c r="B74" s="54">
        <v>3701</v>
      </c>
      <c r="C74" s="54">
        <v>249</v>
      </c>
      <c r="D74" s="54">
        <v>57</v>
      </c>
      <c r="E74" s="54">
        <v>306</v>
      </c>
    </row>
    <row r="75" spans="1:5" x14ac:dyDescent="0.25">
      <c r="A75" s="54">
        <f t="shared" si="0"/>
        <v>64</v>
      </c>
      <c r="B75" s="54">
        <v>5037</v>
      </c>
      <c r="C75" s="54">
        <v>247</v>
      </c>
      <c r="D75" s="54">
        <v>59</v>
      </c>
      <c r="E75" s="54">
        <v>306</v>
      </c>
    </row>
    <row r="76" spans="1:5" x14ac:dyDescent="0.25">
      <c r="A76" s="54">
        <f t="shared" si="0"/>
        <v>65</v>
      </c>
      <c r="B76" s="54">
        <v>5234</v>
      </c>
      <c r="C76" s="54">
        <v>246</v>
      </c>
      <c r="D76" s="54">
        <v>60</v>
      </c>
      <c r="E76" s="54">
        <v>306</v>
      </c>
    </row>
    <row r="77" spans="1:5" x14ac:dyDescent="0.25">
      <c r="A77" s="54">
        <f t="shared" si="0"/>
        <v>66</v>
      </c>
      <c r="B77" s="54">
        <v>6303</v>
      </c>
      <c r="C77" s="54">
        <v>247</v>
      </c>
      <c r="D77" s="54">
        <v>59</v>
      </c>
      <c r="E77" s="54">
        <v>306</v>
      </c>
    </row>
    <row r="78" spans="1:5" x14ac:dyDescent="0.25">
      <c r="A78" s="54">
        <f t="shared" ref="A78:A111" si="1">+A77+1</f>
        <v>67</v>
      </c>
      <c r="B78" s="54">
        <v>8126</v>
      </c>
      <c r="C78" s="54">
        <v>245</v>
      </c>
      <c r="D78" s="54">
        <v>61</v>
      </c>
      <c r="E78" s="54">
        <v>306</v>
      </c>
    </row>
    <row r="79" spans="1:5" x14ac:dyDescent="0.25">
      <c r="A79" s="54">
        <f t="shared" si="1"/>
        <v>68</v>
      </c>
      <c r="B79" s="54">
        <v>957</v>
      </c>
      <c r="C79" s="54">
        <v>246</v>
      </c>
      <c r="D79" s="54">
        <v>59</v>
      </c>
      <c r="E79" s="54">
        <v>305</v>
      </c>
    </row>
    <row r="80" spans="1:5" x14ac:dyDescent="0.25">
      <c r="A80" s="54">
        <f t="shared" si="1"/>
        <v>69</v>
      </c>
      <c r="B80" s="54">
        <v>6141</v>
      </c>
      <c r="C80" s="54">
        <v>251</v>
      </c>
      <c r="D80" s="54">
        <v>54</v>
      </c>
      <c r="E80" s="54">
        <v>305</v>
      </c>
    </row>
    <row r="81" spans="1:5" x14ac:dyDescent="0.25">
      <c r="A81" s="54">
        <f t="shared" si="1"/>
        <v>70</v>
      </c>
      <c r="B81" s="54">
        <v>8339</v>
      </c>
      <c r="C81" s="54">
        <v>247</v>
      </c>
      <c r="D81" s="54">
        <v>58</v>
      </c>
      <c r="E81" s="54">
        <v>305</v>
      </c>
    </row>
    <row r="82" spans="1:5" x14ac:dyDescent="0.25">
      <c r="A82" s="54">
        <f t="shared" si="1"/>
        <v>71</v>
      </c>
      <c r="B82" s="54">
        <v>209</v>
      </c>
      <c r="C82" s="54">
        <v>243</v>
      </c>
      <c r="D82" s="54">
        <v>61</v>
      </c>
      <c r="E82" s="54">
        <v>304</v>
      </c>
    </row>
    <row r="83" spans="1:5" x14ac:dyDescent="0.25">
      <c r="A83" s="54">
        <f t="shared" si="1"/>
        <v>72</v>
      </c>
      <c r="B83" s="54">
        <v>7420</v>
      </c>
      <c r="C83" s="54">
        <v>245</v>
      </c>
      <c r="D83" s="54">
        <v>59</v>
      </c>
      <c r="E83" s="54">
        <v>304</v>
      </c>
    </row>
    <row r="84" spans="1:5" x14ac:dyDescent="0.25">
      <c r="A84" s="54">
        <f t="shared" si="1"/>
        <v>73</v>
      </c>
      <c r="B84" s="54">
        <v>7648</v>
      </c>
      <c r="C84" s="54">
        <v>246</v>
      </c>
      <c r="D84" s="54">
        <v>58</v>
      </c>
      <c r="E84" s="54">
        <v>304</v>
      </c>
    </row>
    <row r="85" spans="1:5" x14ac:dyDescent="0.25">
      <c r="A85" s="54">
        <f t="shared" si="1"/>
        <v>74</v>
      </c>
      <c r="B85" s="54">
        <v>8627</v>
      </c>
      <c r="C85" s="54">
        <v>248</v>
      </c>
      <c r="D85" s="54">
        <v>56</v>
      </c>
      <c r="E85" s="54">
        <v>304</v>
      </c>
    </row>
    <row r="86" spans="1:5" x14ac:dyDescent="0.25">
      <c r="A86" s="54">
        <f t="shared" si="1"/>
        <v>75</v>
      </c>
      <c r="B86" s="54">
        <v>9587</v>
      </c>
      <c r="C86" s="54">
        <v>243</v>
      </c>
      <c r="D86" s="54">
        <v>61</v>
      </c>
      <c r="E86" s="54">
        <v>304</v>
      </c>
    </row>
    <row r="87" spans="1:5" x14ac:dyDescent="0.25">
      <c r="A87" s="54">
        <f t="shared" si="1"/>
        <v>76</v>
      </c>
      <c r="B87" s="54">
        <v>18</v>
      </c>
      <c r="C87" s="54">
        <v>247</v>
      </c>
      <c r="D87" s="54">
        <v>56</v>
      </c>
      <c r="E87" s="54">
        <v>303</v>
      </c>
    </row>
    <row r="88" spans="1:5" x14ac:dyDescent="0.25">
      <c r="A88" s="54">
        <f t="shared" si="1"/>
        <v>77</v>
      </c>
      <c r="B88" s="54">
        <v>831</v>
      </c>
      <c r="C88" s="54">
        <v>245</v>
      </c>
      <c r="D88" s="54">
        <v>58</v>
      </c>
      <c r="E88" s="54">
        <v>303</v>
      </c>
    </row>
    <row r="89" spans="1:5" x14ac:dyDescent="0.25">
      <c r="A89" s="54">
        <f t="shared" si="1"/>
        <v>78</v>
      </c>
      <c r="B89" s="54">
        <v>1478</v>
      </c>
      <c r="C89" s="54">
        <v>243</v>
      </c>
      <c r="D89" s="54">
        <v>60</v>
      </c>
      <c r="E89" s="54">
        <v>303</v>
      </c>
    </row>
    <row r="90" spans="1:5" x14ac:dyDescent="0.25">
      <c r="A90" s="54">
        <f t="shared" si="1"/>
        <v>79</v>
      </c>
      <c r="B90" s="54">
        <v>2171</v>
      </c>
      <c r="C90" s="54">
        <v>243</v>
      </c>
      <c r="D90" s="54">
        <v>60</v>
      </c>
      <c r="E90" s="54">
        <v>303</v>
      </c>
    </row>
    <row r="91" spans="1:5" x14ac:dyDescent="0.25">
      <c r="A91" s="54">
        <f t="shared" si="1"/>
        <v>80</v>
      </c>
      <c r="B91" s="54">
        <v>3146</v>
      </c>
      <c r="C91" s="54">
        <v>246</v>
      </c>
      <c r="D91" s="54">
        <v>57</v>
      </c>
      <c r="E91" s="54">
        <v>303</v>
      </c>
    </row>
    <row r="92" spans="1:5" x14ac:dyDescent="0.25">
      <c r="A92" s="54">
        <f t="shared" si="1"/>
        <v>81</v>
      </c>
      <c r="B92" s="54">
        <v>4380</v>
      </c>
      <c r="C92" s="54">
        <v>245</v>
      </c>
      <c r="D92" s="54">
        <v>58</v>
      </c>
      <c r="E92" s="54">
        <v>303</v>
      </c>
    </row>
    <row r="93" spans="1:5" x14ac:dyDescent="0.25">
      <c r="A93" s="54">
        <f t="shared" si="1"/>
        <v>82</v>
      </c>
      <c r="B93" s="54">
        <v>5489</v>
      </c>
      <c r="C93" s="54">
        <v>245</v>
      </c>
      <c r="D93" s="54">
        <v>58</v>
      </c>
      <c r="E93" s="54">
        <v>303</v>
      </c>
    </row>
    <row r="94" spans="1:5" x14ac:dyDescent="0.25">
      <c r="A94" s="54">
        <f t="shared" si="1"/>
        <v>83</v>
      </c>
      <c r="B94" s="54">
        <v>5682</v>
      </c>
      <c r="C94" s="54">
        <v>249</v>
      </c>
      <c r="D94" s="54">
        <v>54</v>
      </c>
      <c r="E94" s="54">
        <v>303</v>
      </c>
    </row>
    <row r="95" spans="1:5" x14ac:dyDescent="0.25">
      <c r="A95" s="54">
        <f t="shared" si="1"/>
        <v>84</v>
      </c>
      <c r="B95" s="54">
        <v>7980</v>
      </c>
      <c r="C95" s="54">
        <v>246</v>
      </c>
      <c r="D95" s="54">
        <v>57</v>
      </c>
      <c r="E95" s="54">
        <v>303</v>
      </c>
    </row>
    <row r="96" spans="1:5" x14ac:dyDescent="0.25">
      <c r="A96" s="54">
        <f t="shared" si="1"/>
        <v>85</v>
      </c>
      <c r="B96" s="54">
        <v>8981</v>
      </c>
      <c r="C96" s="54">
        <v>245</v>
      </c>
      <c r="D96" s="54">
        <v>58</v>
      </c>
      <c r="E96" s="54">
        <v>303</v>
      </c>
    </row>
    <row r="97" spans="1:5" x14ac:dyDescent="0.25">
      <c r="A97" s="54">
        <f t="shared" si="1"/>
        <v>86</v>
      </c>
      <c r="B97" s="54">
        <v>9072</v>
      </c>
      <c r="C97" s="54">
        <v>244</v>
      </c>
      <c r="D97" s="54">
        <v>59</v>
      </c>
      <c r="E97" s="54">
        <v>303</v>
      </c>
    </row>
    <row r="98" spans="1:5" x14ac:dyDescent="0.25">
      <c r="A98" s="54">
        <f t="shared" si="1"/>
        <v>87</v>
      </c>
      <c r="B98" s="54">
        <v>1211</v>
      </c>
      <c r="C98" s="54">
        <v>244</v>
      </c>
      <c r="D98" s="54">
        <v>58</v>
      </c>
      <c r="E98" s="54">
        <v>302</v>
      </c>
    </row>
    <row r="99" spans="1:5" x14ac:dyDescent="0.25">
      <c r="A99" s="54">
        <f t="shared" si="1"/>
        <v>88</v>
      </c>
      <c r="B99" s="54">
        <v>1457</v>
      </c>
      <c r="C99" s="54">
        <v>245</v>
      </c>
      <c r="D99" s="54">
        <v>57</v>
      </c>
      <c r="E99" s="54">
        <v>302</v>
      </c>
    </row>
    <row r="100" spans="1:5" x14ac:dyDescent="0.25">
      <c r="A100" s="54">
        <f t="shared" si="1"/>
        <v>89</v>
      </c>
      <c r="B100" s="54">
        <v>1899</v>
      </c>
      <c r="C100" s="54">
        <v>245</v>
      </c>
      <c r="D100" s="54">
        <v>57</v>
      </c>
      <c r="E100" s="54">
        <v>302</v>
      </c>
    </row>
    <row r="101" spans="1:5" x14ac:dyDescent="0.25">
      <c r="A101" s="54">
        <f t="shared" si="1"/>
        <v>90</v>
      </c>
      <c r="B101" s="54">
        <v>2434</v>
      </c>
      <c r="C101" s="54">
        <v>243</v>
      </c>
      <c r="D101" s="54">
        <v>59</v>
      </c>
      <c r="E101" s="54">
        <v>302</v>
      </c>
    </row>
    <row r="102" spans="1:5" x14ac:dyDescent="0.25">
      <c r="A102" s="54">
        <f t="shared" si="1"/>
        <v>91</v>
      </c>
      <c r="B102" s="54">
        <v>2538</v>
      </c>
      <c r="C102" s="54">
        <v>244</v>
      </c>
      <c r="D102" s="54">
        <v>58</v>
      </c>
      <c r="E102" s="54">
        <v>302</v>
      </c>
    </row>
    <row r="103" spans="1:5" x14ac:dyDescent="0.25">
      <c r="A103" s="54">
        <f t="shared" si="1"/>
        <v>92</v>
      </c>
      <c r="B103" s="54">
        <v>3543</v>
      </c>
      <c r="C103" s="54">
        <v>244</v>
      </c>
      <c r="D103" s="54">
        <v>58</v>
      </c>
      <c r="E103" s="54">
        <v>302</v>
      </c>
    </row>
    <row r="104" spans="1:5" x14ac:dyDescent="0.25">
      <c r="A104" s="54">
        <f t="shared" si="1"/>
        <v>93</v>
      </c>
      <c r="B104" s="54">
        <v>3635</v>
      </c>
      <c r="C104" s="54">
        <v>244</v>
      </c>
      <c r="D104" s="54">
        <v>58</v>
      </c>
      <c r="E104" s="54">
        <v>302</v>
      </c>
    </row>
    <row r="105" spans="1:5" x14ac:dyDescent="0.25">
      <c r="A105" s="54">
        <f t="shared" si="1"/>
        <v>94</v>
      </c>
      <c r="B105" s="54">
        <v>3665</v>
      </c>
      <c r="C105" s="54">
        <v>246</v>
      </c>
      <c r="D105" s="54">
        <v>56</v>
      </c>
      <c r="E105" s="54">
        <v>302</v>
      </c>
    </row>
    <row r="106" spans="1:5" x14ac:dyDescent="0.25">
      <c r="A106" s="54">
        <f t="shared" si="1"/>
        <v>95</v>
      </c>
      <c r="B106" s="54">
        <v>4044</v>
      </c>
      <c r="C106" s="54">
        <v>245</v>
      </c>
      <c r="D106" s="54">
        <v>57</v>
      </c>
      <c r="E106" s="54">
        <v>302</v>
      </c>
    </row>
    <row r="107" spans="1:5" x14ac:dyDescent="0.25">
      <c r="A107" s="54">
        <f t="shared" si="1"/>
        <v>96</v>
      </c>
      <c r="B107" s="54">
        <v>4970</v>
      </c>
      <c r="C107" s="54">
        <v>245</v>
      </c>
      <c r="D107" s="54">
        <v>57</v>
      </c>
      <c r="E107" s="54">
        <v>302</v>
      </c>
    </row>
    <row r="108" spans="1:5" x14ac:dyDescent="0.25">
      <c r="A108" s="54">
        <f t="shared" si="1"/>
        <v>97</v>
      </c>
      <c r="B108" s="54">
        <v>7259</v>
      </c>
      <c r="C108" s="54">
        <v>244</v>
      </c>
      <c r="D108" s="54">
        <v>58</v>
      </c>
      <c r="E108" s="54">
        <v>302</v>
      </c>
    </row>
    <row r="109" spans="1:5" x14ac:dyDescent="0.25">
      <c r="A109" s="54">
        <f t="shared" si="1"/>
        <v>98</v>
      </c>
      <c r="B109" s="54">
        <v>8351</v>
      </c>
      <c r="C109" s="54">
        <v>245</v>
      </c>
      <c r="D109" s="54">
        <v>57</v>
      </c>
      <c r="E109" s="54">
        <v>302</v>
      </c>
    </row>
    <row r="110" spans="1:5" x14ac:dyDescent="0.25">
      <c r="A110" s="54">
        <f t="shared" si="1"/>
        <v>99</v>
      </c>
      <c r="B110" s="54">
        <v>8898</v>
      </c>
      <c r="C110" s="54">
        <v>243</v>
      </c>
      <c r="D110" s="54">
        <v>59</v>
      </c>
      <c r="E110" s="54">
        <v>302</v>
      </c>
    </row>
    <row r="111" spans="1:5" x14ac:dyDescent="0.25">
      <c r="A111" s="54">
        <f t="shared" si="1"/>
        <v>100</v>
      </c>
      <c r="B111" s="54">
        <v>9425</v>
      </c>
      <c r="C111" s="54">
        <v>243</v>
      </c>
      <c r="D111" s="54">
        <v>59</v>
      </c>
      <c r="E111" s="54">
        <v>302</v>
      </c>
    </row>
    <row r="112" spans="1:5" ht="14.4" thickBot="1" x14ac:dyDescent="0.3"/>
    <row r="113" spans="1:7" ht="15.6" thickTop="1" thickBot="1" x14ac:dyDescent="0.35">
      <c r="B113" s="280" t="s">
        <v>213</v>
      </c>
      <c r="C113" s="281"/>
      <c r="D113" s="281"/>
      <c r="E113" s="282"/>
    </row>
    <row r="114" spans="1:7" ht="14.4" thickTop="1" x14ac:dyDescent="0.25"/>
    <row r="115" spans="1:7" x14ac:dyDescent="0.25">
      <c r="A115" s="54" t="s">
        <v>214</v>
      </c>
      <c r="C115" s="55"/>
      <c r="D115" s="55"/>
      <c r="E115" s="55"/>
      <c r="G115" s="71"/>
    </row>
    <row r="116" spans="1:7" x14ac:dyDescent="0.25">
      <c r="A116" s="54" t="s">
        <v>215</v>
      </c>
      <c r="C116" s="55"/>
      <c r="D116" s="55"/>
      <c r="E116" s="72"/>
      <c r="F116" s="55"/>
      <c r="G116" s="71"/>
    </row>
    <row r="117" spans="1:7" x14ac:dyDescent="0.25">
      <c r="A117" s="54" t="s">
        <v>216</v>
      </c>
      <c r="C117" s="56"/>
      <c r="D117" s="56"/>
      <c r="E117" s="56"/>
      <c r="F117" s="55"/>
      <c r="G117" s="71"/>
    </row>
    <row r="118" spans="1:7" x14ac:dyDescent="0.25">
      <c r="A118" s="73" t="s">
        <v>217</v>
      </c>
      <c r="C118" s="74"/>
      <c r="D118" s="74"/>
      <c r="E118" s="62"/>
      <c r="G118" s="71"/>
    </row>
    <row r="119" spans="1:7" x14ac:dyDescent="0.25">
      <c r="C119" s="75"/>
      <c r="D119" s="75"/>
    </row>
    <row r="120" spans="1:7" ht="14.4" thickBot="1" x14ac:dyDescent="0.3"/>
    <row r="121" spans="1:7" ht="15.6" thickTop="1" thickBot="1" x14ac:dyDescent="0.35">
      <c r="B121" s="280" t="s">
        <v>218</v>
      </c>
      <c r="C121" s="281"/>
      <c r="D121" s="281"/>
      <c r="E121" s="282"/>
    </row>
    <row r="122" spans="1:7" ht="14.4" thickTop="1" x14ac:dyDescent="0.25">
      <c r="B122" s="54" t="s">
        <v>219</v>
      </c>
      <c r="D122" s="76"/>
    </row>
    <row r="124" spans="1:7" x14ac:dyDescent="0.25">
      <c r="B124" s="54" t="s">
        <v>220</v>
      </c>
      <c r="D124" s="77"/>
    </row>
    <row r="126" spans="1:7" ht="14.4" thickBot="1" x14ac:dyDescent="0.3"/>
    <row r="127" spans="1:7" ht="15.6" thickTop="1" thickBot="1" x14ac:dyDescent="0.35">
      <c r="B127" s="280" t="s">
        <v>221</v>
      </c>
      <c r="C127" s="281"/>
      <c r="D127" s="281"/>
      <c r="E127" s="282"/>
    </row>
    <row r="128" spans="1:7" ht="14.4" thickTop="1" x14ac:dyDescent="0.25">
      <c r="B128" s="54" t="s">
        <v>222</v>
      </c>
      <c r="D128" s="78"/>
    </row>
    <row r="130" spans="2:4" x14ac:dyDescent="0.25">
      <c r="B130" s="54" t="s">
        <v>223</v>
      </c>
      <c r="D130" s="79"/>
    </row>
  </sheetData>
  <mergeCells count="5">
    <mergeCell ref="A8:E8"/>
    <mergeCell ref="C10:E10"/>
    <mergeCell ref="B113:E113"/>
    <mergeCell ref="B121:E121"/>
    <mergeCell ref="B127:E12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814107FCD7ED4EBB874EC2878CA50B" ma:contentTypeVersion="12" ma:contentTypeDescription="Create a new document." ma:contentTypeScope="" ma:versionID="84b7b60e1dac179c951f028892d48d9c">
  <xsd:schema xmlns:xsd="http://www.w3.org/2001/XMLSchema" xmlns:xs="http://www.w3.org/2001/XMLSchema" xmlns:p="http://schemas.microsoft.com/office/2006/metadata/properties" xmlns:ns3="9fc96dec-0070-4bf4-82b8-f1fc5f475092" xmlns:ns4="e64e702c-48b0-48cc-a676-0c91bf018d0c" targetNamespace="http://schemas.microsoft.com/office/2006/metadata/properties" ma:root="true" ma:fieldsID="c24de9919614b4dd92d5eb0a53fabb48" ns3:_="" ns4:_="">
    <xsd:import namespace="9fc96dec-0070-4bf4-82b8-f1fc5f475092"/>
    <xsd:import namespace="e64e702c-48b0-48cc-a676-0c91bf018d0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c96dec-0070-4bf4-82b8-f1fc5f4750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4e702c-48b0-48cc-a676-0c91bf018d0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C691F5C-EC61-4390-9C82-A19C90A6F2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c96dec-0070-4bf4-82b8-f1fc5f475092"/>
    <ds:schemaRef ds:uri="e64e702c-48b0-48cc-a676-0c91bf018d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E335B0-F747-4679-B47F-2B7236E244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A70988-7D8B-42D8-BB83-15850E4F19A9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e64e702c-48b0-48cc-a676-0c91bf018d0c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fc96dec-0070-4bf4-82b8-f1fc5f47509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Exam Questions --&gt;</vt:lpstr>
      <vt:lpstr>Q2(a)(cash flow)</vt:lpstr>
      <vt:lpstr>Q2(a)(rank)</vt:lpstr>
      <vt:lpstr>Q6 (a)i-ii</vt:lpstr>
      <vt:lpstr>Q6 (b)i-ii</vt:lpstr>
      <vt:lpstr>Q7 (a)(b)</vt:lpstr>
      <vt:lpstr>Q8 (d) (f)(i)</vt:lpstr>
      <vt:lpstr>Q6(a)(i)(ii)</vt:lpstr>
      <vt:lpstr>Q6(b)(i)(ii)(iii)</vt:lpstr>
      <vt:lpstr>Case Study Exhibits --&gt;</vt:lpstr>
      <vt:lpstr>Big Ben Inc St 1.5 </vt:lpstr>
      <vt:lpstr>Big Ben BS 1.5</vt:lpstr>
      <vt:lpstr>Lyon Sect 2.11 &amp; 3.4</vt:lpstr>
      <vt:lpstr>SLIC 3.4</vt:lpstr>
      <vt:lpstr>AHA 3.4</vt:lpstr>
      <vt:lpstr>Pryde 3.4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Dulceak</dc:creator>
  <cp:lastModifiedBy>A Zionce</cp:lastModifiedBy>
  <cp:lastPrinted>2019-04-11T00:37:29Z</cp:lastPrinted>
  <dcterms:created xsi:type="dcterms:W3CDTF">2017-02-06T22:20:22Z</dcterms:created>
  <dcterms:modified xsi:type="dcterms:W3CDTF">2023-01-30T15:19:38Z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0x010100F8814107FCD7ED4EBB874EC2878CA50B</vt:lpwstr>
  </property>
</Properties>
</file>